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sdx" ContentType="application/vnd.ms-visio.drawing"/>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7" rupBuild="9303"/>
  <workbookPr showObjects="placeholders" codeName="ThisWorkbook" hidePivotFieldList="1"/>
  <bookViews>
    <workbookView xWindow="-108" yWindow="-108" windowWidth="17016" windowHeight="10416" tabRatio="862" firstSheet="2" activeTab="6"/>
  </bookViews>
  <sheets>
    <sheet name="LOG" sheetId="244" r:id="rId1"/>
    <sheet name="Intro" sheetId="246" r:id="rId2"/>
    <sheet name="Commodities" sheetId="216" r:id="rId3"/>
    <sheet name="Processes" sheetId="231" r:id="rId4"/>
    <sheet name="RES_Fuel" sheetId="232" r:id="rId5"/>
    <sheet name="Cooling" sheetId="270" r:id="rId6"/>
    <sheet name="Boilers_DR" sheetId="260" r:id="rId7"/>
    <sheet name="Buildings_DR" sheetId="264" r:id="rId8"/>
    <sheet name="Appliances&amp;Cooking" sheetId="269" r:id="rId9"/>
    <sheet name="Dem" sheetId="221" r:id="rId10"/>
    <sheet name="Emis" sheetId="242" r:id="rId11"/>
    <sheet name="Data manipulation" sheetId="267" r:id="rId12"/>
    <sheet name="Raw_Data" sheetId="273" r:id="rId13"/>
    <sheet name="Regional split" sheetId="268" r:id="rId14"/>
    <sheet name="Sources" sheetId="266" r:id="rId15"/>
    <sheet name="Energy balance" sheetId="265" r:id="rId16"/>
    <sheet name="Workflow" sheetId="259" r:id="rId17"/>
    <sheet name="Legend" sheetId="234" r:id="rId18"/>
    <sheet name="RES" sheetId="238"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xlnm._FilterDatabase" localSheetId="9" hidden="1">Dem!$B$4:$U$4</definedName>
    <definedName name="_Order1" hidden="1">255</definedName>
    <definedName name="_Order2" hidden="1">255</definedName>
    <definedName name="AnnualProd_1">[1]Plants1!$N$14:$N$1884</definedName>
    <definedName name="BaseYear">[1]Start!$D$22</definedName>
    <definedName name="BiomassLargeCHP">[2]TechnologyData!$A$14:$M$41</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dkkPerEUR">'[3]Centrale data'!$C$34</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6">[2]Subsidy!#REF!</definedName>
    <definedName name="ElPriceMix" localSheetId="1">[2]Subsidy!#REF!</definedName>
    <definedName name="ElPriceMix">[2]Subsidy!#REF!</definedName>
    <definedName name="Fastprisår">[4]Forside!$B$5</definedName>
    <definedName name="FID_1" localSheetId="0">[5]AGR_Fuels!$A$2</definedName>
    <definedName name="FID_1">[5]AGR_Fuels!$A$2</definedName>
    <definedName name="FID_2" localSheetId="6">LOG!#REF!</definedName>
    <definedName name="FID_2" localSheetId="1">[6]LOG!#REF!</definedName>
    <definedName name="FID_2">LOG!#REF!</definedName>
    <definedName name="FID_2_" localSheetId="6">[7]LOG!#REF!</definedName>
    <definedName name="FID_2_">[7]LOG!#REF!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uelDesc">[1]Fuel!$T$12:$U$34</definedName>
    <definedName name="FuelPrices" localSheetId="6">#REF!</definedName>
    <definedName name="FuelPrices" localSheetId="1">#REF!</definedName>
    <definedName name="FuelPrices">#REF!</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6">[2]General!#REF!</definedName>
    <definedName name="Inflation" localSheetId="1">[2]General!#REF!</definedName>
    <definedName name="Inflation">[2]General!#REF!</definedName>
    <definedName name="LastPSOYear">[2]Plants!$H$2</definedName>
    <definedName name="Nettarif">[2]TechnologyData!$F$11</definedName>
    <definedName name="NGCC_SmallBP">[2]TechnologyData!$A$72:$M$99</definedName>
    <definedName name="nhydro" localSheetId="6">[2]General!#REF!</definedName>
    <definedName name="nhydro">[2]General!#REF!</definedName>
    <definedName name="NyeNGCC">[2]Plants!$J$5</definedName>
    <definedName name="OffshoreWindPark">[2]TechnologyData!$O$43:$AA$70</definedName>
    <definedName name="OnshoreWindPark">[2]TechnologyData!$O$14:$AA$41</definedName>
    <definedName name="PlantDesc1">'[1]TIMES-DK codes'!$B$12:$C$48</definedName>
    <definedName name="PlantDesc2">'[1]TIMES-DK codes'!$D$12:$E$40</definedName>
    <definedName name="PlantName_1">[1]Plants1!$A$14:$A$1884</definedName>
    <definedName name="Prisår_Til_Ramses" localSheetId="6">#REF!</definedName>
    <definedName name="Prisår_Til_Ramses" localSheetId="1">#REF!</definedName>
    <definedName name="Prisår_Til_Ramses">#REF!</definedName>
    <definedName name="Raggr1">[8]Rækker!$A$4:$A$4</definedName>
    <definedName name="Raggr2">[8]Rækker!$B$4:$B$4</definedName>
    <definedName name="Raggr3">[8]Rækker!$C$4:$C$4</definedName>
    <definedName name="Real_interest_rate">[9]TechnologyData!$B$37</definedName>
    <definedName name="RefurbishedCoalBioCHP">[2]TechnologyData!$A$43:$M$70</definedName>
    <definedName name="RenovCKV">[2]Plants!$J$4</definedName>
    <definedName name="rSØK">'[3]Centrale data'!$C$32</definedName>
    <definedName name="Saggr1">[8]Søjler!$A$4:$A$7</definedName>
    <definedName name="Saggr2">[8]Søjler!$B$4:$B$7</definedName>
    <definedName name="Saggr3">[8]Søjler!$C$4:$C$7</definedName>
    <definedName name="Saggr4">[8]Søjler!$D$4:$D$7</definedName>
    <definedName name="Saggr5">[8]Søjler!$E$4:$E$7</definedName>
    <definedName name="Saggr6">[8]Søjler!$F$4:$F$7</definedName>
    <definedName name="Saggr7">[8]Søjler!$G$4:$G$7</definedName>
    <definedName name="Saggr8">[8]Søjler!$H$4:$H$7</definedName>
    <definedName name="TechName_1">[1]Plants1!$CP$14:$CP$1884</definedName>
    <definedName name="Translate">'[1]Plants Translate 1'!$E$12:$K$55</definedName>
    <definedName name="WasteCHP">[2]TechnologyData!$A$101:$M$129</definedName>
    <definedName name="Wood_SmallBP">[2]TechnologyData!$A$131:$M$158</definedName>
    <definedName name="x" localSheetId="2">[10]AGR_Fuels!$A$2</definedName>
    <definedName name="x">[10]AGR_Fuels!$A$2</definedName>
    <definedName name="åhuselc">'[11]Husholdninger (f)'!$10:$10</definedName>
    <definedName name="åprdelc">'[11]Produktionserhverv (f)'!$11:$11</definedName>
    <definedName name="åserelc">'[11]Handel &amp; service (f)'!$11:$11</definedName>
    <definedName name="åtrpelc">'[11]Transport (f)'!$16:$16</definedName>
    <definedName name="åvettt">'[11]Vedvarende energi'!$5:$5</definedName>
  </definedNames>
  <calcPr calcId="14562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40" i="267" l="1"/>
  <c r="AD41" i="269"/>
  <c r="AD40" i="269"/>
  <c r="Z1" i="260"/>
  <c r="Z2" i="260"/>
  <c r="AF43" i="260"/>
  <c r="AG43" i="260"/>
  <c r="AH43" i="260"/>
  <c r="AE43" i="260"/>
  <c r="G103" i="267"/>
  <c r="H103" i="267"/>
  <c r="I103" i="267"/>
  <c r="J103" i="267"/>
  <c r="K103" i="267"/>
  <c r="L103" i="267"/>
  <c r="M103" i="267"/>
  <c r="N103" i="267"/>
  <c r="O103" i="267"/>
  <c r="F103" i="267"/>
  <c r="O31" i="267"/>
  <c r="N31" i="267"/>
  <c r="M31" i="267"/>
  <c r="L31" i="267"/>
  <c r="K31" i="267"/>
  <c r="J31" i="267"/>
  <c r="I31" i="267"/>
  <c r="H31" i="267"/>
  <c r="G31" i="267"/>
  <c r="F31" i="267"/>
  <c r="F25" i="267"/>
  <c r="S20" i="269"/>
  <c r="S16" i="269"/>
  <c r="S12" i="269"/>
  <c r="S8" i="269"/>
  <c r="S70" i="269"/>
  <c r="S62" i="269"/>
  <c r="S54" i="269"/>
  <c r="S46" i="269"/>
  <c r="G96" i="267" l="1"/>
  <c r="O33" i="267"/>
  <c r="D5" i="273"/>
  <c r="D10" i="264" l="1"/>
  <c r="B17" i="264"/>
  <c r="AJ54" i="264"/>
  <c r="I1" i="221" l="1"/>
  <c r="J1" i="221"/>
  <c r="V204" i="260"/>
  <c r="V203" i="260"/>
  <c r="V202" i="260"/>
  <c r="V201" i="260"/>
  <c r="V200" i="260"/>
  <c r="V199" i="260"/>
  <c r="V197" i="260"/>
  <c r="V196" i="260"/>
  <c r="V194" i="260"/>
  <c r="V193" i="260"/>
  <c r="V192" i="260"/>
  <c r="V191" i="260"/>
  <c r="V190" i="260"/>
  <c r="V189" i="260"/>
  <c r="V187" i="260"/>
  <c r="V186" i="260"/>
  <c r="V184" i="260"/>
  <c r="V183" i="260"/>
  <c r="V182" i="260"/>
  <c r="V181" i="260"/>
  <c r="V180" i="260"/>
  <c r="V179" i="260"/>
  <c r="V177" i="260"/>
  <c r="V176" i="260"/>
  <c r="V174" i="260"/>
  <c r="V173" i="260"/>
  <c r="V172" i="260"/>
  <c r="V171" i="260"/>
  <c r="V170" i="260"/>
  <c r="V169" i="260"/>
  <c r="V167" i="260"/>
  <c r="V166" i="260"/>
  <c r="V164" i="260"/>
  <c r="V163" i="260"/>
  <c r="V162" i="260"/>
  <c r="V161" i="260"/>
  <c r="V160" i="260"/>
  <c r="V159" i="260"/>
  <c r="V157" i="260"/>
  <c r="V156" i="260"/>
  <c r="V154" i="260"/>
  <c r="V153" i="260"/>
  <c r="V152" i="260"/>
  <c r="V151" i="260"/>
  <c r="V150" i="260"/>
  <c r="V149" i="260"/>
  <c r="V147" i="260"/>
  <c r="V146" i="260"/>
  <c r="V144" i="260"/>
  <c r="V143" i="260"/>
  <c r="V142" i="260"/>
  <c r="V141" i="260"/>
  <c r="V140" i="260"/>
  <c r="V139" i="260"/>
  <c r="V137" i="260"/>
  <c r="V136" i="260"/>
  <c r="V135" i="260"/>
  <c r="V134" i="260"/>
  <c r="V133" i="260"/>
  <c r="V132" i="260"/>
  <c r="V131" i="260"/>
  <c r="V130" i="260"/>
  <c r="V129" i="260"/>
  <c r="V127" i="260"/>
  <c r="V126" i="260"/>
  <c r="V124" i="260"/>
  <c r="V123" i="260"/>
  <c r="V122" i="260"/>
  <c r="V121" i="260"/>
  <c r="V120" i="260"/>
  <c r="V119" i="260"/>
  <c r="V117" i="260"/>
  <c r="V116" i="260"/>
  <c r="V115" i="260"/>
  <c r="V114" i="260"/>
  <c r="V113" i="260"/>
  <c r="V112" i="260"/>
  <c r="V111" i="260"/>
  <c r="V110" i="260"/>
  <c r="V109" i="260"/>
  <c r="V107" i="260"/>
  <c r="V106" i="260"/>
  <c r="V104" i="260"/>
  <c r="V103" i="260"/>
  <c r="V102" i="260"/>
  <c r="V101" i="260"/>
  <c r="V100" i="260"/>
  <c r="V99" i="260"/>
  <c r="V97" i="260"/>
  <c r="V96" i="260"/>
  <c r="V94" i="260"/>
  <c r="V93" i="260"/>
  <c r="V92" i="260"/>
  <c r="V91" i="260"/>
  <c r="V90" i="260"/>
  <c r="V89" i="260"/>
  <c r="V87" i="260"/>
  <c r="V86" i="260"/>
  <c r="V84" i="260"/>
  <c r="V83" i="260"/>
  <c r="V82" i="260"/>
  <c r="V81" i="260"/>
  <c r="V80" i="260"/>
  <c r="V79" i="260"/>
  <c r="V77" i="260"/>
  <c r="V76" i="260"/>
  <c r="V74" i="260"/>
  <c r="V73" i="260"/>
  <c r="V72" i="260"/>
  <c r="V71" i="260"/>
  <c r="V70" i="260"/>
  <c r="V69" i="260"/>
  <c r="V67" i="260"/>
  <c r="V66" i="260"/>
  <c r="V64" i="260"/>
  <c r="V63" i="260"/>
  <c r="V62" i="260"/>
  <c r="V61" i="260"/>
  <c r="V60" i="260"/>
  <c r="V59" i="260"/>
  <c r="V57" i="260"/>
  <c r="V56" i="260"/>
  <c r="V54" i="260"/>
  <c r="V53" i="260"/>
  <c r="V52" i="260"/>
  <c r="V51" i="260"/>
  <c r="V50" i="260"/>
  <c r="V49" i="260"/>
  <c r="V47" i="260"/>
  <c r="V46" i="260"/>
  <c r="V44" i="260"/>
  <c r="V43" i="260"/>
  <c r="V42" i="260"/>
  <c r="V41" i="260"/>
  <c r="V40" i="260"/>
  <c r="V39" i="260"/>
  <c r="V37" i="260"/>
  <c r="V36" i="260"/>
  <c r="V34" i="260"/>
  <c r="V33" i="260"/>
  <c r="V32" i="260"/>
  <c r="V31" i="260"/>
  <c r="V30" i="260"/>
  <c r="V29" i="260"/>
  <c r="V27" i="260"/>
  <c r="V26" i="260"/>
  <c r="V24" i="260"/>
  <c r="V23" i="260"/>
  <c r="V22" i="260"/>
  <c r="V21" i="260"/>
  <c r="V20" i="260"/>
  <c r="V19" i="260"/>
  <c r="V17" i="260"/>
  <c r="V16" i="260"/>
  <c r="V14" i="260"/>
  <c r="V13" i="260"/>
  <c r="V12" i="260"/>
  <c r="V11" i="260"/>
  <c r="V10" i="260"/>
  <c r="V9" i="260"/>
  <c r="V7" i="260"/>
  <c r="V6" i="260"/>
  <c r="G119" i="267"/>
  <c r="H119" i="267"/>
  <c r="I119" i="267"/>
  <c r="J119" i="267"/>
  <c r="K119" i="267"/>
  <c r="L119" i="267"/>
  <c r="M119" i="267"/>
  <c r="N119" i="267"/>
  <c r="O119" i="267"/>
  <c r="C23" i="267"/>
  <c r="D23" i="267"/>
  <c r="C24" i="267"/>
  <c r="D24" i="267"/>
  <c r="C25" i="267"/>
  <c r="D25" i="267"/>
  <c r="C26" i="267"/>
  <c r="D26" i="267"/>
  <c r="C27" i="267"/>
  <c r="D27" i="267"/>
  <c r="C28" i="267"/>
  <c r="D28" i="267"/>
  <c r="C29" i="267"/>
  <c r="D29" i="267"/>
  <c r="C30" i="267"/>
  <c r="D30" i="267"/>
  <c r="C31" i="267"/>
  <c r="D31" i="267"/>
  <c r="C32" i="267"/>
  <c r="D32" i="267"/>
  <c r="C33" i="267"/>
  <c r="D33" i="267"/>
  <c r="C34" i="267"/>
  <c r="D34" i="267"/>
  <c r="C35" i="267"/>
  <c r="D35" i="267"/>
  <c r="C36" i="267"/>
  <c r="D36" i="267"/>
  <c r="AN15" i="267" l="1"/>
  <c r="AM15" i="267"/>
  <c r="AI11" i="267"/>
  <c r="AK11" i="267" s="1"/>
  <c r="AF5" i="267"/>
  <c r="M22" i="269"/>
  <c r="M18" i="269"/>
  <c r="M14" i="269"/>
  <c r="M10" i="269"/>
  <c r="AN16" i="267" l="1"/>
  <c r="W12" i="267" s="1"/>
  <c r="AM16" i="267"/>
  <c r="W11" i="267" s="1"/>
  <c r="E111" i="231"/>
  <c r="C21" i="232" s="1"/>
  <c r="F70" i="269"/>
  <c r="F71" i="269"/>
  <c r="F72" i="269"/>
  <c r="F73" i="269"/>
  <c r="F74" i="269"/>
  <c r="F75" i="269"/>
  <c r="F76" i="269"/>
  <c r="M76" i="269"/>
  <c r="M75" i="269"/>
  <c r="M74" i="269"/>
  <c r="M73" i="269"/>
  <c r="M72" i="269"/>
  <c r="M71" i="269"/>
  <c r="M68" i="269"/>
  <c r="M67" i="269"/>
  <c r="M66" i="269"/>
  <c r="M65" i="269"/>
  <c r="M64" i="269"/>
  <c r="M63" i="269"/>
  <c r="M60" i="269"/>
  <c r="M59" i="269"/>
  <c r="M58" i="269"/>
  <c r="M57" i="269"/>
  <c r="M56" i="269"/>
  <c r="M55" i="269"/>
  <c r="M52" i="269"/>
  <c r="M51" i="269"/>
  <c r="D32" i="216"/>
  <c r="C32" i="216"/>
  <c r="E21" i="232" s="1"/>
  <c r="M50" i="269"/>
  <c r="M49" i="269"/>
  <c r="M48" i="269"/>
  <c r="M47" i="269"/>
  <c r="E23" i="267"/>
  <c r="E24" i="267"/>
  <c r="E25" i="267"/>
  <c r="E26" i="267"/>
  <c r="E27" i="267"/>
  <c r="E28" i="267"/>
  <c r="E29" i="267"/>
  <c r="E30" i="267"/>
  <c r="E31" i="267"/>
  <c r="E32" i="267"/>
  <c r="E33" i="267"/>
  <c r="E34" i="267"/>
  <c r="E35" i="267"/>
  <c r="E36" i="267"/>
  <c r="E38" i="267"/>
  <c r="E39" i="267"/>
  <c r="M21" i="269"/>
  <c r="F21" i="269"/>
  <c r="M17" i="269"/>
  <c r="L17" i="269"/>
  <c r="L21" i="269" s="1"/>
  <c r="K17" i="269"/>
  <c r="K21" i="269" s="1"/>
  <c r="J17" i="269"/>
  <c r="J21" i="269" s="1"/>
  <c r="M13" i="269"/>
  <c r="L13" i="269"/>
  <c r="K13" i="269"/>
  <c r="J13" i="269"/>
  <c r="J15" i="269"/>
  <c r="K15" i="269"/>
  <c r="L15" i="269"/>
  <c r="M15" i="269"/>
  <c r="M9" i="269"/>
  <c r="D31" i="216"/>
  <c r="E110" i="231" s="1"/>
  <c r="C20" i="232" s="1"/>
  <c r="C31" i="216"/>
  <c r="S41" i="231" s="1"/>
  <c r="P41" i="231" s="1"/>
  <c r="D41" i="231" s="1"/>
  <c r="B9" i="269" s="1"/>
  <c r="B13" i="269" s="1"/>
  <c r="D30" i="216"/>
  <c r="C30" i="216"/>
  <c r="D51" i="269" l="1"/>
  <c r="D59" i="269" s="1"/>
  <c r="D67" i="269" s="1"/>
  <c r="D75" i="269" s="1"/>
  <c r="D111" i="231"/>
  <c r="B21" i="232" s="1"/>
  <c r="S51" i="231"/>
  <c r="D52" i="269"/>
  <c r="D60" i="269" s="1"/>
  <c r="D68" i="269" s="1"/>
  <c r="D76" i="269" s="1"/>
  <c r="E40" i="267"/>
  <c r="D9" i="269"/>
  <c r="D17" i="269" s="1"/>
  <c r="D21" i="269" s="1"/>
  <c r="E20" i="232"/>
  <c r="D110" i="231"/>
  <c r="B20" i="232" s="1"/>
  <c r="B17" i="269"/>
  <c r="B21" i="269" s="1"/>
  <c r="D13" i="269" l="1"/>
  <c r="C19" i="216" l="1"/>
  <c r="E7" i="232" s="1"/>
  <c r="D19" i="216"/>
  <c r="E97" i="231" s="1"/>
  <c r="C7" i="232" s="1"/>
  <c r="C44" i="267"/>
  <c r="D44" i="267"/>
  <c r="E44" i="267"/>
  <c r="C45" i="267"/>
  <c r="D45" i="267"/>
  <c r="E45" i="267"/>
  <c r="C46" i="267"/>
  <c r="D46" i="267"/>
  <c r="E46" i="267"/>
  <c r="C47" i="267"/>
  <c r="D47" i="267"/>
  <c r="E47" i="267"/>
  <c r="C48" i="267"/>
  <c r="D48" i="267"/>
  <c r="E48" i="267"/>
  <c r="C49" i="267"/>
  <c r="D49" i="267"/>
  <c r="E49" i="267"/>
  <c r="C58" i="267"/>
  <c r="D58" i="267"/>
  <c r="E58" i="267"/>
  <c r="C50" i="267"/>
  <c r="D50" i="267"/>
  <c r="E50" i="267"/>
  <c r="C51" i="267"/>
  <c r="D51" i="267"/>
  <c r="E51" i="267"/>
  <c r="C52" i="267"/>
  <c r="D52" i="267"/>
  <c r="E52" i="267"/>
  <c r="C53" i="267"/>
  <c r="D53" i="267"/>
  <c r="E53" i="267"/>
  <c r="C54" i="267"/>
  <c r="D54" i="267"/>
  <c r="E54" i="267"/>
  <c r="C55" i="267"/>
  <c r="D55" i="267"/>
  <c r="E55" i="267"/>
  <c r="C56" i="267"/>
  <c r="D56" i="267"/>
  <c r="E56" i="267"/>
  <c r="C57" i="267"/>
  <c r="D57" i="267"/>
  <c r="E57" i="267"/>
  <c r="C59" i="267"/>
  <c r="D59" i="267"/>
  <c r="E59" i="267"/>
  <c r="C60" i="267"/>
  <c r="D60" i="267"/>
  <c r="E60" i="267"/>
  <c r="C65" i="267"/>
  <c r="D65" i="267"/>
  <c r="E65" i="267"/>
  <c r="C66" i="267"/>
  <c r="D66" i="267"/>
  <c r="E66" i="267"/>
  <c r="C67" i="267"/>
  <c r="D67" i="267"/>
  <c r="E67" i="267"/>
  <c r="C68" i="267"/>
  <c r="D68" i="267"/>
  <c r="E68" i="267"/>
  <c r="C69" i="267"/>
  <c r="D69" i="267"/>
  <c r="E69" i="267"/>
  <c r="C70" i="267"/>
  <c r="D70" i="267"/>
  <c r="E70" i="267"/>
  <c r="C79" i="267"/>
  <c r="D79" i="267"/>
  <c r="E79" i="267"/>
  <c r="C71" i="267"/>
  <c r="D71" i="267"/>
  <c r="E71" i="267"/>
  <c r="C72" i="267"/>
  <c r="D72" i="267"/>
  <c r="E72" i="267"/>
  <c r="C73" i="267"/>
  <c r="D73" i="267"/>
  <c r="E73" i="267"/>
  <c r="C74" i="267"/>
  <c r="D74" i="267"/>
  <c r="E74" i="267"/>
  <c r="C75" i="267"/>
  <c r="D75" i="267"/>
  <c r="E75" i="267"/>
  <c r="C76" i="267"/>
  <c r="D76" i="267"/>
  <c r="E76" i="267"/>
  <c r="C77" i="267"/>
  <c r="D77" i="267"/>
  <c r="E77" i="267"/>
  <c r="C78" i="267"/>
  <c r="D78" i="267"/>
  <c r="E78" i="267"/>
  <c r="C80" i="267"/>
  <c r="D80" i="267"/>
  <c r="E80" i="267"/>
  <c r="C81" i="267"/>
  <c r="D81" i="267"/>
  <c r="E81" i="267"/>
  <c r="C86" i="267"/>
  <c r="D86" i="267"/>
  <c r="E86" i="267"/>
  <c r="C87" i="267"/>
  <c r="D87" i="267"/>
  <c r="E87" i="267"/>
  <c r="C88" i="267"/>
  <c r="D88" i="267"/>
  <c r="E88" i="267"/>
  <c r="C89" i="267"/>
  <c r="D89" i="267"/>
  <c r="E89" i="267"/>
  <c r="C90" i="267"/>
  <c r="D90" i="267"/>
  <c r="E90" i="267"/>
  <c r="C91" i="267"/>
  <c r="D91" i="267"/>
  <c r="E91" i="267"/>
  <c r="C100" i="267"/>
  <c r="D100" i="267"/>
  <c r="E100" i="267"/>
  <c r="C92" i="267"/>
  <c r="D92" i="267"/>
  <c r="E92" i="267"/>
  <c r="C93" i="267"/>
  <c r="D93" i="267"/>
  <c r="E93" i="267"/>
  <c r="C94" i="267"/>
  <c r="D94" i="267"/>
  <c r="E94" i="267"/>
  <c r="C95" i="267"/>
  <c r="D95" i="267"/>
  <c r="E95" i="267"/>
  <c r="C96" i="267"/>
  <c r="D96" i="267"/>
  <c r="E96" i="267"/>
  <c r="C97" i="267"/>
  <c r="D97" i="267"/>
  <c r="E97" i="267"/>
  <c r="C98" i="267"/>
  <c r="D98" i="267"/>
  <c r="E98" i="267"/>
  <c r="C99" i="267"/>
  <c r="D99" i="267"/>
  <c r="E99" i="267"/>
  <c r="C101" i="267"/>
  <c r="D101" i="267"/>
  <c r="E101" i="267"/>
  <c r="C102" i="267"/>
  <c r="D102" i="267"/>
  <c r="E102" i="267"/>
  <c r="C107" i="267"/>
  <c r="D107" i="267"/>
  <c r="E107" i="267"/>
  <c r="C108" i="267"/>
  <c r="D108" i="267"/>
  <c r="E108" i="267"/>
  <c r="C109" i="267"/>
  <c r="D109" i="267"/>
  <c r="E109" i="267"/>
  <c r="C110" i="267"/>
  <c r="D110" i="267"/>
  <c r="E110" i="267"/>
  <c r="C111" i="267"/>
  <c r="D111" i="267"/>
  <c r="E111" i="267"/>
  <c r="C112" i="267"/>
  <c r="D112" i="267"/>
  <c r="E112" i="267"/>
  <c r="C113" i="267"/>
  <c r="D113" i="267"/>
  <c r="E113" i="267"/>
  <c r="C114" i="267"/>
  <c r="D114" i="267"/>
  <c r="E114" i="267"/>
  <c r="C115" i="267"/>
  <c r="D115" i="267"/>
  <c r="E115" i="267"/>
  <c r="C116" i="267"/>
  <c r="D116" i="267"/>
  <c r="E116" i="267"/>
  <c r="C117" i="267"/>
  <c r="D117" i="267"/>
  <c r="E117" i="267"/>
  <c r="C118" i="267"/>
  <c r="D118" i="267"/>
  <c r="E118" i="267"/>
  <c r="C119" i="267"/>
  <c r="D119" i="267"/>
  <c r="E119" i="267"/>
  <c r="C120" i="267"/>
  <c r="D120" i="267"/>
  <c r="E120" i="267"/>
  <c r="C121" i="267"/>
  <c r="D121" i="267"/>
  <c r="E121" i="267"/>
  <c r="C122" i="267"/>
  <c r="D122" i="267"/>
  <c r="E122" i="267"/>
  <c r="C123" i="267"/>
  <c r="D123" i="267"/>
  <c r="E123" i="267"/>
  <c r="C124" i="267"/>
  <c r="D124" i="267"/>
  <c r="E124" i="267"/>
  <c r="C38" i="267"/>
  <c r="D38" i="267"/>
  <c r="C39" i="267"/>
  <c r="D39" i="267"/>
  <c r="O108" i="267"/>
  <c r="O109" i="267"/>
  <c r="O110" i="267"/>
  <c r="O111" i="267"/>
  <c r="O112" i="267"/>
  <c r="O113" i="267"/>
  <c r="O114" i="267"/>
  <c r="O115" i="267"/>
  <c r="O116" i="267"/>
  <c r="O107" i="267"/>
  <c r="N108" i="267"/>
  <c r="N109" i="267"/>
  <c r="N110" i="267"/>
  <c r="N111" i="267"/>
  <c r="N112" i="267"/>
  <c r="N113" i="267"/>
  <c r="N114" i="267"/>
  <c r="N115" i="267"/>
  <c r="N116" i="267"/>
  <c r="N107" i="267"/>
  <c r="M108" i="267"/>
  <c r="M109" i="267"/>
  <c r="M110" i="267"/>
  <c r="M111" i="267"/>
  <c r="M112" i="267"/>
  <c r="M113" i="267"/>
  <c r="M114" i="267"/>
  <c r="M115" i="267"/>
  <c r="M116" i="267"/>
  <c r="M107" i="267"/>
  <c r="L108" i="267"/>
  <c r="L109" i="267"/>
  <c r="L110" i="267"/>
  <c r="L111" i="267"/>
  <c r="L112" i="267"/>
  <c r="L113" i="267"/>
  <c r="L114" i="267"/>
  <c r="L115" i="267"/>
  <c r="L116" i="267"/>
  <c r="L107" i="267"/>
  <c r="K108" i="267"/>
  <c r="K109" i="267"/>
  <c r="K110" i="267"/>
  <c r="K111" i="267"/>
  <c r="K112" i="267"/>
  <c r="K113" i="267"/>
  <c r="K114" i="267"/>
  <c r="K115" i="267"/>
  <c r="K116" i="267"/>
  <c r="K107" i="267"/>
  <c r="J108" i="267"/>
  <c r="J109" i="267"/>
  <c r="J110" i="267"/>
  <c r="J111" i="267"/>
  <c r="J112" i="267"/>
  <c r="J113" i="267"/>
  <c r="J114" i="267"/>
  <c r="J115" i="267"/>
  <c r="J116" i="267"/>
  <c r="J107" i="267"/>
  <c r="I108" i="267"/>
  <c r="I109" i="267"/>
  <c r="I110" i="267"/>
  <c r="I111" i="267"/>
  <c r="I112" i="267"/>
  <c r="I113" i="267"/>
  <c r="I114" i="267"/>
  <c r="I115" i="267"/>
  <c r="I116" i="267"/>
  <c r="I107" i="267"/>
  <c r="H108" i="267"/>
  <c r="H109" i="267"/>
  <c r="H110" i="267"/>
  <c r="H111" i="267"/>
  <c r="H112" i="267"/>
  <c r="H113" i="267"/>
  <c r="H114" i="267"/>
  <c r="H115" i="267"/>
  <c r="H116" i="267"/>
  <c r="H120" i="267"/>
  <c r="H107" i="267"/>
  <c r="G108" i="267"/>
  <c r="G109" i="267"/>
  <c r="G110" i="267"/>
  <c r="G111" i="267"/>
  <c r="G112" i="267"/>
  <c r="G113" i="267"/>
  <c r="G114" i="267"/>
  <c r="G115" i="267"/>
  <c r="G116" i="267"/>
  <c r="G107" i="267"/>
  <c r="F108" i="267"/>
  <c r="F109" i="267"/>
  <c r="F110" i="267"/>
  <c r="F111" i="267"/>
  <c r="F112" i="267"/>
  <c r="F113" i="267"/>
  <c r="F114" i="267"/>
  <c r="F115" i="267"/>
  <c r="F116" i="267"/>
  <c r="F107" i="267"/>
  <c r="O87" i="267"/>
  <c r="O88" i="267"/>
  <c r="O89" i="267"/>
  <c r="O90" i="267"/>
  <c r="O91" i="267"/>
  <c r="O100" i="267"/>
  <c r="O92" i="267"/>
  <c r="O93" i="267"/>
  <c r="O94" i="267"/>
  <c r="O95" i="267"/>
  <c r="O96" i="267"/>
  <c r="O97" i="267"/>
  <c r="O86" i="267"/>
  <c r="N87" i="267"/>
  <c r="N88" i="267"/>
  <c r="N89" i="267"/>
  <c r="N90" i="267"/>
  <c r="N91" i="267"/>
  <c r="N100" i="267"/>
  <c r="N92" i="267"/>
  <c r="N93" i="267"/>
  <c r="N94" i="267"/>
  <c r="N95" i="267"/>
  <c r="N96" i="267"/>
  <c r="N97" i="267"/>
  <c r="N86" i="267"/>
  <c r="M87" i="267"/>
  <c r="M88" i="267"/>
  <c r="M89" i="267"/>
  <c r="M90" i="267"/>
  <c r="M91" i="267"/>
  <c r="M100" i="267"/>
  <c r="M92" i="267"/>
  <c r="M93" i="267"/>
  <c r="M94" i="267"/>
  <c r="M95" i="267"/>
  <c r="M96" i="267"/>
  <c r="M97" i="267"/>
  <c r="M86" i="267"/>
  <c r="L87" i="267"/>
  <c r="L88" i="267"/>
  <c r="L89" i="267"/>
  <c r="L98" i="267" s="1"/>
  <c r="L90" i="267"/>
  <c r="L91" i="267"/>
  <c r="L100" i="267"/>
  <c r="L92" i="267"/>
  <c r="L93" i="267"/>
  <c r="L94" i="267"/>
  <c r="L95" i="267"/>
  <c r="L96" i="267"/>
  <c r="L97" i="267"/>
  <c r="L86" i="267"/>
  <c r="K87" i="267"/>
  <c r="K88" i="267"/>
  <c r="K89" i="267"/>
  <c r="K90" i="267"/>
  <c r="K91" i="267"/>
  <c r="K100" i="267"/>
  <c r="K92" i="267"/>
  <c r="K93" i="267"/>
  <c r="K94" i="267"/>
  <c r="K95" i="267"/>
  <c r="K96" i="267"/>
  <c r="K97" i="267"/>
  <c r="K86" i="267"/>
  <c r="J87" i="267"/>
  <c r="J88" i="267"/>
  <c r="J89" i="267"/>
  <c r="J90" i="267"/>
  <c r="J91" i="267"/>
  <c r="J100" i="267"/>
  <c r="J92" i="267"/>
  <c r="J93" i="267"/>
  <c r="J94" i="267"/>
  <c r="J95" i="267"/>
  <c r="J96" i="267"/>
  <c r="J97" i="267"/>
  <c r="J86" i="267"/>
  <c r="I87" i="267"/>
  <c r="I88" i="267"/>
  <c r="I89" i="267"/>
  <c r="I90" i="267"/>
  <c r="I91" i="267"/>
  <c r="I100" i="267"/>
  <c r="I92" i="267"/>
  <c r="I93" i="267"/>
  <c r="I94" i="267"/>
  <c r="I95" i="267"/>
  <c r="I96" i="267"/>
  <c r="I97" i="267"/>
  <c r="I86" i="267"/>
  <c r="H87" i="267"/>
  <c r="H88" i="267"/>
  <c r="H89" i="267"/>
  <c r="H98" i="267" s="1"/>
  <c r="H90" i="267"/>
  <c r="H91" i="267"/>
  <c r="H100" i="267"/>
  <c r="H92" i="267"/>
  <c r="H93" i="267"/>
  <c r="H94" i="267"/>
  <c r="H95" i="267"/>
  <c r="H96" i="267"/>
  <c r="H97" i="267"/>
  <c r="H86" i="267"/>
  <c r="G87" i="267"/>
  <c r="G88" i="267"/>
  <c r="G89" i="267"/>
  <c r="G90" i="267"/>
  <c r="G91" i="267"/>
  <c r="G100" i="267"/>
  <c r="G92" i="267"/>
  <c r="G93" i="267"/>
  <c r="G94" i="267"/>
  <c r="G95" i="267"/>
  <c r="G97" i="267"/>
  <c r="G86" i="267"/>
  <c r="F86" i="267"/>
  <c r="F88" i="267"/>
  <c r="F89" i="267"/>
  <c r="F90" i="267"/>
  <c r="F91" i="267"/>
  <c r="F100" i="267"/>
  <c r="F92" i="267"/>
  <c r="F93" i="267"/>
  <c r="F94" i="267"/>
  <c r="F95" i="267"/>
  <c r="F96" i="267"/>
  <c r="F97" i="267"/>
  <c r="F87" i="267"/>
  <c r="O66" i="267"/>
  <c r="O67" i="267"/>
  <c r="O68" i="267"/>
  <c r="O69" i="267"/>
  <c r="O70" i="267"/>
  <c r="O79" i="267"/>
  <c r="O71" i="267"/>
  <c r="O72" i="267"/>
  <c r="O73" i="267"/>
  <c r="P31" i="267" s="1"/>
  <c r="O74" i="267"/>
  <c r="O75" i="267"/>
  <c r="O76" i="267"/>
  <c r="O65" i="267"/>
  <c r="N66" i="267"/>
  <c r="N67" i="267"/>
  <c r="N68" i="267"/>
  <c r="N69" i="267"/>
  <c r="N70" i="267"/>
  <c r="N79" i="267"/>
  <c r="N71" i="267"/>
  <c r="N72" i="267"/>
  <c r="N73" i="267"/>
  <c r="N74" i="267"/>
  <c r="N75" i="267"/>
  <c r="N76" i="267"/>
  <c r="N65" i="267"/>
  <c r="M66" i="267"/>
  <c r="M67" i="267"/>
  <c r="M68" i="267"/>
  <c r="M69" i="267"/>
  <c r="M70" i="267"/>
  <c r="M79" i="267"/>
  <c r="M71" i="267"/>
  <c r="M72" i="267"/>
  <c r="M73" i="267"/>
  <c r="M74" i="267"/>
  <c r="M75" i="267"/>
  <c r="M76" i="267"/>
  <c r="M77" i="267"/>
  <c r="M65" i="267"/>
  <c r="L66" i="267"/>
  <c r="L67" i="267"/>
  <c r="L68" i="267"/>
  <c r="L69" i="267"/>
  <c r="L70" i="267"/>
  <c r="L79" i="267"/>
  <c r="L71" i="267"/>
  <c r="L72" i="267"/>
  <c r="L73" i="267"/>
  <c r="L74" i="267"/>
  <c r="L75" i="267"/>
  <c r="L76" i="267"/>
  <c r="L65" i="267"/>
  <c r="K66" i="267"/>
  <c r="K67" i="267"/>
  <c r="K68" i="267"/>
  <c r="K69" i="267"/>
  <c r="K70" i="267"/>
  <c r="K79" i="267"/>
  <c r="K71" i="267"/>
  <c r="K72" i="267"/>
  <c r="K73" i="267"/>
  <c r="K74" i="267"/>
  <c r="K75" i="267"/>
  <c r="K76" i="267"/>
  <c r="K65" i="267"/>
  <c r="J66" i="267"/>
  <c r="J67" i="267"/>
  <c r="J68" i="267"/>
  <c r="J69" i="267"/>
  <c r="J70" i="267"/>
  <c r="J79" i="267"/>
  <c r="J71" i="267"/>
  <c r="J72" i="267"/>
  <c r="J73" i="267"/>
  <c r="J74" i="267"/>
  <c r="J75" i="267"/>
  <c r="J76" i="267"/>
  <c r="J65" i="267"/>
  <c r="I66" i="267"/>
  <c r="I67" i="267"/>
  <c r="I68" i="267"/>
  <c r="I69" i="267"/>
  <c r="I70" i="267"/>
  <c r="I79" i="267"/>
  <c r="I71" i="267"/>
  <c r="I72" i="267"/>
  <c r="I73" i="267"/>
  <c r="I74" i="267"/>
  <c r="I75" i="267"/>
  <c r="I76" i="267"/>
  <c r="I65" i="267"/>
  <c r="H66" i="267"/>
  <c r="H67" i="267"/>
  <c r="H68" i="267"/>
  <c r="H69" i="267"/>
  <c r="H70" i="267"/>
  <c r="H79" i="267"/>
  <c r="H71" i="267"/>
  <c r="H72" i="267"/>
  <c r="H73" i="267"/>
  <c r="H74" i="267"/>
  <c r="H75" i="267"/>
  <c r="H76" i="267"/>
  <c r="H65" i="267"/>
  <c r="G66" i="267"/>
  <c r="G67" i="267"/>
  <c r="G68" i="267"/>
  <c r="G69" i="267"/>
  <c r="G70" i="267"/>
  <c r="G79" i="267"/>
  <c r="G71" i="267"/>
  <c r="G72" i="267"/>
  <c r="G73" i="267"/>
  <c r="G74" i="267"/>
  <c r="G75" i="267"/>
  <c r="G76" i="267"/>
  <c r="G65" i="267"/>
  <c r="F66" i="267"/>
  <c r="F67" i="267"/>
  <c r="F68" i="267"/>
  <c r="F69" i="267"/>
  <c r="F70" i="267"/>
  <c r="F79" i="267"/>
  <c r="F71" i="267"/>
  <c r="F72" i="267"/>
  <c r="F73" i="267"/>
  <c r="F74" i="267"/>
  <c r="F75" i="267"/>
  <c r="F76" i="267"/>
  <c r="F65" i="267"/>
  <c r="O45" i="267"/>
  <c r="O46" i="267"/>
  <c r="O47" i="267"/>
  <c r="O48" i="267"/>
  <c r="O49" i="267"/>
  <c r="O58" i="267"/>
  <c r="O50" i="267"/>
  <c r="O51" i="267"/>
  <c r="O52" i="267"/>
  <c r="O53" i="267"/>
  <c r="O54" i="267"/>
  <c r="O55" i="267"/>
  <c r="O44" i="267"/>
  <c r="N45" i="267"/>
  <c r="N46" i="267"/>
  <c r="N47" i="267"/>
  <c r="N48" i="267"/>
  <c r="N49" i="267"/>
  <c r="N58" i="267"/>
  <c r="N50" i="267"/>
  <c r="N51" i="267"/>
  <c r="N52" i="267"/>
  <c r="N53" i="267"/>
  <c r="N54" i="267"/>
  <c r="N55" i="267"/>
  <c r="N44" i="267"/>
  <c r="M45" i="267"/>
  <c r="M46" i="267"/>
  <c r="M47" i="267"/>
  <c r="M48" i="267"/>
  <c r="M49" i="267"/>
  <c r="M58" i="267"/>
  <c r="M50" i="267"/>
  <c r="M51" i="267"/>
  <c r="M52" i="267"/>
  <c r="M53" i="267"/>
  <c r="M54" i="267"/>
  <c r="M55" i="267"/>
  <c r="M44" i="267"/>
  <c r="L45" i="267"/>
  <c r="L46" i="267"/>
  <c r="L47" i="267"/>
  <c r="L56" i="267" s="1"/>
  <c r="L48" i="267"/>
  <c r="L49" i="267"/>
  <c r="L58" i="267"/>
  <c r="L50" i="267"/>
  <c r="L51" i="267"/>
  <c r="L52" i="267"/>
  <c r="L53" i="267"/>
  <c r="L54" i="267"/>
  <c r="L55" i="267"/>
  <c r="L44" i="267"/>
  <c r="K45" i="267"/>
  <c r="K46" i="267"/>
  <c r="K47" i="267"/>
  <c r="K48" i="267"/>
  <c r="K49" i="267"/>
  <c r="K58" i="267"/>
  <c r="K50" i="267"/>
  <c r="K51" i="267"/>
  <c r="K52" i="267"/>
  <c r="K53" i="267"/>
  <c r="K54" i="267"/>
  <c r="K55" i="267"/>
  <c r="K44" i="267"/>
  <c r="J45" i="267"/>
  <c r="J46" i="267"/>
  <c r="J47" i="267"/>
  <c r="J48" i="267"/>
  <c r="J49" i="267"/>
  <c r="J58" i="267"/>
  <c r="J50" i="267"/>
  <c r="J51" i="267"/>
  <c r="J52" i="267"/>
  <c r="J53" i="267"/>
  <c r="J54" i="267"/>
  <c r="J55" i="267"/>
  <c r="J44" i="267"/>
  <c r="I45" i="267"/>
  <c r="I46" i="267"/>
  <c r="I47" i="267"/>
  <c r="I48" i="267"/>
  <c r="I49" i="267"/>
  <c r="I58" i="267"/>
  <c r="I50" i="267"/>
  <c r="I51" i="267"/>
  <c r="I52" i="267"/>
  <c r="I53" i="267"/>
  <c r="I54" i="267"/>
  <c r="I55" i="267"/>
  <c r="I44" i="267"/>
  <c r="H55" i="267"/>
  <c r="H45" i="267"/>
  <c r="H46" i="267"/>
  <c r="H47" i="267"/>
  <c r="H48" i="267"/>
  <c r="H49" i="267"/>
  <c r="H58" i="267"/>
  <c r="H50" i="267"/>
  <c r="H51" i="267"/>
  <c r="H52" i="267"/>
  <c r="H53" i="267"/>
  <c r="H54" i="267"/>
  <c r="H44" i="267"/>
  <c r="G45" i="267"/>
  <c r="G46" i="267"/>
  <c r="G47" i="267"/>
  <c r="G48" i="267"/>
  <c r="G49" i="267"/>
  <c r="G58" i="267"/>
  <c r="G50" i="267"/>
  <c r="G51" i="267"/>
  <c r="G52" i="267"/>
  <c r="G53" i="267"/>
  <c r="G54" i="267"/>
  <c r="G55" i="267"/>
  <c r="G44" i="267"/>
  <c r="F45" i="267"/>
  <c r="F46" i="267"/>
  <c r="F47" i="267"/>
  <c r="F48" i="267"/>
  <c r="F49" i="267"/>
  <c r="F58" i="267"/>
  <c r="F50" i="267"/>
  <c r="F51" i="267"/>
  <c r="F52" i="267"/>
  <c r="F53" i="267"/>
  <c r="F54" i="267"/>
  <c r="F55" i="267"/>
  <c r="F44" i="267"/>
  <c r="F27" i="267"/>
  <c r="G27" i="267"/>
  <c r="H27" i="267"/>
  <c r="I27" i="267"/>
  <c r="J27" i="267"/>
  <c r="K27" i="267"/>
  <c r="L27" i="267"/>
  <c r="M27" i="267"/>
  <c r="N27" i="267"/>
  <c r="O27" i="267"/>
  <c r="O24" i="267"/>
  <c r="O25" i="267"/>
  <c r="O26" i="267"/>
  <c r="O28" i="267"/>
  <c r="O37" i="267"/>
  <c r="O29" i="267"/>
  <c r="O30" i="267"/>
  <c r="O32" i="267"/>
  <c r="O34" i="267"/>
  <c r="O23" i="267"/>
  <c r="N24" i="267"/>
  <c r="N25" i="267"/>
  <c r="N26" i="267"/>
  <c r="N35" i="267" s="1"/>
  <c r="N28" i="267"/>
  <c r="N37" i="267"/>
  <c r="N29" i="267"/>
  <c r="N30" i="267"/>
  <c r="N32" i="267"/>
  <c r="N33" i="267"/>
  <c r="N34" i="267"/>
  <c r="N23" i="267"/>
  <c r="M24" i="267"/>
  <c r="M25" i="267"/>
  <c r="M26" i="267"/>
  <c r="M28" i="267"/>
  <c r="M37" i="267"/>
  <c r="M29" i="267"/>
  <c r="M30" i="267"/>
  <c r="M32" i="267"/>
  <c r="M33" i="267"/>
  <c r="M34" i="267"/>
  <c r="M23" i="267"/>
  <c r="L24" i="267"/>
  <c r="L25" i="267"/>
  <c r="L26" i="267"/>
  <c r="L28" i="267"/>
  <c r="L37" i="267"/>
  <c r="L29" i="267"/>
  <c r="L30" i="267"/>
  <c r="L32" i="267"/>
  <c r="L33" i="267"/>
  <c r="L34" i="267"/>
  <c r="L23" i="267"/>
  <c r="K24" i="267"/>
  <c r="K25" i="267"/>
  <c r="K26" i="267"/>
  <c r="K35" i="267" s="1"/>
  <c r="K28" i="267"/>
  <c r="K37" i="267"/>
  <c r="K29" i="267"/>
  <c r="K30" i="267"/>
  <c r="K32" i="267"/>
  <c r="K33" i="267"/>
  <c r="K34" i="267"/>
  <c r="K23" i="267"/>
  <c r="J24" i="267"/>
  <c r="J25" i="267"/>
  <c r="J26" i="267"/>
  <c r="J35" i="267" s="1"/>
  <c r="J28" i="267"/>
  <c r="J37" i="267"/>
  <c r="J29" i="267"/>
  <c r="J30" i="267"/>
  <c r="J32" i="267"/>
  <c r="J33" i="267"/>
  <c r="J34" i="267"/>
  <c r="J23" i="267"/>
  <c r="I24" i="267"/>
  <c r="I25" i="267"/>
  <c r="I26" i="267"/>
  <c r="I28" i="267"/>
  <c r="I37" i="267"/>
  <c r="I29" i="267"/>
  <c r="I30" i="267"/>
  <c r="I32" i="267"/>
  <c r="I33" i="267"/>
  <c r="I34" i="267"/>
  <c r="I23" i="267"/>
  <c r="H24" i="267"/>
  <c r="H25" i="267"/>
  <c r="H26" i="267"/>
  <c r="H28" i="267"/>
  <c r="H37" i="267"/>
  <c r="H29" i="267"/>
  <c r="H30" i="267"/>
  <c r="H32" i="267"/>
  <c r="H33" i="267"/>
  <c r="H34" i="267"/>
  <c r="H23" i="267"/>
  <c r="G24" i="267"/>
  <c r="G25" i="267"/>
  <c r="G26" i="267"/>
  <c r="G35" i="267" s="1"/>
  <c r="G28" i="267"/>
  <c r="G37" i="267"/>
  <c r="G29" i="267"/>
  <c r="G30" i="267"/>
  <c r="G32" i="267"/>
  <c r="G33" i="267"/>
  <c r="G34" i="267"/>
  <c r="G23" i="267"/>
  <c r="F34" i="267"/>
  <c r="F24" i="267"/>
  <c r="F26" i="267"/>
  <c r="F35" i="267" s="1"/>
  <c r="F28" i="267"/>
  <c r="F37" i="267"/>
  <c r="F29" i="267"/>
  <c r="F30" i="267"/>
  <c r="F32" i="267"/>
  <c r="F33" i="267"/>
  <c r="F23" i="267"/>
  <c r="O124" i="267"/>
  <c r="O123" i="267"/>
  <c r="O121" i="267"/>
  <c r="O120" i="267"/>
  <c r="O102" i="267"/>
  <c r="O99" i="267"/>
  <c r="O81" i="267"/>
  <c r="O60" i="267"/>
  <c r="O39" i="267"/>
  <c r="O38" i="267"/>
  <c r="O165" i="260"/>
  <c r="O164" i="260"/>
  <c r="T164" i="260" s="1"/>
  <c r="O163" i="260"/>
  <c r="O162" i="260"/>
  <c r="O161" i="260"/>
  <c r="O160" i="260"/>
  <c r="O159" i="260"/>
  <c r="O158" i="260"/>
  <c r="O157" i="260"/>
  <c r="O156" i="260"/>
  <c r="O155" i="260"/>
  <c r="O154" i="260"/>
  <c r="O153" i="260"/>
  <c r="O152" i="260"/>
  <c r="O151" i="260"/>
  <c r="O150" i="260"/>
  <c r="O149" i="260"/>
  <c r="O148" i="260"/>
  <c r="O147" i="260"/>
  <c r="O146" i="260"/>
  <c r="O145" i="260"/>
  <c r="O144" i="260"/>
  <c r="T144" i="260" s="1"/>
  <c r="O143" i="260"/>
  <c r="O142" i="260"/>
  <c r="O141" i="260"/>
  <c r="O140" i="260"/>
  <c r="O139" i="260"/>
  <c r="O138" i="260"/>
  <c r="O137" i="260"/>
  <c r="O136" i="260"/>
  <c r="O135" i="260"/>
  <c r="O134" i="260"/>
  <c r="O133" i="260"/>
  <c r="O132" i="260"/>
  <c r="O131" i="260"/>
  <c r="O130" i="260"/>
  <c r="O129" i="260"/>
  <c r="O128" i="260"/>
  <c r="O127" i="260"/>
  <c r="O126" i="260"/>
  <c r="AT51" i="264"/>
  <c r="AS51" i="264"/>
  <c r="AR51" i="264"/>
  <c r="AT36" i="264"/>
  <c r="AS36" i="264"/>
  <c r="AR36" i="264"/>
  <c r="AT35" i="264"/>
  <c r="AS35" i="264"/>
  <c r="AR35" i="264"/>
  <c r="AT34" i="264"/>
  <c r="AS34" i="264"/>
  <c r="AR34" i="264"/>
  <c r="AT33" i="264"/>
  <c r="AS33" i="264"/>
  <c r="AR33" i="264"/>
  <c r="AT29" i="264"/>
  <c r="AS29" i="264"/>
  <c r="AR29" i="264"/>
  <c r="AT28" i="264"/>
  <c r="AS28" i="264"/>
  <c r="AR28" i="264"/>
  <c r="AT27" i="264"/>
  <c r="AS27" i="264"/>
  <c r="AR27" i="264"/>
  <c r="AT26" i="264"/>
  <c r="AS26" i="264"/>
  <c r="AR26" i="264"/>
  <c r="AT22" i="264"/>
  <c r="AS22" i="264"/>
  <c r="AR22" i="264"/>
  <c r="AT21" i="264"/>
  <c r="AS21" i="264"/>
  <c r="AR21" i="264"/>
  <c r="AT20" i="264"/>
  <c r="AS20" i="264"/>
  <c r="AR20" i="264"/>
  <c r="AT19" i="264"/>
  <c r="AS19" i="264"/>
  <c r="AR19" i="264"/>
  <c r="AT15" i="264"/>
  <c r="AS15" i="264"/>
  <c r="AR15" i="264"/>
  <c r="AT14" i="264"/>
  <c r="AS14" i="264"/>
  <c r="AR14" i="264"/>
  <c r="AT13" i="264"/>
  <c r="AS13" i="264"/>
  <c r="AR13" i="264"/>
  <c r="AT12" i="264"/>
  <c r="AS12" i="264"/>
  <c r="AR12" i="264"/>
  <c r="L57" i="267" l="1"/>
  <c r="F82" i="267"/>
  <c r="F78" i="267"/>
  <c r="J78" i="267"/>
  <c r="J82" i="267" s="1"/>
  <c r="M78" i="267"/>
  <c r="M82" i="267" s="1"/>
  <c r="O35" i="267"/>
  <c r="G56" i="267"/>
  <c r="H56" i="267"/>
  <c r="K56" i="267"/>
  <c r="O56" i="267"/>
  <c r="N82" i="267"/>
  <c r="F98" i="267"/>
  <c r="G98" i="267"/>
  <c r="K98" i="267"/>
  <c r="O98" i="267"/>
  <c r="N61" i="267"/>
  <c r="P121" i="267"/>
  <c r="H35" i="267"/>
  <c r="J36" i="267"/>
  <c r="J40" i="267" s="1"/>
  <c r="L35" i="267"/>
  <c r="N36" i="267"/>
  <c r="P28" i="267"/>
  <c r="P27" i="267"/>
  <c r="F56" i="267"/>
  <c r="J56" i="267"/>
  <c r="L61" i="267"/>
  <c r="N56" i="267"/>
  <c r="P55" i="267"/>
  <c r="P51" i="267"/>
  <c r="P75" i="267"/>
  <c r="P71" i="267"/>
  <c r="P68" i="267"/>
  <c r="J98" i="267"/>
  <c r="N98" i="267"/>
  <c r="P23" i="267"/>
  <c r="M57" i="267"/>
  <c r="M61" i="267" s="1"/>
  <c r="K78" i="267"/>
  <c r="K82" i="267" s="1"/>
  <c r="L36" i="267"/>
  <c r="L40" i="267" s="1"/>
  <c r="N57" i="267"/>
  <c r="I36" i="267"/>
  <c r="I40" i="267" s="1"/>
  <c r="M36" i="267"/>
  <c r="M40" i="267" s="1"/>
  <c r="I57" i="267"/>
  <c r="I61" i="267" s="1"/>
  <c r="G78" i="267"/>
  <c r="G82" i="267" s="1"/>
  <c r="N78" i="267"/>
  <c r="H36" i="267"/>
  <c r="H40" i="267" s="1"/>
  <c r="N40" i="267"/>
  <c r="F57" i="267"/>
  <c r="F61" i="267" s="1"/>
  <c r="J57" i="267"/>
  <c r="J61" i="267" s="1"/>
  <c r="H78" i="267"/>
  <c r="H82" i="267" s="1"/>
  <c r="L78" i="267"/>
  <c r="L82" i="267" s="1"/>
  <c r="O78" i="267"/>
  <c r="O82" i="267" s="1"/>
  <c r="F36" i="267"/>
  <c r="G36" i="267"/>
  <c r="G40" i="267" s="1"/>
  <c r="I35" i="267"/>
  <c r="K36" i="267"/>
  <c r="K40" i="267" s="1"/>
  <c r="M35" i="267"/>
  <c r="P32" i="267"/>
  <c r="Q37" i="267"/>
  <c r="O36" i="267"/>
  <c r="O40" i="267" s="1"/>
  <c r="G57" i="267"/>
  <c r="G61" i="267" s="1"/>
  <c r="H57" i="267"/>
  <c r="H61" i="267" s="1"/>
  <c r="I56" i="267"/>
  <c r="K57" i="267"/>
  <c r="K61" i="267" s="1"/>
  <c r="M56" i="267"/>
  <c r="O57" i="267"/>
  <c r="O61" i="267" s="1"/>
  <c r="I78" i="267"/>
  <c r="I82" i="267" s="1"/>
  <c r="I98" i="267"/>
  <c r="M98" i="267"/>
  <c r="P87" i="267"/>
  <c r="P109" i="267"/>
  <c r="P86" i="267"/>
  <c r="P91" i="267"/>
  <c r="P113" i="267"/>
  <c r="P34" i="267"/>
  <c r="P30" i="267"/>
  <c r="P54" i="267"/>
  <c r="P50" i="267"/>
  <c r="P47" i="267"/>
  <c r="P74" i="267"/>
  <c r="P79" i="267"/>
  <c r="P67" i="267"/>
  <c r="P118" i="267"/>
  <c r="P97" i="267"/>
  <c r="P93" i="267"/>
  <c r="P90" i="267"/>
  <c r="P116" i="267"/>
  <c r="P112" i="267"/>
  <c r="P108" i="267"/>
  <c r="P48" i="267"/>
  <c r="P33" i="267"/>
  <c r="P29" i="267"/>
  <c r="P25" i="267"/>
  <c r="P53" i="267"/>
  <c r="P58" i="267"/>
  <c r="P46" i="267"/>
  <c r="P65" i="267"/>
  <c r="P73" i="267"/>
  <c r="P70" i="267"/>
  <c r="P66" i="267"/>
  <c r="P96" i="267"/>
  <c r="P117" i="267"/>
  <c r="P92" i="267"/>
  <c r="P89" i="267"/>
  <c r="P115" i="267"/>
  <c r="P111" i="267"/>
  <c r="P94" i="267"/>
  <c r="P107" i="267"/>
  <c r="P24" i="267"/>
  <c r="P44" i="267"/>
  <c r="P52" i="267"/>
  <c r="P49" i="267"/>
  <c r="P45" i="267"/>
  <c r="P76" i="267"/>
  <c r="P72" i="267"/>
  <c r="P69" i="267"/>
  <c r="P95" i="267"/>
  <c r="P100" i="267"/>
  <c r="P88" i="267"/>
  <c r="P114" i="267"/>
  <c r="P110" i="267"/>
  <c r="P26" i="267"/>
  <c r="D97" i="231"/>
  <c r="B7" i="232" s="1"/>
  <c r="E125" i="267"/>
  <c r="C82" i="267"/>
  <c r="C103" i="267"/>
  <c r="E103" i="267"/>
  <c r="D103" i="267"/>
  <c r="D82" i="267"/>
  <c r="E82" i="267"/>
  <c r="D125" i="267"/>
  <c r="C125" i="267"/>
  <c r="D61" i="267"/>
  <c r="C61" i="267"/>
  <c r="D40" i="267"/>
  <c r="E61" i="267"/>
  <c r="C40" i="267"/>
  <c r="H166" i="260"/>
  <c r="H22" i="270"/>
  <c r="H21" i="270"/>
  <c r="H20" i="270"/>
  <c r="H19" i="270"/>
  <c r="O18" i="270"/>
  <c r="O17" i="270"/>
  <c r="O16" i="270"/>
  <c r="O15" i="270"/>
  <c r="AB51" i="264"/>
  <c r="AA51" i="264"/>
  <c r="Z51" i="264"/>
  <c r="Y51" i="264"/>
  <c r="X51" i="264"/>
  <c r="W51" i="264"/>
  <c r="P51" i="264"/>
  <c r="O51" i="264"/>
  <c r="N51" i="264"/>
  <c r="D12" i="221"/>
  <c r="D11" i="221"/>
  <c r="D10" i="221"/>
  <c r="D9" i="221"/>
  <c r="M54" i="269"/>
  <c r="L54" i="269"/>
  <c r="K54" i="269"/>
  <c r="J54" i="269"/>
  <c r="M53" i="269"/>
  <c r="L53" i="269"/>
  <c r="K53" i="269"/>
  <c r="J53" i="269"/>
  <c r="M12" i="269"/>
  <c r="L12" i="269"/>
  <c r="K12" i="269"/>
  <c r="J12" i="269"/>
  <c r="M11" i="269"/>
  <c r="L11" i="269"/>
  <c r="K11" i="269"/>
  <c r="J11" i="269"/>
  <c r="L33" i="269"/>
  <c r="L35" i="269" s="1"/>
  <c r="L32" i="269"/>
  <c r="L34" i="269" s="1"/>
  <c r="K33" i="269"/>
  <c r="K35" i="269" s="1"/>
  <c r="K32" i="269"/>
  <c r="K34" i="269" s="1"/>
  <c r="J33" i="269"/>
  <c r="J35" i="269" s="1"/>
  <c r="J32" i="269"/>
  <c r="J34" i="269" s="1"/>
  <c r="M33" i="269"/>
  <c r="M32" i="269"/>
  <c r="K51" i="264"/>
  <c r="M51" i="264"/>
  <c r="L51" i="264"/>
  <c r="AQ51" i="264"/>
  <c r="AP51" i="264"/>
  <c r="AO51" i="264"/>
  <c r="AQ36" i="264"/>
  <c r="AP36" i="264"/>
  <c r="AO36" i="264"/>
  <c r="AQ35" i="264"/>
  <c r="AP35" i="264"/>
  <c r="AO35" i="264"/>
  <c r="AQ34" i="264"/>
  <c r="AP34" i="264"/>
  <c r="AO34" i="264"/>
  <c r="AQ33" i="264"/>
  <c r="AP33" i="264"/>
  <c r="AO33" i="264"/>
  <c r="AQ29" i="264"/>
  <c r="AP29" i="264"/>
  <c r="AO29" i="264"/>
  <c r="AQ28" i="264"/>
  <c r="AP28" i="264"/>
  <c r="AO28" i="264"/>
  <c r="AQ27" i="264"/>
  <c r="AP27" i="264"/>
  <c r="AO27" i="264"/>
  <c r="AQ26" i="264"/>
  <c r="AP26" i="264"/>
  <c r="AO26" i="264"/>
  <c r="AQ22" i="264"/>
  <c r="AP22" i="264"/>
  <c r="AO22" i="264"/>
  <c r="AQ21" i="264"/>
  <c r="AP21" i="264"/>
  <c r="AO21" i="264"/>
  <c r="AQ20" i="264"/>
  <c r="AP20" i="264"/>
  <c r="AO20" i="264"/>
  <c r="AQ19" i="264"/>
  <c r="AP19" i="264"/>
  <c r="AO19" i="264"/>
  <c r="AQ15" i="264"/>
  <c r="AP15" i="264"/>
  <c r="AO15" i="264"/>
  <c r="AQ14" i="264"/>
  <c r="AP14" i="264"/>
  <c r="AO14" i="264"/>
  <c r="AQ13" i="264"/>
  <c r="AP13" i="264"/>
  <c r="AO13" i="264"/>
  <c r="AQ12" i="264"/>
  <c r="AP12" i="264"/>
  <c r="AO12" i="264"/>
  <c r="AN51" i="264"/>
  <c r="AM51" i="264"/>
  <c r="AL51" i="264"/>
  <c r="AN36" i="264"/>
  <c r="AM36" i="264"/>
  <c r="AL36" i="264"/>
  <c r="AN35" i="264"/>
  <c r="AM35" i="264"/>
  <c r="AL35" i="264"/>
  <c r="AN34" i="264"/>
  <c r="AM34" i="264"/>
  <c r="AL34" i="264"/>
  <c r="AN33" i="264"/>
  <c r="AM33" i="264"/>
  <c r="AL33" i="264"/>
  <c r="AN29" i="264"/>
  <c r="AM29" i="264"/>
  <c r="AL29" i="264"/>
  <c r="AN28" i="264"/>
  <c r="AM28" i="264"/>
  <c r="AL28" i="264"/>
  <c r="AN27" i="264"/>
  <c r="AM27" i="264"/>
  <c r="AL27" i="264"/>
  <c r="AN26" i="264"/>
  <c r="AM26" i="264"/>
  <c r="AL26" i="264"/>
  <c r="AN22" i="264"/>
  <c r="AM22" i="264"/>
  <c r="AL22" i="264"/>
  <c r="AN21" i="264"/>
  <c r="AM21" i="264"/>
  <c r="AL21" i="264"/>
  <c r="AN20" i="264"/>
  <c r="AM20" i="264"/>
  <c r="AL20" i="264"/>
  <c r="AN19" i="264"/>
  <c r="AM19" i="264"/>
  <c r="AL19" i="264"/>
  <c r="AN15" i="264"/>
  <c r="AM15" i="264"/>
  <c r="AL15" i="264"/>
  <c r="AN14" i="264"/>
  <c r="AM14" i="264"/>
  <c r="AL14" i="264"/>
  <c r="AN13" i="264"/>
  <c r="AM13" i="264"/>
  <c r="AL13" i="264"/>
  <c r="AN12" i="264"/>
  <c r="AM12" i="264"/>
  <c r="AL12" i="264"/>
  <c r="P57" i="267" l="1"/>
  <c r="P99" i="267"/>
  <c r="P36" i="267"/>
  <c r="P78" i="267"/>
  <c r="P120" i="267"/>
  <c r="H205" i="260"/>
  <c r="H204" i="260"/>
  <c r="H203" i="260"/>
  <c r="H202" i="260"/>
  <c r="H201" i="260"/>
  <c r="H200" i="260"/>
  <c r="H199" i="260"/>
  <c r="H198" i="260"/>
  <c r="H197" i="260"/>
  <c r="H196" i="260"/>
  <c r="H195" i="260"/>
  <c r="H194" i="260"/>
  <c r="H193" i="260"/>
  <c r="H192" i="260"/>
  <c r="H191" i="260"/>
  <c r="H190" i="260"/>
  <c r="H189" i="260"/>
  <c r="H188" i="260"/>
  <c r="H187" i="260"/>
  <c r="H186" i="260"/>
  <c r="H185" i="260"/>
  <c r="H184" i="260"/>
  <c r="H183" i="260"/>
  <c r="H182" i="260"/>
  <c r="H181" i="260"/>
  <c r="H180" i="260"/>
  <c r="H179" i="260"/>
  <c r="H178" i="260"/>
  <c r="H177" i="260"/>
  <c r="H176" i="260"/>
  <c r="H175" i="260"/>
  <c r="H174" i="260"/>
  <c r="H173" i="260"/>
  <c r="H172" i="260"/>
  <c r="H171" i="260"/>
  <c r="H170" i="260"/>
  <c r="H169" i="260"/>
  <c r="H168" i="260"/>
  <c r="H167" i="260"/>
  <c r="O205" i="260"/>
  <c r="T205" i="260" s="1"/>
  <c r="O204" i="260"/>
  <c r="T204" i="260" s="1"/>
  <c r="O203" i="260"/>
  <c r="T203" i="260" s="1"/>
  <c r="O202" i="260"/>
  <c r="T202" i="260" s="1"/>
  <c r="O201" i="260"/>
  <c r="T201" i="260" s="1"/>
  <c r="O200" i="260"/>
  <c r="T200" i="260" s="1"/>
  <c r="O199" i="260"/>
  <c r="T199" i="260" s="1"/>
  <c r="O198" i="260"/>
  <c r="T198" i="260" s="1"/>
  <c r="O197" i="260"/>
  <c r="T197" i="260" s="1"/>
  <c r="O196" i="260"/>
  <c r="T196" i="260" s="1"/>
  <c r="O195" i="260"/>
  <c r="T195" i="260" s="1"/>
  <c r="O194" i="260"/>
  <c r="T194" i="260" s="1"/>
  <c r="O193" i="260"/>
  <c r="T193" i="260" s="1"/>
  <c r="O192" i="260"/>
  <c r="T192" i="260" s="1"/>
  <c r="O191" i="260"/>
  <c r="T191" i="260" s="1"/>
  <c r="O190" i="260"/>
  <c r="T190" i="260" s="1"/>
  <c r="O189" i="260"/>
  <c r="T189" i="260" s="1"/>
  <c r="O188" i="260"/>
  <c r="T188" i="260" s="1"/>
  <c r="O187" i="260"/>
  <c r="T187" i="260" s="1"/>
  <c r="O186" i="260"/>
  <c r="T186" i="260" s="1"/>
  <c r="O185" i="260"/>
  <c r="T185" i="260" s="1"/>
  <c r="O184" i="260"/>
  <c r="T184" i="260" s="1"/>
  <c r="O183" i="260"/>
  <c r="T183" i="260" s="1"/>
  <c r="O182" i="260"/>
  <c r="T182" i="260" s="1"/>
  <c r="O181" i="260"/>
  <c r="T181" i="260" s="1"/>
  <c r="O180" i="260"/>
  <c r="T180" i="260" s="1"/>
  <c r="O179" i="260"/>
  <c r="T179" i="260" s="1"/>
  <c r="O178" i="260"/>
  <c r="T178" i="260" s="1"/>
  <c r="O177" i="260"/>
  <c r="T177" i="260" s="1"/>
  <c r="O176" i="260"/>
  <c r="T176" i="260" s="1"/>
  <c r="O175" i="260"/>
  <c r="O174" i="260"/>
  <c r="T174" i="260" s="1"/>
  <c r="O173" i="260"/>
  <c r="T173" i="260" s="1"/>
  <c r="O172" i="260"/>
  <c r="T172" i="260" s="1"/>
  <c r="O171" i="260"/>
  <c r="T171" i="260" s="1"/>
  <c r="O170" i="260"/>
  <c r="T170" i="260" s="1"/>
  <c r="O169" i="260"/>
  <c r="T169" i="260" s="1"/>
  <c r="O168" i="260"/>
  <c r="T168" i="260" s="1"/>
  <c r="O167" i="260"/>
  <c r="T167" i="260" s="1"/>
  <c r="O166" i="260"/>
  <c r="T166" i="260" s="1"/>
  <c r="O22" i="270"/>
  <c r="O21" i="270"/>
  <c r="O20" i="270"/>
  <c r="O19" i="270"/>
  <c r="F69" i="269"/>
  <c r="M70" i="269"/>
  <c r="M69" i="269"/>
  <c r="F37" i="269"/>
  <c r="F36" i="269"/>
  <c r="M37" i="269"/>
  <c r="M36" i="269"/>
  <c r="F20" i="269"/>
  <c r="F19" i="269"/>
  <c r="M20" i="269"/>
  <c r="M19" i="269"/>
  <c r="O125" i="260" l="1"/>
  <c r="O124" i="260"/>
  <c r="T124" i="260" s="1"/>
  <c r="O123" i="260"/>
  <c r="O122" i="260"/>
  <c r="O121" i="260"/>
  <c r="O120" i="260"/>
  <c r="O119" i="260"/>
  <c r="O118" i="260"/>
  <c r="O117" i="260"/>
  <c r="O116" i="260"/>
  <c r="O115" i="260"/>
  <c r="O114" i="260"/>
  <c r="O113" i="260"/>
  <c r="O112" i="260"/>
  <c r="O111" i="260"/>
  <c r="O110" i="260"/>
  <c r="O109" i="260"/>
  <c r="O108" i="260"/>
  <c r="O107" i="260"/>
  <c r="O106" i="260"/>
  <c r="O105" i="260"/>
  <c r="O104" i="260"/>
  <c r="T104" i="260" s="1"/>
  <c r="O103" i="260"/>
  <c r="O102" i="260"/>
  <c r="O101" i="260"/>
  <c r="O100" i="260"/>
  <c r="O99" i="260"/>
  <c r="O98" i="260"/>
  <c r="O97" i="260"/>
  <c r="O96" i="260"/>
  <c r="O95" i="260"/>
  <c r="O94" i="260"/>
  <c r="O93" i="260"/>
  <c r="O92" i="260"/>
  <c r="O91" i="260"/>
  <c r="O90" i="260"/>
  <c r="O89" i="260"/>
  <c r="O88" i="260"/>
  <c r="O87" i="260"/>
  <c r="O86" i="260"/>
  <c r="C34" i="216"/>
  <c r="D34" i="216"/>
  <c r="S52" i="264" l="1"/>
  <c r="V52" i="264" s="1"/>
  <c r="R52" i="264"/>
  <c r="U52" i="264" s="1"/>
  <c r="Q52" i="264"/>
  <c r="T52" i="264" s="1"/>
  <c r="S8" i="264"/>
  <c r="V8" i="264" s="1"/>
  <c r="S7" i="264"/>
  <c r="R8" i="264"/>
  <c r="U8" i="264" s="1"/>
  <c r="R7" i="264"/>
  <c r="Q8" i="264"/>
  <c r="T8" i="264" s="1"/>
  <c r="Q7" i="264"/>
  <c r="AI12" i="264"/>
  <c r="AI13" i="264"/>
  <c r="AJ12" i="264"/>
  <c r="AK12" i="264"/>
  <c r="AJ13" i="264"/>
  <c r="AK13" i="264"/>
  <c r="AI14" i="264"/>
  <c r="AJ14" i="264"/>
  <c r="AK14" i="264"/>
  <c r="AI15" i="264"/>
  <c r="AJ15" i="264"/>
  <c r="AK15" i="264"/>
  <c r="BD51" i="264"/>
  <c r="BC51" i="264"/>
  <c r="BB51" i="264"/>
  <c r="BA51" i="264"/>
  <c r="BB56" i="264"/>
  <c r="BC56" i="264"/>
  <c r="BB57" i="264"/>
  <c r="BC57" i="264"/>
  <c r="BB58" i="264"/>
  <c r="BC58" i="264"/>
  <c r="BB59" i="264"/>
  <c r="BC59" i="264"/>
  <c r="BB63" i="264"/>
  <c r="BC63" i="264"/>
  <c r="BB64" i="264"/>
  <c r="BC64" i="264"/>
  <c r="BB65" i="264"/>
  <c r="BC65" i="264"/>
  <c r="BB66" i="264"/>
  <c r="BC66" i="264"/>
  <c r="BB70" i="264"/>
  <c r="BC70" i="264"/>
  <c r="BB71" i="264"/>
  <c r="BC71" i="264"/>
  <c r="BB72" i="264"/>
  <c r="BC72" i="264"/>
  <c r="BB73" i="264"/>
  <c r="BC73" i="264"/>
  <c r="BB77" i="264"/>
  <c r="BC77" i="264"/>
  <c r="BB78" i="264"/>
  <c r="BC78" i="264"/>
  <c r="BB79" i="264"/>
  <c r="BC79" i="264"/>
  <c r="BB80" i="264"/>
  <c r="BC80" i="264"/>
  <c r="BA56" i="264"/>
  <c r="BA57" i="264"/>
  <c r="BA58" i="264"/>
  <c r="BA59" i="264"/>
  <c r="BA63" i="264"/>
  <c r="BA64" i="264"/>
  <c r="BA65" i="264"/>
  <c r="BA66" i="264"/>
  <c r="BA70" i="264"/>
  <c r="BA71" i="264"/>
  <c r="BA72" i="264"/>
  <c r="BA73" i="264"/>
  <c r="BA77" i="264"/>
  <c r="BA78" i="264"/>
  <c r="BA79" i="264"/>
  <c r="BA80" i="264"/>
  <c r="BC36" i="264"/>
  <c r="BC35" i="264"/>
  <c r="BC34" i="264"/>
  <c r="BC33" i="264"/>
  <c r="BC29" i="264"/>
  <c r="BC28" i="264"/>
  <c r="BC27" i="264"/>
  <c r="BC26" i="264"/>
  <c r="BC22" i="264"/>
  <c r="BC21" i="264"/>
  <c r="BC20" i="264"/>
  <c r="BC19" i="264"/>
  <c r="BC15" i="264"/>
  <c r="BC14" i="264"/>
  <c r="BC13" i="264"/>
  <c r="BC12" i="264"/>
  <c r="BB36" i="264"/>
  <c r="BB35" i="264"/>
  <c r="BB34" i="264"/>
  <c r="BB33" i="264"/>
  <c r="BB29" i="264"/>
  <c r="BB28" i="264"/>
  <c r="BB27" i="264"/>
  <c r="BB26" i="264"/>
  <c r="BB22" i="264"/>
  <c r="BB21" i="264"/>
  <c r="BB20" i="264"/>
  <c r="BB19" i="264"/>
  <c r="BB15" i="264"/>
  <c r="BB14" i="264"/>
  <c r="BB13" i="264"/>
  <c r="BB12" i="264"/>
  <c r="BA36" i="264"/>
  <c r="BA35" i="264"/>
  <c r="BA34" i="264"/>
  <c r="BA33" i="264"/>
  <c r="BA29" i="264"/>
  <c r="BA28" i="264"/>
  <c r="BA27" i="264"/>
  <c r="BA26" i="264"/>
  <c r="BA22" i="264"/>
  <c r="BA21" i="264"/>
  <c r="BA20" i="264"/>
  <c r="BA19" i="264"/>
  <c r="BA15" i="264"/>
  <c r="BA14" i="264"/>
  <c r="BA13" i="264"/>
  <c r="BA12" i="264"/>
  <c r="E8" i="231"/>
  <c r="C10" i="264" s="1"/>
  <c r="E9" i="231"/>
  <c r="C11" i="264" s="1"/>
  <c r="E10" i="231"/>
  <c r="C12" i="264" s="1"/>
  <c r="E11" i="231"/>
  <c r="C16" i="264" s="1"/>
  <c r="E12" i="231"/>
  <c r="C17" i="264" s="1"/>
  <c r="E13" i="231"/>
  <c r="C18" i="264" s="1"/>
  <c r="E14" i="231"/>
  <c r="C19" i="264" s="1"/>
  <c r="E15" i="231"/>
  <c r="C23" i="264" s="1"/>
  <c r="E16" i="231"/>
  <c r="C24" i="264" s="1"/>
  <c r="E17" i="231"/>
  <c r="C25" i="264" s="1"/>
  <c r="E18" i="231"/>
  <c r="C26" i="264" s="1"/>
  <c r="E19" i="231"/>
  <c r="C30" i="264" s="1"/>
  <c r="E20" i="231"/>
  <c r="C31" i="264" s="1"/>
  <c r="E21" i="231"/>
  <c r="C32" i="264" s="1"/>
  <c r="E22" i="231"/>
  <c r="C33" i="264" s="1"/>
  <c r="E23" i="231"/>
  <c r="C53" i="264" s="1"/>
  <c r="E24" i="231"/>
  <c r="C54" i="264" s="1"/>
  <c r="E25" i="231"/>
  <c r="C55" i="264" s="1"/>
  <c r="E26" i="231"/>
  <c r="C56" i="264" s="1"/>
  <c r="E27" i="231"/>
  <c r="C60" i="264" s="1"/>
  <c r="E28" i="231"/>
  <c r="C61" i="264" s="1"/>
  <c r="E29" i="231"/>
  <c r="C62" i="264" s="1"/>
  <c r="E30" i="231"/>
  <c r="C63" i="264" s="1"/>
  <c r="E31" i="231"/>
  <c r="C67" i="264" s="1"/>
  <c r="E32" i="231"/>
  <c r="C68" i="264" s="1"/>
  <c r="E33" i="231"/>
  <c r="C69" i="264" s="1"/>
  <c r="E34" i="231"/>
  <c r="C70" i="264" s="1"/>
  <c r="E35" i="231"/>
  <c r="C74" i="264" s="1"/>
  <c r="E36" i="231"/>
  <c r="C75" i="264" s="1"/>
  <c r="E37" i="231"/>
  <c r="C76" i="264" s="1"/>
  <c r="E38" i="231"/>
  <c r="C77" i="264" s="1"/>
  <c r="E7" i="231"/>
  <c r="C9" i="264" s="1"/>
  <c r="P90" i="231"/>
  <c r="D90" i="231" s="1"/>
  <c r="B43" i="260" s="1"/>
  <c r="P80" i="231"/>
  <c r="D80" i="231" s="1"/>
  <c r="B33" i="260" s="1"/>
  <c r="D11" i="231"/>
  <c r="B16" i="264" s="1"/>
  <c r="D12" i="231"/>
  <c r="D13" i="231"/>
  <c r="B18" i="264" s="1"/>
  <c r="D14" i="231"/>
  <c r="B19" i="264" s="1"/>
  <c r="D15" i="231"/>
  <c r="B23" i="264" s="1"/>
  <c r="D16" i="231"/>
  <c r="B24" i="264" s="1"/>
  <c r="D17" i="231"/>
  <c r="B25" i="264" s="1"/>
  <c r="D18" i="231"/>
  <c r="B26" i="264" s="1"/>
  <c r="D19" i="231"/>
  <c r="B30" i="264" s="1"/>
  <c r="D20" i="231"/>
  <c r="B31" i="264" s="1"/>
  <c r="D21" i="231"/>
  <c r="B32" i="264" s="1"/>
  <c r="D22" i="231"/>
  <c r="B33" i="264" s="1"/>
  <c r="D23" i="231"/>
  <c r="B53" i="264" s="1"/>
  <c r="D24" i="231"/>
  <c r="B54" i="264" s="1"/>
  <c r="D25" i="231"/>
  <c r="B55" i="264" s="1"/>
  <c r="D26" i="231"/>
  <c r="B56" i="264" s="1"/>
  <c r="D27" i="231"/>
  <c r="B60" i="264" s="1"/>
  <c r="D28" i="231"/>
  <c r="B61" i="264" s="1"/>
  <c r="D29" i="231"/>
  <c r="B62" i="264" s="1"/>
  <c r="D30" i="231"/>
  <c r="B63" i="264" s="1"/>
  <c r="D31" i="231"/>
  <c r="B67" i="264" s="1"/>
  <c r="D32" i="231"/>
  <c r="B68" i="264" s="1"/>
  <c r="D33" i="231"/>
  <c r="B69" i="264" s="1"/>
  <c r="D34" i="231"/>
  <c r="B70" i="264" s="1"/>
  <c r="D35" i="231"/>
  <c r="B74" i="264" s="1"/>
  <c r="D36" i="231"/>
  <c r="B75" i="264" s="1"/>
  <c r="D37" i="231"/>
  <c r="B76" i="264" s="1"/>
  <c r="D38" i="231"/>
  <c r="B77" i="264" s="1"/>
  <c r="P60" i="231"/>
  <c r="D60" i="231" s="1"/>
  <c r="B13" i="260" s="1"/>
  <c r="P70" i="231"/>
  <c r="D70" i="231" s="1"/>
  <c r="B23" i="260" s="1"/>
  <c r="D10" i="231"/>
  <c r="B12" i="264" s="1"/>
  <c r="D8" i="231"/>
  <c r="B10" i="264" s="1"/>
  <c r="D9" i="231"/>
  <c r="B11" i="264" s="1"/>
  <c r="D7" i="231"/>
  <c r="B9" i="264" s="1"/>
  <c r="D58" i="216"/>
  <c r="D59" i="216"/>
  <c r="D60" i="216"/>
  <c r="D61" i="216"/>
  <c r="D62" i="216"/>
  <c r="D63" i="216"/>
  <c r="D64" i="216"/>
  <c r="D65" i="216"/>
  <c r="D66" i="216"/>
  <c r="D67" i="216"/>
  <c r="D68" i="216"/>
  <c r="D69" i="216"/>
  <c r="D70" i="216"/>
  <c r="D71" i="216"/>
  <c r="D72" i="216"/>
  <c r="D73" i="216"/>
  <c r="D74" i="216"/>
  <c r="D75" i="216"/>
  <c r="D76" i="216"/>
  <c r="D77" i="216"/>
  <c r="D78" i="216"/>
  <c r="D79" i="216"/>
  <c r="D80" i="216"/>
  <c r="D81" i="216"/>
  <c r="D38" i="216"/>
  <c r="D39" i="216"/>
  <c r="D40" i="216"/>
  <c r="D41" i="216"/>
  <c r="D42" i="216"/>
  <c r="D47" i="216"/>
  <c r="D48" i="216"/>
  <c r="D49" i="216"/>
  <c r="D50" i="216"/>
  <c r="D51" i="216"/>
  <c r="D52" i="216"/>
  <c r="D53" i="216"/>
  <c r="D54" i="216"/>
  <c r="D55" i="216"/>
  <c r="D56" i="216"/>
  <c r="D57" i="216"/>
  <c r="D18" i="216"/>
  <c r="E98" i="231" s="1"/>
  <c r="D20" i="216"/>
  <c r="D21" i="216"/>
  <c r="D22" i="216"/>
  <c r="D23" i="216"/>
  <c r="D24" i="216"/>
  <c r="D25" i="216"/>
  <c r="D26" i="216"/>
  <c r="D27" i="216"/>
  <c r="D28" i="216"/>
  <c r="D29" i="216"/>
  <c r="D33" i="216"/>
  <c r="D35" i="216"/>
  <c r="D36" i="216"/>
  <c r="D37" i="216"/>
  <c r="D17" i="216"/>
  <c r="D16" i="216"/>
  <c r="D15" i="216"/>
  <c r="D14" i="216"/>
  <c r="D13" i="216"/>
  <c r="D12" i="216"/>
  <c r="D11" i="216"/>
  <c r="D10" i="216"/>
  <c r="D9" i="216"/>
  <c r="D8" i="216"/>
  <c r="D7" i="216"/>
  <c r="C64" i="216"/>
  <c r="C59" i="216"/>
  <c r="C60" i="216"/>
  <c r="C61" i="216"/>
  <c r="C62" i="216"/>
  <c r="C63" i="216"/>
  <c r="C65" i="216"/>
  <c r="C66" i="216"/>
  <c r="C67" i="216"/>
  <c r="C68" i="216"/>
  <c r="C69" i="216"/>
  <c r="C70" i="216"/>
  <c r="C71" i="216"/>
  <c r="C72" i="216"/>
  <c r="C73" i="216"/>
  <c r="C74" i="216"/>
  <c r="C75" i="216"/>
  <c r="C76" i="216"/>
  <c r="C77" i="216"/>
  <c r="C78" i="216"/>
  <c r="C79" i="216"/>
  <c r="C80" i="216"/>
  <c r="C81" i="216"/>
  <c r="C58" i="216"/>
  <c r="C57" i="216"/>
  <c r="D77" i="264" s="1"/>
  <c r="C56" i="216"/>
  <c r="D70" i="264" s="1"/>
  <c r="C55" i="216"/>
  <c r="G8" i="270" s="1"/>
  <c r="C54" i="216"/>
  <c r="D56" i="264" s="1"/>
  <c r="C53" i="216"/>
  <c r="C52" i="216"/>
  <c r="C51" i="216"/>
  <c r="C50" i="216"/>
  <c r="C49" i="216"/>
  <c r="C48" i="216"/>
  <c r="C47" i="216"/>
  <c r="C46" i="216"/>
  <c r="C45" i="216"/>
  <c r="G43" i="260" s="1"/>
  <c r="C44" i="216"/>
  <c r="G33" i="260" s="1"/>
  <c r="C43" i="216"/>
  <c r="G21" i="260" s="1"/>
  <c r="C42" i="216"/>
  <c r="C41" i="216"/>
  <c r="C40" i="216"/>
  <c r="C39" i="216"/>
  <c r="C38" i="216"/>
  <c r="G14" i="260" s="1"/>
  <c r="C37" i="216"/>
  <c r="D115" i="231" s="1"/>
  <c r="C36" i="216"/>
  <c r="D114" i="231" s="1"/>
  <c r="C35" i="216"/>
  <c r="C33" i="216"/>
  <c r="S52" i="231" s="1"/>
  <c r="S96" i="231"/>
  <c r="C29" i="216"/>
  <c r="F10" i="270" s="1"/>
  <c r="F14" i="270" s="1"/>
  <c r="C28" i="216"/>
  <c r="C27" i="216"/>
  <c r="C26" i="216"/>
  <c r="C25" i="216"/>
  <c r="G9" i="242" s="1"/>
  <c r="C24" i="216"/>
  <c r="C23" i="216"/>
  <c r="F28" i="260" s="1"/>
  <c r="F68" i="260" s="1"/>
  <c r="F108" i="260" s="1"/>
  <c r="C22" i="216"/>
  <c r="D101" i="231" s="1"/>
  <c r="C21" i="216"/>
  <c r="C20" i="216"/>
  <c r="F35" i="260" s="1"/>
  <c r="F45" i="260" s="1"/>
  <c r="F85" i="260" s="1"/>
  <c r="F125" i="260" s="1"/>
  <c r="C18" i="216"/>
  <c r="S53" i="231" s="1"/>
  <c r="C17" i="216"/>
  <c r="C16" i="216"/>
  <c r="B33" i="221" s="1"/>
  <c r="C15" i="216"/>
  <c r="C14" i="216"/>
  <c r="C13" i="216"/>
  <c r="C12" i="216"/>
  <c r="C11" i="216"/>
  <c r="C10" i="216"/>
  <c r="C9" i="216"/>
  <c r="C8" i="216"/>
  <c r="C7" i="216"/>
  <c r="E9" i="264" s="1"/>
  <c r="O10" i="270"/>
  <c r="O9" i="270"/>
  <c r="O14" i="270"/>
  <c r="E14" i="270"/>
  <c r="D14" i="270"/>
  <c r="O13" i="270"/>
  <c r="E13" i="270"/>
  <c r="D13" i="270"/>
  <c r="E12" i="270"/>
  <c r="D12" i="270"/>
  <c r="E11" i="270"/>
  <c r="D11" i="270"/>
  <c r="AK36" i="264"/>
  <c r="AK35" i="264"/>
  <c r="AK34" i="264"/>
  <c r="BF34" i="264" s="1"/>
  <c r="AK33" i="264"/>
  <c r="BF33" i="264" s="1"/>
  <c r="AJ36" i="264"/>
  <c r="AJ35" i="264"/>
  <c r="AJ34" i="264"/>
  <c r="AJ33" i="264"/>
  <c r="AI36" i="264"/>
  <c r="AI35" i="264"/>
  <c r="AI34" i="264"/>
  <c r="AI33" i="264"/>
  <c r="AK29" i="264"/>
  <c r="AK28" i="264"/>
  <c r="AK27" i="264"/>
  <c r="AK26" i="264"/>
  <c r="AJ29" i="264"/>
  <c r="AJ28" i="264"/>
  <c r="AJ27" i="264"/>
  <c r="AJ26" i="264"/>
  <c r="AI29" i="264"/>
  <c r="AI28" i="264"/>
  <c r="AI27" i="264"/>
  <c r="AI26" i="264"/>
  <c r="AK22" i="264"/>
  <c r="AK21" i="264"/>
  <c r="AK20" i="264"/>
  <c r="AK19" i="264"/>
  <c r="AJ22" i="264"/>
  <c r="AJ21" i="264"/>
  <c r="AJ20" i="264"/>
  <c r="AJ19" i="264"/>
  <c r="AI22" i="264"/>
  <c r="AI21" i="264"/>
  <c r="AI20" i="264"/>
  <c r="AI19" i="264"/>
  <c r="D47" i="260"/>
  <c r="D87" i="260" s="1"/>
  <c r="E47" i="260"/>
  <c r="E87" i="260" s="1"/>
  <c r="E127" i="260" s="1"/>
  <c r="D48" i="260"/>
  <c r="D88" i="260" s="1"/>
  <c r="E48" i="260"/>
  <c r="E88" i="260" s="1"/>
  <c r="E128" i="260" s="1"/>
  <c r="D49" i="260"/>
  <c r="D89" i="260" s="1"/>
  <c r="E49" i="260"/>
  <c r="E89" i="260" s="1"/>
  <c r="E129" i="260" s="1"/>
  <c r="D50" i="260"/>
  <c r="D90" i="260" s="1"/>
  <c r="E50" i="260"/>
  <c r="E90" i="260" s="1"/>
  <c r="E130" i="260" s="1"/>
  <c r="D51" i="260"/>
  <c r="D91" i="260" s="1"/>
  <c r="E51" i="260"/>
  <c r="E91" i="260" s="1"/>
  <c r="E131" i="260" s="1"/>
  <c r="D52" i="260"/>
  <c r="D92" i="260" s="1"/>
  <c r="E52" i="260"/>
  <c r="E92" i="260" s="1"/>
  <c r="D53" i="260"/>
  <c r="D93" i="260" s="1"/>
  <c r="E53" i="260"/>
  <c r="E93" i="260" s="1"/>
  <c r="E133" i="260" s="1"/>
  <c r="D54" i="260"/>
  <c r="D94" i="260" s="1"/>
  <c r="E54" i="260"/>
  <c r="E94" i="260" s="1"/>
  <c r="E134" i="260" s="1"/>
  <c r="D55" i="260"/>
  <c r="D95" i="260" s="1"/>
  <c r="E55" i="260"/>
  <c r="D56" i="260"/>
  <c r="D96" i="260" s="1"/>
  <c r="E56" i="260"/>
  <c r="E96" i="260" s="1"/>
  <c r="E136" i="260" s="1"/>
  <c r="D57" i="260"/>
  <c r="D97" i="260" s="1"/>
  <c r="E57" i="260"/>
  <c r="E97" i="260" s="1"/>
  <c r="E137" i="260" s="1"/>
  <c r="D58" i="260"/>
  <c r="D98" i="260" s="1"/>
  <c r="E58" i="260"/>
  <c r="E98" i="260" s="1"/>
  <c r="E138" i="260" s="1"/>
  <c r="D59" i="260"/>
  <c r="D99" i="260" s="1"/>
  <c r="E59" i="260"/>
  <c r="E99" i="260" s="1"/>
  <c r="E139" i="260" s="1"/>
  <c r="D60" i="260"/>
  <c r="D100" i="260" s="1"/>
  <c r="E60" i="260"/>
  <c r="E100" i="260" s="1"/>
  <c r="E140" i="260" s="1"/>
  <c r="D61" i="260"/>
  <c r="D101" i="260" s="1"/>
  <c r="E61" i="260"/>
  <c r="E101" i="260" s="1"/>
  <c r="E141" i="260" s="1"/>
  <c r="D62" i="260"/>
  <c r="D102" i="260" s="1"/>
  <c r="E62" i="260"/>
  <c r="E102" i="260" s="1"/>
  <c r="D63" i="260"/>
  <c r="D103" i="260" s="1"/>
  <c r="E63" i="260"/>
  <c r="E103" i="260" s="1"/>
  <c r="E143" i="260" s="1"/>
  <c r="D64" i="260"/>
  <c r="D104" i="260" s="1"/>
  <c r="D144" i="260" s="1"/>
  <c r="E64" i="260"/>
  <c r="E104" i="260" s="1"/>
  <c r="E144" i="260" s="1"/>
  <c r="D65" i="260"/>
  <c r="D105" i="260" s="1"/>
  <c r="E65" i="260"/>
  <c r="E105" i="260" s="1"/>
  <c r="E145" i="260" s="1"/>
  <c r="D66" i="260"/>
  <c r="D106" i="260" s="1"/>
  <c r="E66" i="260"/>
  <c r="E106" i="260" s="1"/>
  <c r="E146" i="260" s="1"/>
  <c r="D67" i="260"/>
  <c r="D107" i="260" s="1"/>
  <c r="E67" i="260"/>
  <c r="E107" i="260" s="1"/>
  <c r="E147" i="260" s="1"/>
  <c r="D68" i="260"/>
  <c r="D108" i="260" s="1"/>
  <c r="E68" i="260"/>
  <c r="E108" i="260" s="1"/>
  <c r="E148" i="260" s="1"/>
  <c r="D69" i="260"/>
  <c r="D109" i="260" s="1"/>
  <c r="E69" i="260"/>
  <c r="E109" i="260" s="1"/>
  <c r="E149" i="260" s="1"/>
  <c r="D70" i="260"/>
  <c r="D110" i="260" s="1"/>
  <c r="E70" i="260"/>
  <c r="E110" i="260" s="1"/>
  <c r="E150" i="260" s="1"/>
  <c r="D71" i="260"/>
  <c r="D111" i="260" s="1"/>
  <c r="D151" i="260" s="1"/>
  <c r="E71" i="260"/>
  <c r="E111" i="260" s="1"/>
  <c r="E151" i="260" s="1"/>
  <c r="D72" i="260"/>
  <c r="D112" i="260" s="1"/>
  <c r="E72" i="260"/>
  <c r="E112" i="260" s="1"/>
  <c r="D73" i="260"/>
  <c r="D113" i="260" s="1"/>
  <c r="E73" i="260"/>
  <c r="E113" i="260" s="1"/>
  <c r="E153" i="260" s="1"/>
  <c r="D74" i="260"/>
  <c r="D114" i="260" s="1"/>
  <c r="E74" i="260"/>
  <c r="E114" i="260" s="1"/>
  <c r="E154" i="260" s="1"/>
  <c r="D75" i="260"/>
  <c r="D115" i="260" s="1"/>
  <c r="E75" i="260"/>
  <c r="E115" i="260" s="1"/>
  <c r="E155" i="260" s="1"/>
  <c r="D76" i="260"/>
  <c r="D116" i="260" s="1"/>
  <c r="D156" i="260" s="1"/>
  <c r="E76" i="260"/>
  <c r="E116" i="260" s="1"/>
  <c r="E156" i="260" s="1"/>
  <c r="D77" i="260"/>
  <c r="D117" i="260" s="1"/>
  <c r="E77" i="260"/>
  <c r="E117" i="260" s="1"/>
  <c r="E157" i="260" s="1"/>
  <c r="D78" i="260"/>
  <c r="D118" i="260" s="1"/>
  <c r="E78" i="260"/>
  <c r="E118" i="260" s="1"/>
  <c r="E158" i="260" s="1"/>
  <c r="D79" i="260"/>
  <c r="D119" i="260" s="1"/>
  <c r="E79" i="260"/>
  <c r="E119" i="260" s="1"/>
  <c r="E159" i="260" s="1"/>
  <c r="D80" i="260"/>
  <c r="D120" i="260" s="1"/>
  <c r="E80" i="260"/>
  <c r="E120" i="260" s="1"/>
  <c r="E160" i="260" s="1"/>
  <c r="D81" i="260"/>
  <c r="D121" i="260" s="1"/>
  <c r="E81" i="260"/>
  <c r="E121" i="260" s="1"/>
  <c r="E161" i="260" s="1"/>
  <c r="D82" i="260"/>
  <c r="D122" i="260" s="1"/>
  <c r="E82" i="260"/>
  <c r="E122" i="260" s="1"/>
  <c r="D83" i="260"/>
  <c r="D123" i="260" s="1"/>
  <c r="E83" i="260"/>
  <c r="E123" i="260" s="1"/>
  <c r="E163" i="260" s="1"/>
  <c r="D84" i="260"/>
  <c r="D124" i="260" s="1"/>
  <c r="E84" i="260"/>
  <c r="E124" i="260" s="1"/>
  <c r="E164" i="260" s="1"/>
  <c r="D85" i="260"/>
  <c r="D125" i="260" s="1"/>
  <c r="E85" i="260"/>
  <c r="E125" i="260" s="1"/>
  <c r="E165" i="260" s="1"/>
  <c r="E46" i="260"/>
  <c r="D46" i="260"/>
  <c r="D86" i="260" s="1"/>
  <c r="D126" i="260" s="1"/>
  <c r="O85" i="260"/>
  <c r="O84" i="260"/>
  <c r="T84" i="260" s="1"/>
  <c r="O83" i="260"/>
  <c r="O82" i="260"/>
  <c r="O81" i="260"/>
  <c r="O80" i="260"/>
  <c r="O79" i="260"/>
  <c r="O78" i="260"/>
  <c r="O77" i="260"/>
  <c r="O76" i="260"/>
  <c r="O75" i="260"/>
  <c r="O74" i="260"/>
  <c r="O73" i="260"/>
  <c r="O72" i="260"/>
  <c r="O71" i="260"/>
  <c r="O70" i="260"/>
  <c r="O69" i="260"/>
  <c r="O68" i="260"/>
  <c r="O67" i="260"/>
  <c r="O66" i="260"/>
  <c r="O45" i="260"/>
  <c r="O44" i="260"/>
  <c r="T44" i="260" s="1"/>
  <c r="O43" i="260"/>
  <c r="O42" i="260"/>
  <c r="O41" i="260"/>
  <c r="O40" i="260"/>
  <c r="O39" i="260"/>
  <c r="O38" i="260"/>
  <c r="O37" i="260"/>
  <c r="O36" i="260"/>
  <c r="O35" i="260"/>
  <c r="O34" i="260"/>
  <c r="O33" i="260"/>
  <c r="O32" i="260"/>
  <c r="O31" i="260"/>
  <c r="O30" i="260"/>
  <c r="O29" i="260"/>
  <c r="O28" i="260"/>
  <c r="O27" i="260"/>
  <c r="O26" i="260"/>
  <c r="AE5" i="267"/>
  <c r="AD5" i="267"/>
  <c r="AC5" i="267"/>
  <c r="AB5" i="267"/>
  <c r="AA5" i="267"/>
  <c r="Z5" i="267"/>
  <c r="Y5" i="267"/>
  <c r="X5" i="267"/>
  <c r="W5" i="267"/>
  <c r="D14" i="269" l="1"/>
  <c r="D22" i="269"/>
  <c r="D10" i="269"/>
  <c r="D18" i="269"/>
  <c r="S42" i="231"/>
  <c r="E22" i="269"/>
  <c r="E18" i="269"/>
  <c r="E10" i="269"/>
  <c r="E14" i="269"/>
  <c r="E52" i="269"/>
  <c r="E60" i="269" s="1"/>
  <c r="E68" i="269" s="1"/>
  <c r="E76" i="269" s="1"/>
  <c r="E51" i="269"/>
  <c r="E59" i="269" s="1"/>
  <c r="E67" i="269" s="1"/>
  <c r="E75" i="269" s="1"/>
  <c r="T52" i="231"/>
  <c r="E52" i="231" s="1"/>
  <c r="C52" i="269" s="1"/>
  <c r="C60" i="269" s="1"/>
  <c r="C68" i="269" s="1"/>
  <c r="C76" i="269" s="1"/>
  <c r="P52" i="231"/>
  <c r="D52" i="231" s="1"/>
  <c r="B52" i="269" s="1"/>
  <c r="B60" i="269" s="1"/>
  <c r="B68" i="269" s="1"/>
  <c r="B76" i="269" s="1"/>
  <c r="B30" i="221"/>
  <c r="E50" i="269"/>
  <c r="E58" i="269" s="1"/>
  <c r="E66" i="269" s="1"/>
  <c r="E74" i="269" s="1"/>
  <c r="E48" i="269"/>
  <c r="E56" i="269" s="1"/>
  <c r="E64" i="269" s="1"/>
  <c r="E72" i="269" s="1"/>
  <c r="E47" i="269"/>
  <c r="E55" i="269" s="1"/>
  <c r="E63" i="269" s="1"/>
  <c r="E71" i="269" s="1"/>
  <c r="E49" i="269"/>
  <c r="E57" i="269" s="1"/>
  <c r="E65" i="269" s="1"/>
  <c r="E73" i="269" s="1"/>
  <c r="F33" i="260"/>
  <c r="F73" i="260" s="1"/>
  <c r="F113" i="260" s="1"/>
  <c r="F193" i="260" s="1"/>
  <c r="S49" i="231"/>
  <c r="D49" i="269"/>
  <c r="D57" i="269" s="1"/>
  <c r="D65" i="269" s="1"/>
  <c r="D73" i="269" s="1"/>
  <c r="S84" i="231"/>
  <c r="P84" i="231" s="1"/>
  <c r="D84" i="231" s="1"/>
  <c r="B37" i="260" s="1"/>
  <c r="S47" i="231"/>
  <c r="D47" i="269"/>
  <c r="D55" i="269" s="1"/>
  <c r="D63" i="269" s="1"/>
  <c r="D71" i="269" s="1"/>
  <c r="D46" i="269"/>
  <c r="T41" i="231"/>
  <c r="E41" i="231" s="1"/>
  <c r="C9" i="269" s="1"/>
  <c r="F39" i="260"/>
  <c r="F79" i="260" s="1"/>
  <c r="F119" i="260" s="1"/>
  <c r="F159" i="260" s="1"/>
  <c r="D50" i="269"/>
  <c r="D58" i="269" s="1"/>
  <c r="D66" i="269" s="1"/>
  <c r="D74" i="269" s="1"/>
  <c r="S50" i="231"/>
  <c r="B36" i="221"/>
  <c r="E9" i="269"/>
  <c r="F41" i="260"/>
  <c r="F81" i="260" s="1"/>
  <c r="F121" i="260" s="1"/>
  <c r="F161" i="260" s="1"/>
  <c r="D48" i="269"/>
  <c r="D56" i="269" s="1"/>
  <c r="D64" i="269" s="1"/>
  <c r="D72" i="269" s="1"/>
  <c r="S48" i="231"/>
  <c r="F40" i="260"/>
  <c r="F80" i="260" s="1"/>
  <c r="F120" i="260" s="1"/>
  <c r="E11" i="232"/>
  <c r="D11" i="232"/>
  <c r="D98" i="231"/>
  <c r="F6" i="260"/>
  <c r="D12" i="264"/>
  <c r="D19" i="264"/>
  <c r="D205" i="260"/>
  <c r="D165" i="260"/>
  <c r="D177" i="260"/>
  <c r="D137" i="260"/>
  <c r="F205" i="260"/>
  <c r="F165" i="260"/>
  <c r="D204" i="260"/>
  <c r="D164" i="260"/>
  <c r="D190" i="260"/>
  <c r="D150" i="260"/>
  <c r="D176" i="260"/>
  <c r="D136" i="260"/>
  <c r="F188" i="260"/>
  <c r="F148" i="260"/>
  <c r="D203" i="260"/>
  <c r="D163" i="260"/>
  <c r="D189" i="260"/>
  <c r="D149" i="260"/>
  <c r="D175" i="260"/>
  <c r="D135" i="260"/>
  <c r="F199" i="260"/>
  <c r="E202" i="260"/>
  <c r="E162" i="260"/>
  <c r="F200" i="260"/>
  <c r="F160" i="260"/>
  <c r="D202" i="260"/>
  <c r="D162" i="260"/>
  <c r="D188" i="260"/>
  <c r="D148" i="260"/>
  <c r="D174" i="260"/>
  <c r="D134" i="260"/>
  <c r="F201" i="260"/>
  <c r="D187" i="260"/>
  <c r="D147" i="260"/>
  <c r="D173" i="260"/>
  <c r="D133" i="260"/>
  <c r="F153" i="260"/>
  <c r="E172" i="260"/>
  <c r="E132" i="260"/>
  <c r="D201" i="260"/>
  <c r="D161" i="260"/>
  <c r="D200" i="260"/>
  <c r="D160" i="260"/>
  <c r="D186" i="260"/>
  <c r="D146" i="260"/>
  <c r="D172" i="260"/>
  <c r="D132" i="260"/>
  <c r="D199" i="260"/>
  <c r="D159" i="260"/>
  <c r="D185" i="260"/>
  <c r="D145" i="260"/>
  <c r="D171" i="260"/>
  <c r="D131" i="260"/>
  <c r="D198" i="260"/>
  <c r="D158" i="260"/>
  <c r="D170" i="260"/>
  <c r="D130" i="260"/>
  <c r="D197" i="260"/>
  <c r="D157" i="260"/>
  <c r="D183" i="260"/>
  <c r="D143" i="260"/>
  <c r="D169" i="260"/>
  <c r="D129" i="260"/>
  <c r="E182" i="260"/>
  <c r="E142" i="260"/>
  <c r="D182" i="260"/>
  <c r="D142" i="260"/>
  <c r="D168" i="260"/>
  <c r="D128" i="260"/>
  <c r="D195" i="260"/>
  <c r="D155" i="260"/>
  <c r="D181" i="260"/>
  <c r="D141" i="260"/>
  <c r="D167" i="260"/>
  <c r="D127" i="260"/>
  <c r="D194" i="260"/>
  <c r="D154" i="260"/>
  <c r="D180" i="260"/>
  <c r="D140" i="260"/>
  <c r="D193" i="260"/>
  <c r="D153" i="260"/>
  <c r="D179" i="260"/>
  <c r="D139" i="260"/>
  <c r="E192" i="260"/>
  <c r="E152" i="260"/>
  <c r="D192" i="260"/>
  <c r="D152" i="260"/>
  <c r="D178" i="260"/>
  <c r="D138" i="260"/>
  <c r="E86" i="260"/>
  <c r="E126" i="260" s="1"/>
  <c r="D19" i="270"/>
  <c r="D15" i="270"/>
  <c r="E19" i="270"/>
  <c r="E15" i="270"/>
  <c r="D20" i="270"/>
  <c r="D16" i="270"/>
  <c r="F22" i="270"/>
  <c r="F18" i="270"/>
  <c r="E22" i="270"/>
  <c r="E18" i="270"/>
  <c r="E21" i="270"/>
  <c r="E17" i="270"/>
  <c r="D21" i="270"/>
  <c r="D17" i="270"/>
  <c r="D22" i="270"/>
  <c r="D18" i="270"/>
  <c r="E20" i="270"/>
  <c r="E16" i="270"/>
  <c r="AC8" i="264"/>
  <c r="AF8" i="264" s="1"/>
  <c r="W8" i="264"/>
  <c r="Z8" i="264" s="1"/>
  <c r="AD8" i="264"/>
  <c r="AG8" i="264" s="1"/>
  <c r="X8" i="264"/>
  <c r="AA8" i="264" s="1"/>
  <c r="AE8" i="264"/>
  <c r="AH8" i="264" s="1"/>
  <c r="Y8" i="264"/>
  <c r="AB8" i="264" s="1"/>
  <c r="AC52" i="264"/>
  <c r="AF52" i="264" s="1"/>
  <c r="W52" i="264"/>
  <c r="Z52" i="264" s="1"/>
  <c r="AD52" i="264"/>
  <c r="AG52" i="264" s="1"/>
  <c r="X52" i="264"/>
  <c r="AA52" i="264" s="1"/>
  <c r="AE52" i="264"/>
  <c r="AH52" i="264" s="1"/>
  <c r="Y52" i="264"/>
  <c r="AB52" i="264" s="1"/>
  <c r="BE27" i="264"/>
  <c r="BE28" i="264"/>
  <c r="BF26" i="264"/>
  <c r="E188" i="260"/>
  <c r="E174" i="260"/>
  <c r="E186" i="260"/>
  <c r="E204" i="260"/>
  <c r="E199" i="260"/>
  <c r="E185" i="260"/>
  <c r="E171" i="260"/>
  <c r="E170" i="260"/>
  <c r="E190" i="260"/>
  <c r="E203" i="260"/>
  <c r="E169" i="260"/>
  <c r="E200" i="260"/>
  <c r="E168" i="260"/>
  <c r="E187" i="260"/>
  <c r="E95" i="260"/>
  <c r="E135" i="260" s="1"/>
  <c r="E197" i="260"/>
  <c r="E196" i="260"/>
  <c r="D196" i="260"/>
  <c r="E195" i="260"/>
  <c r="E181" i="260"/>
  <c r="E167" i="260"/>
  <c r="E194" i="260"/>
  <c r="E180" i="260"/>
  <c r="E176" i="260"/>
  <c r="E189" i="260"/>
  <c r="E201" i="260"/>
  <c r="E198" i="260"/>
  <c r="E193" i="260"/>
  <c r="E179" i="260"/>
  <c r="D166" i="260"/>
  <c r="E178" i="260"/>
  <c r="E184" i="260"/>
  <c r="E166" i="260"/>
  <c r="E173" i="260"/>
  <c r="E183" i="260"/>
  <c r="E205" i="260"/>
  <c r="E191" i="260"/>
  <c r="E177" i="260"/>
  <c r="D184" i="260"/>
  <c r="D191" i="260"/>
  <c r="D74" i="264"/>
  <c r="D75" i="264"/>
  <c r="D76" i="264"/>
  <c r="D67" i="264"/>
  <c r="D68" i="264"/>
  <c r="D69" i="264"/>
  <c r="D113" i="231"/>
  <c r="F44" i="260"/>
  <c r="F84" i="260" s="1"/>
  <c r="F124" i="260" s="1"/>
  <c r="F24" i="260"/>
  <c r="D11" i="264"/>
  <c r="D45" i="216" s="1"/>
  <c r="D9" i="264"/>
  <c r="D43" i="216" s="1"/>
  <c r="D44" i="216"/>
  <c r="D18" i="264"/>
  <c r="D17" i="264"/>
  <c r="D16" i="264"/>
  <c r="D46" i="216" s="1"/>
  <c r="D25" i="264"/>
  <c r="D24" i="264"/>
  <c r="D23" i="264"/>
  <c r="D60" i="264"/>
  <c r="G44" i="260"/>
  <c r="G84" i="260" s="1"/>
  <c r="G124" i="260" s="1"/>
  <c r="D32" i="264"/>
  <c r="D31" i="264"/>
  <c r="D30" i="264"/>
  <c r="D61" i="264"/>
  <c r="D62" i="264"/>
  <c r="D63" i="264"/>
  <c r="D53" i="264"/>
  <c r="D54" i="264"/>
  <c r="D55" i="264"/>
  <c r="D33" i="264"/>
  <c r="D26" i="264"/>
  <c r="BF14" i="264"/>
  <c r="BF36" i="264"/>
  <c r="BE13" i="264"/>
  <c r="BF13" i="264"/>
  <c r="BF15" i="264"/>
  <c r="BF19" i="264"/>
  <c r="BF21" i="264"/>
  <c r="BF29" i="264"/>
  <c r="BF20" i="264"/>
  <c r="BF22" i="264"/>
  <c r="BF27" i="264"/>
  <c r="BF28" i="264"/>
  <c r="BE14" i="264"/>
  <c r="BE19" i="264"/>
  <c r="BE22" i="264"/>
  <c r="BE26" i="264"/>
  <c r="BE29" i="264"/>
  <c r="BE33" i="264"/>
  <c r="BE34" i="264"/>
  <c r="BE35" i="264"/>
  <c r="BE36" i="264"/>
  <c r="BF12" i="264"/>
  <c r="BE20" i="264"/>
  <c r="BE12" i="264"/>
  <c r="BF35" i="264"/>
  <c r="BE15" i="264"/>
  <c r="BE21" i="264"/>
  <c r="S59" i="231"/>
  <c r="P59" i="231" s="1"/>
  <c r="D59" i="231" s="1"/>
  <c r="B12" i="260" s="1"/>
  <c r="S39" i="231"/>
  <c r="P39" i="231" s="1"/>
  <c r="D39" i="231" s="1"/>
  <c r="B7" i="269" s="1"/>
  <c r="S79" i="231"/>
  <c r="P79" i="231" s="1"/>
  <c r="D79" i="231" s="1"/>
  <c r="B32" i="260" s="1"/>
  <c r="S87" i="231"/>
  <c r="P87" i="231" s="1"/>
  <c r="D87" i="231" s="1"/>
  <c r="B40" i="260" s="1"/>
  <c r="S86" i="231"/>
  <c r="T86" i="231" s="1"/>
  <c r="E86" i="231" s="1"/>
  <c r="C39" i="260" s="1"/>
  <c r="C79" i="260" s="1"/>
  <c r="C119" i="260" s="1"/>
  <c r="S61" i="231"/>
  <c r="P61" i="231" s="1"/>
  <c r="D61" i="231" s="1"/>
  <c r="B14" i="260" s="1"/>
  <c r="T60" i="231"/>
  <c r="E60" i="231" s="1"/>
  <c r="C13" i="260" s="1"/>
  <c r="T96" i="231"/>
  <c r="E96" i="231" s="1"/>
  <c r="C10" i="270" s="1"/>
  <c r="C14" i="270" s="1"/>
  <c r="D104" i="231"/>
  <c r="B11" i="232" s="1"/>
  <c r="S64" i="231"/>
  <c r="T64" i="231" s="1"/>
  <c r="E64" i="231" s="1"/>
  <c r="C17" i="260" s="1"/>
  <c r="S65" i="231"/>
  <c r="T65" i="231" s="1"/>
  <c r="E65" i="231" s="1"/>
  <c r="C18" i="260" s="1"/>
  <c r="G22" i="260"/>
  <c r="G31" i="260"/>
  <c r="G71" i="260" s="1"/>
  <c r="G111" i="260" s="1"/>
  <c r="D112" i="231"/>
  <c r="G23" i="260"/>
  <c r="S62" i="231"/>
  <c r="P62" i="231" s="1"/>
  <c r="D62" i="231" s="1"/>
  <c r="B15" i="260" s="1"/>
  <c r="S88" i="231"/>
  <c r="P88" i="231" s="1"/>
  <c r="D88" i="231" s="1"/>
  <c r="B41" i="260" s="1"/>
  <c r="D109" i="231"/>
  <c r="G26" i="260"/>
  <c r="G66" i="260" s="1"/>
  <c r="G106" i="260" s="1"/>
  <c r="S54" i="231"/>
  <c r="T54" i="231" s="1"/>
  <c r="E54" i="231" s="1"/>
  <c r="C7" i="260" s="1"/>
  <c r="S89" i="231"/>
  <c r="P89" i="231" s="1"/>
  <c r="D89" i="231" s="1"/>
  <c r="B42" i="260" s="1"/>
  <c r="D108" i="231"/>
  <c r="G27" i="260"/>
  <c r="G67" i="260" s="1"/>
  <c r="G107" i="260" s="1"/>
  <c r="D107" i="231"/>
  <c r="G28" i="260"/>
  <c r="G68" i="260" s="1"/>
  <c r="G108" i="260" s="1"/>
  <c r="S91" i="231"/>
  <c r="P91" i="231" s="1"/>
  <c r="D91" i="231" s="1"/>
  <c r="B44" i="260" s="1"/>
  <c r="D106" i="231"/>
  <c r="G29" i="260"/>
  <c r="G69" i="260" s="1"/>
  <c r="G109" i="260" s="1"/>
  <c r="S92" i="231"/>
  <c r="P92" i="231" s="1"/>
  <c r="D92" i="231" s="1"/>
  <c r="B45" i="260" s="1"/>
  <c r="D105" i="231"/>
  <c r="G30" i="260"/>
  <c r="G70" i="260" s="1"/>
  <c r="G110" i="260" s="1"/>
  <c r="S40" i="231"/>
  <c r="P40" i="231" s="1"/>
  <c r="D40" i="231" s="1"/>
  <c r="B8" i="269" s="1"/>
  <c r="B12" i="269" s="1"/>
  <c r="T90" i="231"/>
  <c r="E90" i="231" s="1"/>
  <c r="C43" i="260" s="1"/>
  <c r="C83" i="260" s="1"/>
  <c r="C123" i="260" s="1"/>
  <c r="D103" i="231"/>
  <c r="G32" i="260"/>
  <c r="G72" i="260" s="1"/>
  <c r="G112" i="260" s="1"/>
  <c r="S43" i="231"/>
  <c r="T43" i="231" s="1"/>
  <c r="E43" i="231" s="1"/>
  <c r="D102" i="231"/>
  <c r="S44" i="231"/>
  <c r="P44" i="231" s="1"/>
  <c r="D44" i="231" s="1"/>
  <c r="B31" i="269" s="1"/>
  <c r="B33" i="269" s="1"/>
  <c r="B35" i="269" s="1"/>
  <c r="T80" i="231"/>
  <c r="E80" i="231" s="1"/>
  <c r="C33" i="260" s="1"/>
  <c r="C73" i="260" s="1"/>
  <c r="C113" i="260" s="1"/>
  <c r="G34" i="260"/>
  <c r="G74" i="260" s="1"/>
  <c r="G114" i="260" s="1"/>
  <c r="S45" i="231"/>
  <c r="T45" i="231" s="1"/>
  <c r="E45" i="231" s="1"/>
  <c r="C45" i="269" s="1"/>
  <c r="C53" i="269" s="1"/>
  <c r="T70" i="231"/>
  <c r="E70" i="231" s="1"/>
  <c r="C23" i="260" s="1"/>
  <c r="D100" i="231"/>
  <c r="G36" i="260"/>
  <c r="G76" i="260" s="1"/>
  <c r="G116" i="260" s="1"/>
  <c r="S46" i="231"/>
  <c r="P46" i="231" s="1"/>
  <c r="D46" i="231" s="1"/>
  <c r="B46" i="269" s="1"/>
  <c r="B54" i="269" s="1"/>
  <c r="D99" i="231"/>
  <c r="G37" i="260"/>
  <c r="G77" i="260" s="1"/>
  <c r="G117" i="260" s="1"/>
  <c r="G38" i="260"/>
  <c r="G78" i="260" s="1"/>
  <c r="G118" i="260" s="1"/>
  <c r="G39" i="260"/>
  <c r="G79" i="260" s="1"/>
  <c r="G119" i="260" s="1"/>
  <c r="S74" i="231"/>
  <c r="T74" i="231" s="1"/>
  <c r="E74" i="231" s="1"/>
  <c r="C27" i="260" s="1"/>
  <c r="C67" i="260" s="1"/>
  <c r="C107" i="260" s="1"/>
  <c r="G40" i="260"/>
  <c r="G80" i="260" s="1"/>
  <c r="G120" i="260" s="1"/>
  <c r="S75" i="231"/>
  <c r="P75" i="231" s="1"/>
  <c r="D75" i="231" s="1"/>
  <c r="B28" i="260" s="1"/>
  <c r="G41" i="260"/>
  <c r="G81" i="260" s="1"/>
  <c r="G121" i="260" s="1"/>
  <c r="S76" i="231"/>
  <c r="P76" i="231" s="1"/>
  <c r="D76" i="231" s="1"/>
  <c r="B29" i="260" s="1"/>
  <c r="G42" i="260"/>
  <c r="G82" i="260" s="1"/>
  <c r="G122" i="260" s="1"/>
  <c r="S73" i="231"/>
  <c r="T73" i="231" s="1"/>
  <c r="E73" i="231" s="1"/>
  <c r="C26" i="260" s="1"/>
  <c r="C66" i="260" s="1"/>
  <c r="C106" i="260" s="1"/>
  <c r="G45" i="260"/>
  <c r="G85" i="260" s="1"/>
  <c r="G125" i="260" s="1"/>
  <c r="T53" i="231"/>
  <c r="E53" i="231" s="1"/>
  <c r="S77" i="231"/>
  <c r="P77" i="231" s="1"/>
  <c r="D77" i="231" s="1"/>
  <c r="B30" i="260" s="1"/>
  <c r="S93" i="231"/>
  <c r="T93" i="231" s="1"/>
  <c r="E93" i="231" s="1"/>
  <c r="C7" i="270" s="1"/>
  <c r="S63" i="231"/>
  <c r="T63" i="231" s="1"/>
  <c r="E63" i="231" s="1"/>
  <c r="C16" i="260" s="1"/>
  <c r="S78" i="231"/>
  <c r="P78" i="231" s="1"/>
  <c r="D78" i="231" s="1"/>
  <c r="B31" i="260" s="1"/>
  <c r="S94" i="231"/>
  <c r="P94" i="231" s="1"/>
  <c r="D94" i="231" s="1"/>
  <c r="B8" i="270" s="1"/>
  <c r="G6" i="260"/>
  <c r="S95" i="231"/>
  <c r="T95" i="231" s="1"/>
  <c r="E95" i="231" s="1"/>
  <c r="C9" i="270" s="1"/>
  <c r="G24" i="260"/>
  <c r="G9" i="270"/>
  <c r="G13" i="270" s="1"/>
  <c r="S66" i="231"/>
  <c r="S81" i="231"/>
  <c r="P81" i="231" s="1"/>
  <c r="D81" i="231" s="1"/>
  <c r="B34" i="260" s="1"/>
  <c r="G16" i="260"/>
  <c r="G10" i="270"/>
  <c r="G14" i="270" s="1"/>
  <c r="S67" i="231"/>
  <c r="P67" i="231" s="1"/>
  <c r="D67" i="231" s="1"/>
  <c r="B20" i="260" s="1"/>
  <c r="S82" i="231"/>
  <c r="P82" i="231" s="1"/>
  <c r="D82" i="231" s="1"/>
  <c r="B35" i="260" s="1"/>
  <c r="G17" i="260"/>
  <c r="S55" i="231"/>
  <c r="P55" i="231" s="1"/>
  <c r="D55" i="231" s="1"/>
  <c r="B8" i="260" s="1"/>
  <c r="S68" i="231"/>
  <c r="P68" i="231" s="1"/>
  <c r="D68" i="231" s="1"/>
  <c r="B21" i="260" s="1"/>
  <c r="G18" i="260"/>
  <c r="S56" i="231"/>
  <c r="P56" i="231" s="1"/>
  <c r="D56" i="231" s="1"/>
  <c r="B9" i="260" s="1"/>
  <c r="S69" i="231"/>
  <c r="T69" i="231" s="1"/>
  <c r="E69" i="231" s="1"/>
  <c r="C22" i="260" s="1"/>
  <c r="S83" i="231"/>
  <c r="G19" i="260"/>
  <c r="S57" i="231"/>
  <c r="P57" i="231" s="1"/>
  <c r="D57" i="231" s="1"/>
  <c r="B10" i="260" s="1"/>
  <c r="S71" i="231"/>
  <c r="T71" i="231" s="1"/>
  <c r="E71" i="231" s="1"/>
  <c r="C24" i="260" s="1"/>
  <c r="G20" i="260"/>
  <c r="S58" i="231"/>
  <c r="P58" i="231" s="1"/>
  <c r="D58" i="231" s="1"/>
  <c r="B11" i="260" s="1"/>
  <c r="S72" i="231"/>
  <c r="T72" i="231" s="1"/>
  <c r="E72" i="231" s="1"/>
  <c r="C25" i="260" s="1"/>
  <c r="S85" i="231"/>
  <c r="P85" i="231" s="1"/>
  <c r="D85" i="231" s="1"/>
  <c r="B38" i="260" s="1"/>
  <c r="P96" i="231"/>
  <c r="D96" i="231" s="1"/>
  <c r="B10" i="270" s="1"/>
  <c r="T84" i="231"/>
  <c r="E84" i="231" s="1"/>
  <c r="C37" i="260" s="1"/>
  <c r="C77" i="260" s="1"/>
  <c r="C117" i="260" s="1"/>
  <c r="F34" i="260"/>
  <c r="F74" i="260" s="1"/>
  <c r="F114" i="260" s="1"/>
  <c r="F37" i="260"/>
  <c r="F77" i="260" s="1"/>
  <c r="F117" i="260" s="1"/>
  <c r="F27" i="260"/>
  <c r="F67" i="260" s="1"/>
  <c r="F107" i="260" s="1"/>
  <c r="F43" i="260"/>
  <c r="F83" i="260" s="1"/>
  <c r="F123" i="260" s="1"/>
  <c r="F9" i="270"/>
  <c r="F13" i="270" s="1"/>
  <c r="G73" i="260"/>
  <c r="G113" i="260" s="1"/>
  <c r="F29" i="260"/>
  <c r="F69" i="260" s="1"/>
  <c r="F109" i="260" s="1"/>
  <c r="F38" i="260"/>
  <c r="F78" i="260" s="1"/>
  <c r="F118" i="260" s="1"/>
  <c r="F30" i="260"/>
  <c r="F70" i="260" s="1"/>
  <c r="F110" i="260" s="1"/>
  <c r="F31" i="260"/>
  <c r="F71" i="260" s="1"/>
  <c r="F111" i="260" s="1"/>
  <c r="F32" i="260"/>
  <c r="F72" i="260" s="1"/>
  <c r="F112" i="260" s="1"/>
  <c r="F36" i="260"/>
  <c r="F76" i="260" s="1"/>
  <c r="F116" i="260" s="1"/>
  <c r="F42" i="260"/>
  <c r="F82" i="260" s="1"/>
  <c r="F122" i="260" s="1"/>
  <c r="F26" i="260"/>
  <c r="F66" i="260" s="1"/>
  <c r="F106" i="260" s="1"/>
  <c r="G83" i="260"/>
  <c r="G123" i="260" s="1"/>
  <c r="F75" i="260"/>
  <c r="F115" i="260" s="1"/>
  <c r="F15" i="260"/>
  <c r="F25" i="260" s="1"/>
  <c r="T42" i="231" l="1"/>
  <c r="E42" i="231" s="1"/>
  <c r="P42" i="231"/>
  <c r="D42" i="231" s="1"/>
  <c r="C30" i="269"/>
  <c r="C32" i="269" s="1"/>
  <c r="C34" i="269" s="1"/>
  <c r="E17" i="269"/>
  <c r="E21" i="269" s="1"/>
  <c r="E13" i="269"/>
  <c r="T51" i="231"/>
  <c r="E51" i="231" s="1"/>
  <c r="C51" i="269" s="1"/>
  <c r="C59" i="269" s="1"/>
  <c r="C67" i="269" s="1"/>
  <c r="C75" i="269" s="1"/>
  <c r="P51" i="231"/>
  <c r="D51" i="231" s="1"/>
  <c r="B51" i="269" s="1"/>
  <c r="B59" i="269" s="1"/>
  <c r="B67" i="269" s="1"/>
  <c r="B75" i="269" s="1"/>
  <c r="T49" i="231"/>
  <c r="E49" i="231" s="1"/>
  <c r="C49" i="269" s="1"/>
  <c r="C57" i="269" s="1"/>
  <c r="C65" i="269" s="1"/>
  <c r="C73" i="269" s="1"/>
  <c r="P49" i="231"/>
  <c r="D49" i="231" s="1"/>
  <c r="B49" i="269" s="1"/>
  <c r="B57" i="269" s="1"/>
  <c r="B65" i="269" s="1"/>
  <c r="B73" i="269" s="1"/>
  <c r="T48" i="231"/>
  <c r="E48" i="231" s="1"/>
  <c r="C48" i="269" s="1"/>
  <c r="C56" i="269" s="1"/>
  <c r="C64" i="269" s="1"/>
  <c r="C72" i="269" s="1"/>
  <c r="P48" i="231"/>
  <c r="D48" i="231" s="1"/>
  <c r="B48" i="269" s="1"/>
  <c r="B56" i="269" s="1"/>
  <c r="B64" i="269" s="1"/>
  <c r="B72" i="269" s="1"/>
  <c r="P47" i="231"/>
  <c r="D47" i="231" s="1"/>
  <c r="B47" i="269" s="1"/>
  <c r="B55" i="269" s="1"/>
  <c r="B63" i="269" s="1"/>
  <c r="B71" i="269" s="1"/>
  <c r="T47" i="231"/>
  <c r="E47" i="231" s="1"/>
  <c r="C47" i="269" s="1"/>
  <c r="C55" i="269" s="1"/>
  <c r="C63" i="269" s="1"/>
  <c r="C71" i="269" s="1"/>
  <c r="T50" i="231"/>
  <c r="E50" i="231" s="1"/>
  <c r="C50" i="269" s="1"/>
  <c r="C58" i="269" s="1"/>
  <c r="C66" i="269" s="1"/>
  <c r="C74" i="269" s="1"/>
  <c r="P50" i="231"/>
  <c r="D50" i="231" s="1"/>
  <c r="B50" i="269" s="1"/>
  <c r="B58" i="269" s="1"/>
  <c r="B66" i="269" s="1"/>
  <c r="B74" i="269" s="1"/>
  <c r="C13" i="269"/>
  <c r="C17" i="269"/>
  <c r="C21" i="269" s="1"/>
  <c r="C6" i="260"/>
  <c r="B11" i="269"/>
  <c r="B15" i="269"/>
  <c r="B19" i="269" s="1"/>
  <c r="G200" i="260"/>
  <c r="G160" i="260"/>
  <c r="F195" i="260"/>
  <c r="F155" i="260"/>
  <c r="G199" i="260"/>
  <c r="G159" i="260"/>
  <c r="F202" i="260"/>
  <c r="F162" i="260"/>
  <c r="F197" i="260"/>
  <c r="F157" i="260"/>
  <c r="G201" i="260"/>
  <c r="G161" i="260"/>
  <c r="G194" i="260"/>
  <c r="G154" i="260"/>
  <c r="F204" i="260"/>
  <c r="F164" i="260"/>
  <c r="C187" i="260"/>
  <c r="C147" i="260"/>
  <c r="G193" i="260"/>
  <c r="G153" i="260"/>
  <c r="G197" i="260"/>
  <c r="G157" i="260"/>
  <c r="F187" i="260"/>
  <c r="F147" i="260"/>
  <c r="G187" i="260"/>
  <c r="G147" i="260"/>
  <c r="F203" i="260"/>
  <c r="F163" i="260"/>
  <c r="C203" i="260"/>
  <c r="C163" i="260"/>
  <c r="G188" i="260"/>
  <c r="G148" i="260"/>
  <c r="G203" i="260"/>
  <c r="G163" i="260"/>
  <c r="G198" i="260"/>
  <c r="G158" i="260"/>
  <c r="F194" i="260"/>
  <c r="F154" i="260"/>
  <c r="C197" i="260"/>
  <c r="C157" i="260"/>
  <c r="C199" i="260"/>
  <c r="C159" i="260"/>
  <c r="G190" i="260"/>
  <c r="G150" i="260"/>
  <c r="F186" i="260"/>
  <c r="F146" i="260"/>
  <c r="C193" i="260"/>
  <c r="C153" i="260"/>
  <c r="G192" i="260"/>
  <c r="G152" i="260"/>
  <c r="C186" i="260"/>
  <c r="C146" i="260"/>
  <c r="G189" i="260"/>
  <c r="G149" i="260"/>
  <c r="G205" i="260"/>
  <c r="G165" i="260"/>
  <c r="G202" i="260"/>
  <c r="G162" i="260"/>
  <c r="G186" i="260"/>
  <c r="G146" i="260"/>
  <c r="F192" i="260"/>
  <c r="F152" i="260"/>
  <c r="G196" i="260"/>
  <c r="G156" i="260"/>
  <c r="F190" i="260"/>
  <c r="F150" i="260"/>
  <c r="F191" i="260"/>
  <c r="F151" i="260"/>
  <c r="F198" i="260"/>
  <c r="F158" i="260"/>
  <c r="F196" i="260"/>
  <c r="F156" i="260"/>
  <c r="G204" i="260"/>
  <c r="G164" i="260"/>
  <c r="F189" i="260"/>
  <c r="F149" i="260"/>
  <c r="G191" i="260"/>
  <c r="G151" i="260"/>
  <c r="C22" i="270"/>
  <c r="C18" i="270"/>
  <c r="G22" i="270"/>
  <c r="G18" i="270"/>
  <c r="G21" i="270"/>
  <c r="G17" i="270"/>
  <c r="F21" i="270"/>
  <c r="F17" i="270"/>
  <c r="E175" i="260"/>
  <c r="T59" i="231"/>
  <c r="E59" i="231" s="1"/>
  <c r="C12" i="260" s="1"/>
  <c r="T88" i="231"/>
  <c r="E88" i="231" s="1"/>
  <c r="C41" i="260" s="1"/>
  <c r="C81" i="260" s="1"/>
  <c r="C121" i="260" s="1"/>
  <c r="P64" i="231"/>
  <c r="D64" i="231" s="1"/>
  <c r="B17" i="260" s="1"/>
  <c r="T91" i="231"/>
  <c r="E91" i="231" s="1"/>
  <c r="C44" i="260" s="1"/>
  <c r="C84" i="260" s="1"/>
  <c r="C124" i="260" s="1"/>
  <c r="P95" i="231"/>
  <c r="D95" i="231" s="1"/>
  <c r="B9" i="270" s="1"/>
  <c r="T46" i="231"/>
  <c r="E46" i="231" s="1"/>
  <c r="C46" i="269" s="1"/>
  <c r="P65" i="231"/>
  <c r="D65" i="231" s="1"/>
  <c r="B18" i="260" s="1"/>
  <c r="T79" i="231"/>
  <c r="E79" i="231" s="1"/>
  <c r="C32" i="260" s="1"/>
  <c r="C72" i="260" s="1"/>
  <c r="C112" i="260" s="1"/>
  <c r="T39" i="231"/>
  <c r="E39" i="231" s="1"/>
  <c r="C7" i="269" s="1"/>
  <c r="C15" i="269" s="1"/>
  <c r="T87" i="231"/>
  <c r="E87" i="231" s="1"/>
  <c r="C40" i="260" s="1"/>
  <c r="C80" i="260" s="1"/>
  <c r="C120" i="260" s="1"/>
  <c r="P86" i="231"/>
  <c r="D86" i="231" s="1"/>
  <c r="B39" i="260" s="1"/>
  <c r="T61" i="231"/>
  <c r="E61" i="231" s="1"/>
  <c r="C14" i="260" s="1"/>
  <c r="T68" i="231"/>
  <c r="E68" i="231" s="1"/>
  <c r="C21" i="260" s="1"/>
  <c r="T78" i="231"/>
  <c r="E78" i="231" s="1"/>
  <c r="C31" i="260" s="1"/>
  <c r="C71" i="260" s="1"/>
  <c r="C111" i="260" s="1"/>
  <c r="T92" i="231"/>
  <c r="E92" i="231" s="1"/>
  <c r="C45" i="260" s="1"/>
  <c r="C85" i="260" s="1"/>
  <c r="C125" i="260" s="1"/>
  <c r="P74" i="231"/>
  <c r="D74" i="231" s="1"/>
  <c r="B27" i="260" s="1"/>
  <c r="P63" i="231"/>
  <c r="D63" i="231" s="1"/>
  <c r="B16" i="260" s="1"/>
  <c r="P72" i="231"/>
  <c r="D72" i="231" s="1"/>
  <c r="B25" i="260" s="1"/>
  <c r="P93" i="231"/>
  <c r="D93" i="231" s="1"/>
  <c r="B7" i="270" s="1"/>
  <c r="T85" i="231"/>
  <c r="E85" i="231" s="1"/>
  <c r="C38" i="260" s="1"/>
  <c r="C78" i="260" s="1"/>
  <c r="C118" i="260" s="1"/>
  <c r="T62" i="231"/>
  <c r="E62" i="231" s="1"/>
  <c r="C15" i="260" s="1"/>
  <c r="T57" i="231"/>
  <c r="E57" i="231" s="1"/>
  <c r="C10" i="260" s="1"/>
  <c r="T55" i="231"/>
  <c r="E55" i="231" s="1"/>
  <c r="C8" i="260" s="1"/>
  <c r="P53" i="231"/>
  <c r="D53" i="231" s="1"/>
  <c r="P54" i="231"/>
  <c r="D54" i="231" s="1"/>
  <c r="B7" i="260" s="1"/>
  <c r="T67" i="231"/>
  <c r="E67" i="231" s="1"/>
  <c r="C20" i="260" s="1"/>
  <c r="T75" i="231"/>
  <c r="E75" i="231" s="1"/>
  <c r="C28" i="260" s="1"/>
  <c r="C68" i="260" s="1"/>
  <c r="C108" i="260" s="1"/>
  <c r="T82" i="231"/>
  <c r="E82" i="231" s="1"/>
  <c r="C35" i="260" s="1"/>
  <c r="C75" i="260" s="1"/>
  <c r="C115" i="260" s="1"/>
  <c r="T89" i="231"/>
  <c r="E89" i="231" s="1"/>
  <c r="C42" i="260" s="1"/>
  <c r="C82" i="260" s="1"/>
  <c r="C122" i="260" s="1"/>
  <c r="T77" i="231"/>
  <c r="E77" i="231" s="1"/>
  <c r="C30" i="260" s="1"/>
  <c r="C70" i="260" s="1"/>
  <c r="C110" i="260" s="1"/>
  <c r="T44" i="231"/>
  <c r="E44" i="231" s="1"/>
  <c r="C31" i="269" s="1"/>
  <c r="P45" i="231"/>
  <c r="D45" i="231" s="1"/>
  <c r="B45" i="269" s="1"/>
  <c r="T58" i="231"/>
  <c r="E58" i="231" s="1"/>
  <c r="C11" i="260" s="1"/>
  <c r="T40" i="231"/>
  <c r="E40" i="231" s="1"/>
  <c r="C8" i="269" s="1"/>
  <c r="P73" i="231"/>
  <c r="D73" i="231" s="1"/>
  <c r="B26" i="260" s="1"/>
  <c r="T76" i="231"/>
  <c r="E76" i="231" s="1"/>
  <c r="C29" i="260" s="1"/>
  <c r="C69" i="260" s="1"/>
  <c r="C109" i="260" s="1"/>
  <c r="T56" i="231"/>
  <c r="E56" i="231" s="1"/>
  <c r="C9" i="260" s="1"/>
  <c r="P43" i="231"/>
  <c r="D43" i="231" s="1"/>
  <c r="P83" i="231"/>
  <c r="D83" i="231" s="1"/>
  <c r="B36" i="260" s="1"/>
  <c r="T83" i="231"/>
  <c r="E83" i="231" s="1"/>
  <c r="C36" i="260" s="1"/>
  <c r="C76" i="260" s="1"/>
  <c r="C116" i="260" s="1"/>
  <c r="T66" i="231"/>
  <c r="E66" i="231" s="1"/>
  <c r="C19" i="260" s="1"/>
  <c r="P66" i="231"/>
  <c r="D66" i="231" s="1"/>
  <c r="B19" i="260" s="1"/>
  <c r="T81" i="231"/>
  <c r="E81" i="231" s="1"/>
  <c r="C34" i="260" s="1"/>
  <c r="C74" i="260" s="1"/>
  <c r="C114" i="260" s="1"/>
  <c r="P69" i="231"/>
  <c r="D69" i="231" s="1"/>
  <c r="B22" i="260" s="1"/>
  <c r="P71" i="231"/>
  <c r="D71" i="231" s="1"/>
  <c r="B24" i="260" s="1"/>
  <c r="T94" i="231"/>
  <c r="E94" i="231" s="1"/>
  <c r="C8" i="270" s="1"/>
  <c r="C13" i="270"/>
  <c r="G35" i="260"/>
  <c r="G75" i="260" s="1"/>
  <c r="G115" i="260" s="1"/>
  <c r="B11" i="242"/>
  <c r="D9" i="242"/>
  <c r="F9" i="242"/>
  <c r="E9" i="242"/>
  <c r="C9" i="242"/>
  <c r="B35" i="221"/>
  <c r="B37" i="221" s="1"/>
  <c r="B32" i="221"/>
  <c r="B34" i="221" s="1"/>
  <c r="B29" i="221"/>
  <c r="B31" i="221" s="1"/>
  <c r="E46" i="269"/>
  <c r="E45" i="269"/>
  <c r="E31" i="269"/>
  <c r="E30" i="269"/>
  <c r="E8" i="269"/>
  <c r="E7" i="269"/>
  <c r="E15" i="269" s="1"/>
  <c r="R30" i="269"/>
  <c r="R32" i="269" s="1"/>
  <c r="M62" i="269"/>
  <c r="L62" i="269"/>
  <c r="L70" i="269" s="1"/>
  <c r="K62" i="269"/>
  <c r="K70" i="269" s="1"/>
  <c r="J62" i="269"/>
  <c r="J70" i="269" s="1"/>
  <c r="M61" i="269"/>
  <c r="L61" i="269"/>
  <c r="L69" i="269" s="1"/>
  <c r="K61" i="269"/>
  <c r="K69" i="269" s="1"/>
  <c r="J61" i="269"/>
  <c r="J69" i="269" s="1"/>
  <c r="M46" i="269"/>
  <c r="B62" i="269"/>
  <c r="B70" i="269" s="1"/>
  <c r="R45" i="269"/>
  <c r="R53" i="269" s="1"/>
  <c r="M45" i="269"/>
  <c r="D45" i="269"/>
  <c r="C61" i="269"/>
  <c r="C69" i="269" s="1"/>
  <c r="R7" i="269"/>
  <c r="R11" i="269" s="1"/>
  <c r="M35" i="269"/>
  <c r="L37" i="269"/>
  <c r="K37" i="269"/>
  <c r="J37" i="269"/>
  <c r="M34" i="269"/>
  <c r="L36" i="269"/>
  <c r="K36" i="269"/>
  <c r="J36" i="269"/>
  <c r="M31" i="269"/>
  <c r="D31" i="269"/>
  <c r="B37" i="269"/>
  <c r="M30" i="269"/>
  <c r="D30" i="269"/>
  <c r="C36" i="269"/>
  <c r="L16" i="269"/>
  <c r="L20" i="269" s="1"/>
  <c r="L19" i="269"/>
  <c r="K16" i="269"/>
  <c r="K20" i="269" s="1"/>
  <c r="K19" i="269"/>
  <c r="J16" i="269"/>
  <c r="J20" i="269" s="1"/>
  <c r="J19" i="269"/>
  <c r="B16" i="269"/>
  <c r="B20" i="269" s="1"/>
  <c r="D7" i="269"/>
  <c r="D15" i="269" s="1"/>
  <c r="E8" i="232"/>
  <c r="D8" i="232"/>
  <c r="E99" i="231"/>
  <c r="C8" i="232" s="1"/>
  <c r="D8" i="269"/>
  <c r="E10" i="232"/>
  <c r="D10" i="232"/>
  <c r="E101" i="231"/>
  <c r="C10" i="232" s="1"/>
  <c r="B10" i="232"/>
  <c r="M16" i="269"/>
  <c r="M8" i="269"/>
  <c r="M7" i="269"/>
  <c r="B14" i="269" l="1"/>
  <c r="B10" i="269"/>
  <c r="B18" i="269"/>
  <c r="B22" i="269"/>
  <c r="C10" i="269"/>
  <c r="C14" i="269"/>
  <c r="C22" i="269"/>
  <c r="C18" i="269"/>
  <c r="B30" i="269"/>
  <c r="C188" i="260"/>
  <c r="C148" i="260"/>
  <c r="C194" i="260"/>
  <c r="C154" i="260"/>
  <c r="C205" i="260"/>
  <c r="C165" i="260"/>
  <c r="C190" i="260"/>
  <c r="C150" i="260"/>
  <c r="C191" i="260"/>
  <c r="C151" i="260"/>
  <c r="C192" i="260"/>
  <c r="C152" i="260"/>
  <c r="C196" i="260"/>
  <c r="C156" i="260"/>
  <c r="C202" i="260"/>
  <c r="C162" i="260"/>
  <c r="C200" i="260"/>
  <c r="C160" i="260"/>
  <c r="C189" i="260"/>
  <c r="C149" i="260"/>
  <c r="C204" i="260"/>
  <c r="C164" i="260"/>
  <c r="C201" i="260"/>
  <c r="C161" i="260"/>
  <c r="C195" i="260"/>
  <c r="C155" i="260"/>
  <c r="G195" i="260"/>
  <c r="G155" i="260"/>
  <c r="C198" i="260"/>
  <c r="C158" i="260"/>
  <c r="C21" i="270"/>
  <c r="C17" i="270"/>
  <c r="D61" i="269"/>
  <c r="D69" i="269" s="1"/>
  <c r="D53" i="269"/>
  <c r="D62" i="269"/>
  <c r="D70" i="269" s="1"/>
  <c r="D54" i="269"/>
  <c r="C62" i="269"/>
  <c r="C70" i="269" s="1"/>
  <c r="C54" i="269"/>
  <c r="B61" i="269"/>
  <c r="B69" i="269" s="1"/>
  <c r="B53" i="269"/>
  <c r="E61" i="269"/>
  <c r="E69" i="269" s="1"/>
  <c r="E53" i="269"/>
  <c r="E62" i="269"/>
  <c r="E70" i="269" s="1"/>
  <c r="E54" i="269"/>
  <c r="D16" i="269"/>
  <c r="D20" i="269" s="1"/>
  <c r="D12" i="269"/>
  <c r="D19" i="269"/>
  <c r="D11" i="269"/>
  <c r="B32" i="269"/>
  <c r="B34" i="269" s="1"/>
  <c r="B36" i="269" s="1"/>
  <c r="C19" i="269"/>
  <c r="C11" i="269"/>
  <c r="R34" i="269"/>
  <c r="E19" i="269"/>
  <c r="E11" i="269"/>
  <c r="E32" i="269"/>
  <c r="E34" i="269" s="1"/>
  <c r="E36" i="269" s="1"/>
  <c r="C16" i="269"/>
  <c r="C20" i="269" s="1"/>
  <c r="C12" i="269"/>
  <c r="C33" i="269"/>
  <c r="C35" i="269" s="1"/>
  <c r="C37" i="269" s="1"/>
  <c r="D33" i="269"/>
  <c r="D35" i="269" s="1"/>
  <c r="D37" i="269" s="1"/>
  <c r="D32" i="269"/>
  <c r="D34" i="269" s="1"/>
  <c r="D36" i="269" s="1"/>
  <c r="E33" i="269"/>
  <c r="E35" i="269" s="1"/>
  <c r="E37" i="269" s="1"/>
  <c r="E16" i="269"/>
  <c r="E20" i="269" s="1"/>
  <c r="E12" i="269"/>
  <c r="R31" i="269"/>
  <c r="R33" i="269" s="1"/>
  <c r="B8" i="232"/>
  <c r="B14" i="270"/>
  <c r="R8" i="269"/>
  <c r="R46" i="269"/>
  <c r="R54" i="269" l="1"/>
  <c r="R55" i="269" s="1"/>
  <c r="R47" i="269"/>
  <c r="R48" i="269" s="1"/>
  <c r="R49" i="269" s="1"/>
  <c r="R50" i="269" s="1"/>
  <c r="R51" i="269" s="1"/>
  <c r="R52" i="269" s="1"/>
  <c r="R15" i="269"/>
  <c r="R16" i="269" s="1"/>
  <c r="R17" i="269" s="1"/>
  <c r="R18" i="269" s="1"/>
  <c r="R12" i="269"/>
  <c r="R9" i="269"/>
  <c r="B22" i="270"/>
  <c r="B18" i="270"/>
  <c r="R35" i="269"/>
  <c r="R61" i="269"/>
  <c r="R13" i="269" l="1"/>
  <c r="R14" i="269" s="1"/>
  <c r="R10" i="269"/>
  <c r="R56" i="269"/>
  <c r="R19" i="269"/>
  <c r="R36" i="269"/>
  <c r="R62" i="269"/>
  <c r="R69" i="269" l="1"/>
  <c r="R70" i="269" s="1"/>
  <c r="R71" i="269" s="1"/>
  <c r="R63" i="269"/>
  <c r="R57" i="269"/>
  <c r="R37" i="269"/>
  <c r="R20" i="269"/>
  <c r="R21" i="269" s="1"/>
  <c r="R22" i="269" s="1"/>
  <c r="G12" i="270"/>
  <c r="G7" i="270"/>
  <c r="G11" i="270" s="1"/>
  <c r="E19" i="232"/>
  <c r="E18" i="232"/>
  <c r="E109" i="231"/>
  <c r="C19" i="232" s="1"/>
  <c r="B19" i="232"/>
  <c r="E108" i="231"/>
  <c r="C18" i="232" s="1"/>
  <c r="B18" i="232"/>
  <c r="F8" i="270"/>
  <c r="F12" i="270" s="1"/>
  <c r="F7" i="270"/>
  <c r="F11" i="270" s="1"/>
  <c r="B72" i="260"/>
  <c r="B112" i="260" s="1"/>
  <c r="C11" i="270"/>
  <c r="E74" i="264"/>
  <c r="E67" i="264"/>
  <c r="E60" i="264"/>
  <c r="E53" i="264"/>
  <c r="AK51" i="264"/>
  <c r="AJ51" i="264"/>
  <c r="AI51" i="264"/>
  <c r="J51" i="264"/>
  <c r="S51" i="264" s="1"/>
  <c r="I51" i="264"/>
  <c r="R51" i="264" s="1"/>
  <c r="H51" i="264"/>
  <c r="Q51" i="264" s="1"/>
  <c r="O12" i="270"/>
  <c r="O11" i="270"/>
  <c r="O8" i="270"/>
  <c r="C12" i="270"/>
  <c r="O7" i="270"/>
  <c r="D20" i="221"/>
  <c r="D19" i="221"/>
  <c r="D18" i="221"/>
  <c r="D17" i="221"/>
  <c r="B20" i="221"/>
  <c r="B24" i="221" s="1"/>
  <c r="B19" i="221"/>
  <c r="B18" i="221"/>
  <c r="B17" i="221"/>
  <c r="B21" i="221" s="1"/>
  <c r="C20" i="221"/>
  <c r="C19" i="221"/>
  <c r="C18" i="221"/>
  <c r="C17" i="221"/>
  <c r="F38" i="267"/>
  <c r="G38" i="267"/>
  <c r="H38" i="267"/>
  <c r="I38" i="267"/>
  <c r="J38" i="267"/>
  <c r="K38" i="267"/>
  <c r="L38" i="267"/>
  <c r="M38" i="267"/>
  <c r="N38" i="267"/>
  <c r="F39" i="267"/>
  <c r="H39" i="267"/>
  <c r="I39" i="267"/>
  <c r="J39" i="267"/>
  <c r="K39" i="267"/>
  <c r="L39" i="267"/>
  <c r="M39" i="267"/>
  <c r="N39" i="267"/>
  <c r="O65" i="260"/>
  <c r="O64" i="260"/>
  <c r="T64" i="260" s="1"/>
  <c r="O63" i="260"/>
  <c r="O62" i="260"/>
  <c r="O61" i="260"/>
  <c r="O60" i="260"/>
  <c r="O59" i="260"/>
  <c r="O58" i="260"/>
  <c r="O57" i="260"/>
  <c r="O56" i="260"/>
  <c r="O55" i="260"/>
  <c r="O54" i="260"/>
  <c r="O53" i="260"/>
  <c r="O52" i="260"/>
  <c r="O51" i="260"/>
  <c r="O50" i="260"/>
  <c r="O49" i="260"/>
  <c r="O48" i="260"/>
  <c r="O47" i="260"/>
  <c r="O46" i="260"/>
  <c r="L1" i="221"/>
  <c r="K1" i="221"/>
  <c r="H1" i="221"/>
  <c r="G1" i="221"/>
  <c r="F1" i="221"/>
  <c r="C22" i="266"/>
  <c r="X10" i="269" s="1" a="1"/>
  <c r="X10" i="269" s="1"/>
  <c r="AA10" i="269" s="1"/>
  <c r="I10" i="269" s="1"/>
  <c r="E30" i="264"/>
  <c r="E23" i="264"/>
  <c r="E16" i="264"/>
  <c r="AD11" i="267"/>
  <c r="AE11" i="267"/>
  <c r="AF11" i="267"/>
  <c r="AD12" i="267"/>
  <c r="AE12" i="267"/>
  <c r="AF12" i="267"/>
  <c r="AD13" i="267"/>
  <c r="AE13" i="267"/>
  <c r="AF13" i="267"/>
  <c r="X11" i="267"/>
  <c r="X12" i="267"/>
  <c r="N124" i="267"/>
  <c r="M124" i="267"/>
  <c r="L124" i="267"/>
  <c r="K124" i="267"/>
  <c r="J124" i="267"/>
  <c r="I124" i="267"/>
  <c r="H124" i="267"/>
  <c r="G124" i="267"/>
  <c r="F124" i="267"/>
  <c r="N123" i="267"/>
  <c r="M123" i="267"/>
  <c r="L123" i="267"/>
  <c r="K123" i="267"/>
  <c r="J123" i="267"/>
  <c r="I123" i="267"/>
  <c r="H123" i="267"/>
  <c r="G123" i="267"/>
  <c r="F123" i="267"/>
  <c r="N121" i="267"/>
  <c r="M121" i="267"/>
  <c r="L121" i="267"/>
  <c r="K121" i="267"/>
  <c r="J121" i="267"/>
  <c r="I121" i="267"/>
  <c r="H121" i="267"/>
  <c r="G121" i="267"/>
  <c r="F121" i="267"/>
  <c r="N120" i="267"/>
  <c r="M120" i="267"/>
  <c r="L120" i="267"/>
  <c r="K120" i="267"/>
  <c r="J120" i="267"/>
  <c r="I120" i="267"/>
  <c r="G120" i="267"/>
  <c r="F120" i="267"/>
  <c r="F11" i="267"/>
  <c r="E11" i="267"/>
  <c r="O77" i="267" s="1"/>
  <c r="H10" i="267"/>
  <c r="G10" i="267" s="1"/>
  <c r="C9" i="267"/>
  <c r="D9" i="267" s="1"/>
  <c r="C8" i="267"/>
  <c r="C7" i="267"/>
  <c r="H7" i="267" s="1"/>
  <c r="C6" i="267"/>
  <c r="G6" i="267" s="1"/>
  <c r="C5" i="267"/>
  <c r="N102" i="267"/>
  <c r="M102" i="267"/>
  <c r="L102" i="267"/>
  <c r="K102" i="267"/>
  <c r="J102" i="267"/>
  <c r="I102" i="267"/>
  <c r="H102" i="267"/>
  <c r="G102" i="267"/>
  <c r="F102" i="267"/>
  <c r="N99" i="267"/>
  <c r="M99" i="267"/>
  <c r="L99" i="267"/>
  <c r="K99" i="267"/>
  <c r="J99" i="267"/>
  <c r="I99" i="267"/>
  <c r="H99" i="267"/>
  <c r="G99" i="267"/>
  <c r="F99" i="267"/>
  <c r="N81" i="267"/>
  <c r="M81" i="267"/>
  <c r="L81" i="267"/>
  <c r="K81" i="267"/>
  <c r="J81" i="267"/>
  <c r="I81" i="267"/>
  <c r="H81" i="267"/>
  <c r="G81" i="267"/>
  <c r="F81" i="267"/>
  <c r="N60" i="267"/>
  <c r="M60" i="267"/>
  <c r="L60" i="267"/>
  <c r="K60" i="267"/>
  <c r="J60" i="267"/>
  <c r="I60" i="267"/>
  <c r="H60" i="267"/>
  <c r="G60" i="267"/>
  <c r="F60" i="267"/>
  <c r="C29" i="266"/>
  <c r="P77" i="267" l="1"/>
  <c r="P98" i="267"/>
  <c r="P35" i="267"/>
  <c r="P119" i="267"/>
  <c r="P56" i="267"/>
  <c r="X35" i="269" a="1"/>
  <c r="X35" i="269" s="1"/>
  <c r="X18" i="269" a="1"/>
  <c r="X18" i="269" s="1"/>
  <c r="AA18" i="269" s="1"/>
  <c r="I18" i="269" s="1"/>
  <c r="X55" i="269" a="1"/>
  <c r="X55" i="269" s="1"/>
  <c r="AA55" i="269" s="1"/>
  <c r="I55" i="269" s="1"/>
  <c r="X49" i="269" a="1"/>
  <c r="X49" i="269" s="1"/>
  <c r="AA49" i="269" s="1"/>
  <c r="I49" i="269" s="1"/>
  <c r="X50" i="269" a="1"/>
  <c r="X50" i="269" s="1"/>
  <c r="AA50" i="269" s="1"/>
  <c r="I50" i="269" s="1"/>
  <c r="X48" i="269" a="1"/>
  <c r="X48" i="269" s="1"/>
  <c r="AA48" i="269" s="1"/>
  <c r="I48" i="269" s="1"/>
  <c r="X51" i="269" a="1"/>
  <c r="X51" i="269" s="1"/>
  <c r="AA51" i="269" s="1"/>
  <c r="I51" i="269" s="1"/>
  <c r="X47" i="269" a="1"/>
  <c r="X47" i="269" s="1"/>
  <c r="AA47" i="269" s="1"/>
  <c r="I47" i="269" s="1"/>
  <c r="X52" i="269" a="1"/>
  <c r="X52" i="269" s="1"/>
  <c r="AA52" i="269" s="1"/>
  <c r="I52" i="269" s="1"/>
  <c r="X56" i="269" a="1"/>
  <c r="X56" i="269" s="1"/>
  <c r="AA56" i="269" s="1"/>
  <c r="I56" i="269" s="1"/>
  <c r="X14" i="269" a="1"/>
  <c r="X14" i="269" s="1"/>
  <c r="AA14" i="269" s="1"/>
  <c r="I14" i="269" s="1"/>
  <c r="X22" i="269" a="1"/>
  <c r="X22" i="269" s="1"/>
  <c r="AA22" i="269" s="1"/>
  <c r="W71" i="269" a="1"/>
  <c r="W71" i="269" s="1"/>
  <c r="Z71" i="269" s="1"/>
  <c r="R72" i="269"/>
  <c r="X71" i="269" a="1"/>
  <c r="X71" i="269" s="1"/>
  <c r="AA71" i="269" s="1"/>
  <c r="R64" i="269"/>
  <c r="X63" i="269" a="1"/>
  <c r="X63" i="269" s="1"/>
  <c r="AA63" i="269" s="1"/>
  <c r="I63" i="269" s="1"/>
  <c r="R58" i="269"/>
  <c r="X57" i="269" a="1"/>
  <c r="X57" i="269" s="1"/>
  <c r="AA57" i="269" s="1"/>
  <c r="I57" i="269" s="1"/>
  <c r="X21" i="269" a="1"/>
  <c r="X21" i="269" s="1"/>
  <c r="AA21" i="269" s="1"/>
  <c r="X15" i="269" a="1"/>
  <c r="X15" i="269" s="1"/>
  <c r="AA15" i="269" s="1"/>
  <c r="I15" i="269" s="1"/>
  <c r="X17" i="269" a="1"/>
  <c r="X17" i="269" s="1"/>
  <c r="AA17" i="269" s="1"/>
  <c r="I17" i="269" s="1"/>
  <c r="X9" i="269" a="1"/>
  <c r="X9" i="269" s="1"/>
  <c r="AA9" i="269" s="1"/>
  <c r="I9" i="269" s="1"/>
  <c r="X13" i="269" a="1"/>
  <c r="X13" i="269" s="1"/>
  <c r="AA13" i="269" s="1"/>
  <c r="I13" i="269" s="1"/>
  <c r="H5" i="267"/>
  <c r="D5" i="267"/>
  <c r="X33" i="269" a="1"/>
  <c r="X33" i="269" s="1"/>
  <c r="AA33" i="269" s="1"/>
  <c r="I33" i="269" s="1"/>
  <c r="H8" i="267"/>
  <c r="D8" i="267"/>
  <c r="X31" i="269" a="1"/>
  <c r="X31" i="269" s="1"/>
  <c r="B192" i="260"/>
  <c r="B152" i="260"/>
  <c r="F20" i="270"/>
  <c r="F16" i="270"/>
  <c r="F19" i="270"/>
  <c r="F15" i="270"/>
  <c r="G19" i="270"/>
  <c r="G15" i="270"/>
  <c r="G20" i="270"/>
  <c r="G16" i="270"/>
  <c r="C20" i="270"/>
  <c r="C16" i="270"/>
  <c r="C19" i="270"/>
  <c r="C15" i="270"/>
  <c r="C27" i="221"/>
  <c r="C23" i="221"/>
  <c r="C28" i="221"/>
  <c r="C24" i="221"/>
  <c r="B26" i="221"/>
  <c r="B22" i="221"/>
  <c r="B27" i="221"/>
  <c r="B23" i="221"/>
  <c r="D25" i="221"/>
  <c r="D21" i="221"/>
  <c r="D26" i="221"/>
  <c r="D22" i="221"/>
  <c r="D27" i="221"/>
  <c r="D23" i="221"/>
  <c r="D28" i="221"/>
  <c r="D24" i="221"/>
  <c r="C25" i="221"/>
  <c r="C21" i="221"/>
  <c r="C26" i="221"/>
  <c r="C22" i="221"/>
  <c r="B25" i="221"/>
  <c r="X70" i="269" a="1"/>
  <c r="X70" i="269" s="1"/>
  <c r="AA70" i="269" s="1"/>
  <c r="X37" i="269" a="1"/>
  <c r="X37" i="269" s="1"/>
  <c r="AA37" i="269" s="1"/>
  <c r="X20" i="269" a="1"/>
  <c r="X20" i="269" s="1"/>
  <c r="AA20" i="269" s="1"/>
  <c r="E68" i="264"/>
  <c r="E75" i="264"/>
  <c r="B66" i="260"/>
  <c r="B106" i="260" s="1"/>
  <c r="B6" i="260"/>
  <c r="B46" i="260" s="1"/>
  <c r="B86" i="260" s="1"/>
  <c r="E10" i="264"/>
  <c r="E24" i="264"/>
  <c r="E31" i="264"/>
  <c r="E54" i="264"/>
  <c r="V71" i="269" a="1"/>
  <c r="V71" i="269" s="1"/>
  <c r="Y71" i="269" s="1"/>
  <c r="X17" i="267"/>
  <c r="W17" i="267"/>
  <c r="B28" i="221"/>
  <c r="E61" i="264"/>
  <c r="E17" i="264"/>
  <c r="G9" i="267"/>
  <c r="F9" i="267"/>
  <c r="H9" i="267"/>
  <c r="G5" i="267"/>
  <c r="D6" i="267"/>
  <c r="H6" i="267"/>
  <c r="E9" i="267"/>
  <c r="N77" i="267"/>
  <c r="O101" i="267"/>
  <c r="O122" i="267"/>
  <c r="F77" i="267"/>
  <c r="G77" i="267"/>
  <c r="H77" i="267"/>
  <c r="I77" i="267"/>
  <c r="J77" i="267"/>
  <c r="K77" i="267"/>
  <c r="L77" i="267"/>
  <c r="D7" i="267"/>
  <c r="E7" i="267"/>
  <c r="F7" i="267"/>
  <c r="G7" i="267"/>
  <c r="E8" i="267"/>
  <c r="F8" i="267"/>
  <c r="G8" i="267"/>
  <c r="E5" i="267"/>
  <c r="F5" i="267"/>
  <c r="E6" i="267"/>
  <c r="F6" i="267"/>
  <c r="O7" i="260"/>
  <c r="O125" i="267" l="1"/>
  <c r="P37" i="267"/>
  <c r="W50" i="269" a="1"/>
  <c r="W50" i="269" s="1"/>
  <c r="Z50" i="269" s="1"/>
  <c r="H50" i="269" s="1"/>
  <c r="W48" i="269" a="1"/>
  <c r="W48" i="269" s="1"/>
  <c r="Z48" i="269" s="1"/>
  <c r="H48" i="269" s="1"/>
  <c r="W55" i="269" a="1"/>
  <c r="W55" i="269" s="1"/>
  <c r="Z55" i="269" s="1"/>
  <c r="H55" i="269" s="1"/>
  <c r="W49" i="269" a="1"/>
  <c r="W49" i="269" s="1"/>
  <c r="Z49" i="269" s="1"/>
  <c r="H49" i="269" s="1"/>
  <c r="W18" i="269" a="1"/>
  <c r="W18" i="269" s="1"/>
  <c r="Z18" i="269" s="1"/>
  <c r="H18" i="269" s="1"/>
  <c r="W52" i="269" a="1"/>
  <c r="W52" i="269" s="1"/>
  <c r="Z52" i="269" s="1"/>
  <c r="H52" i="269" s="1"/>
  <c r="W51" i="269" a="1"/>
  <c r="W51" i="269" s="1"/>
  <c r="Z51" i="269" s="1"/>
  <c r="H51" i="269" s="1"/>
  <c r="W47" i="269" a="1"/>
  <c r="W47" i="269" s="1"/>
  <c r="Z47" i="269" s="1"/>
  <c r="H47" i="269" s="1"/>
  <c r="W56" i="269" a="1"/>
  <c r="W56" i="269" s="1"/>
  <c r="Z56" i="269" s="1"/>
  <c r="H56" i="269" s="1"/>
  <c r="W10" i="269" a="1"/>
  <c r="W10" i="269" s="1"/>
  <c r="Z10" i="269" s="1"/>
  <c r="H10" i="269" s="1"/>
  <c r="W14" i="269" a="1"/>
  <c r="W14" i="269" s="1"/>
  <c r="Z14" i="269" s="1"/>
  <c r="H14" i="269" s="1"/>
  <c r="W63" i="269" a="1"/>
  <c r="W63" i="269" s="1"/>
  <c r="Z63" i="269" s="1"/>
  <c r="H63" i="269" s="1"/>
  <c r="W22" i="269" a="1"/>
  <c r="W22" i="269" s="1"/>
  <c r="Z22" i="269" s="1"/>
  <c r="W57" i="269" a="1"/>
  <c r="W57" i="269" s="1"/>
  <c r="Z57" i="269" s="1"/>
  <c r="H57" i="269" s="1"/>
  <c r="V63" i="269" a="1"/>
  <c r="V63" i="269" s="1"/>
  <c r="Y63" i="269" s="1"/>
  <c r="G63" i="269" s="1"/>
  <c r="V8" i="269" a="1"/>
  <c r="V8" i="269" s="1"/>
  <c r="V49" i="269" a="1"/>
  <c r="V49" i="269" s="1"/>
  <c r="Y49" i="269" s="1"/>
  <c r="G49" i="269" s="1"/>
  <c r="V55" i="269" a="1"/>
  <c r="V55" i="269" s="1"/>
  <c r="Y55" i="269" s="1"/>
  <c r="G55" i="269" s="1"/>
  <c r="V18" i="269" a="1"/>
  <c r="V18" i="269" s="1"/>
  <c r="Y18" i="269" s="1"/>
  <c r="G18" i="269" s="1"/>
  <c r="V50" i="269" a="1"/>
  <c r="V50" i="269" s="1"/>
  <c r="Y50" i="269" s="1"/>
  <c r="G50" i="269" s="1"/>
  <c r="V52" i="269" a="1"/>
  <c r="V52" i="269" s="1"/>
  <c r="Y52" i="269" s="1"/>
  <c r="G52" i="269" s="1"/>
  <c r="V51" i="269" a="1"/>
  <c r="V51" i="269" s="1"/>
  <c r="Y51" i="269" s="1"/>
  <c r="G51" i="269" s="1"/>
  <c r="V47" i="269" a="1"/>
  <c r="V47" i="269" s="1"/>
  <c r="Y47" i="269" s="1"/>
  <c r="G47" i="269" s="1"/>
  <c r="V48" i="269" a="1"/>
  <c r="V48" i="269" s="1"/>
  <c r="Y48" i="269" s="1"/>
  <c r="G48" i="269" s="1"/>
  <c r="V56" i="269" a="1"/>
  <c r="V56" i="269" s="1"/>
  <c r="Y56" i="269" s="1"/>
  <c r="G56" i="269" s="1"/>
  <c r="V14" i="269" a="1"/>
  <c r="V14" i="269" s="1"/>
  <c r="Y14" i="269" s="1"/>
  <c r="G14" i="269" s="1"/>
  <c r="V10" i="269" a="1"/>
  <c r="V10" i="269" s="1"/>
  <c r="Y10" i="269" s="1"/>
  <c r="G10" i="269" s="1"/>
  <c r="V22" i="269" a="1"/>
  <c r="V22" i="269" s="1"/>
  <c r="Y22" i="269" s="1"/>
  <c r="V57" i="269" a="1"/>
  <c r="V57" i="269" s="1"/>
  <c r="Y57" i="269" s="1"/>
  <c r="G57" i="269" s="1"/>
  <c r="X72" i="269" a="1"/>
  <c r="X72" i="269" s="1"/>
  <c r="AA72" i="269" s="1"/>
  <c r="V72" i="269" a="1"/>
  <c r="V72" i="269" s="1"/>
  <c r="Y72" i="269" s="1"/>
  <c r="W72" i="269" a="1"/>
  <c r="W72" i="269" s="1"/>
  <c r="Z72" i="269" s="1"/>
  <c r="R73" i="269"/>
  <c r="X64" i="269" a="1"/>
  <c r="X64" i="269" s="1"/>
  <c r="AA64" i="269" s="1"/>
  <c r="I64" i="269" s="1"/>
  <c r="V64" i="269" a="1"/>
  <c r="V64" i="269" s="1"/>
  <c r="Y64" i="269" s="1"/>
  <c r="G64" i="269" s="1"/>
  <c r="W64" i="269" a="1"/>
  <c r="W64" i="269" s="1"/>
  <c r="Z64" i="269" s="1"/>
  <c r="H64" i="269" s="1"/>
  <c r="R65" i="269"/>
  <c r="X58" i="269" a="1"/>
  <c r="X58" i="269" s="1"/>
  <c r="AA58" i="269" s="1"/>
  <c r="I58" i="269" s="1"/>
  <c r="V58" i="269" a="1"/>
  <c r="V58" i="269" s="1"/>
  <c r="Y58" i="269" s="1"/>
  <c r="G58" i="269" s="1"/>
  <c r="R59" i="269"/>
  <c r="W58" i="269" a="1"/>
  <c r="W58" i="269" s="1"/>
  <c r="Z58" i="269" s="1"/>
  <c r="H58" i="269" s="1"/>
  <c r="W70" i="269" a="1"/>
  <c r="W70" i="269" s="1"/>
  <c r="Z70" i="269" s="1"/>
  <c r="W21" i="269" a="1"/>
  <c r="W21" i="269" s="1"/>
  <c r="Z21" i="269" s="1"/>
  <c r="W15" i="269" a="1"/>
  <c r="W15" i="269" s="1"/>
  <c r="Z15" i="269" s="1"/>
  <c r="H15" i="269" s="1"/>
  <c r="W13" i="269" a="1"/>
  <c r="W13" i="269" s="1"/>
  <c r="Z13" i="269" s="1"/>
  <c r="H13" i="269" s="1"/>
  <c r="W17" i="269" a="1"/>
  <c r="W17" i="269" s="1"/>
  <c r="Z17" i="269" s="1"/>
  <c r="H17" i="269" s="1"/>
  <c r="W9" i="269" a="1"/>
  <c r="W9" i="269" s="1"/>
  <c r="Z9" i="269" s="1"/>
  <c r="H9" i="269" s="1"/>
  <c r="V21" i="269" a="1"/>
  <c r="V21" i="269" s="1"/>
  <c r="Y21" i="269" s="1"/>
  <c r="V15" i="269" a="1"/>
  <c r="V15" i="269" s="1"/>
  <c r="Y15" i="269" s="1"/>
  <c r="V13" i="269" a="1"/>
  <c r="V13" i="269" s="1"/>
  <c r="Y13" i="269" s="1"/>
  <c r="G13" i="269" s="1"/>
  <c r="V9" i="269" a="1"/>
  <c r="V9" i="269" s="1"/>
  <c r="Y9" i="269" s="1"/>
  <c r="G9" i="269" s="1"/>
  <c r="V17" i="269" a="1"/>
  <c r="V17" i="269" s="1"/>
  <c r="Y17" i="269" s="1"/>
  <c r="G17" i="269" s="1"/>
  <c r="V7" i="269" a="1"/>
  <c r="V7" i="269" s="1"/>
  <c r="V30" i="269" a="1"/>
  <c r="V30" i="269" s="1"/>
  <c r="V37" i="269" a="1"/>
  <c r="V37" i="269" s="1"/>
  <c r="Y37" i="269" s="1"/>
  <c r="V20" i="269" a="1"/>
  <c r="V20" i="269" s="1"/>
  <c r="Y20" i="269" s="1"/>
  <c r="W37" i="269" a="1"/>
  <c r="W37" i="269" s="1"/>
  <c r="Z37" i="269" s="1"/>
  <c r="W31" i="269" a="1"/>
  <c r="W31" i="269" s="1"/>
  <c r="V31" i="269" a="1"/>
  <c r="V31" i="269" s="1"/>
  <c r="V35" i="269" a="1"/>
  <c r="V35" i="269" s="1"/>
  <c r="W20" i="269" a="1"/>
  <c r="W20" i="269" s="1"/>
  <c r="Z20" i="269" s="1"/>
  <c r="V70" i="269" a="1"/>
  <c r="V70" i="269" s="1"/>
  <c r="Y70" i="269" s="1"/>
  <c r="W35" i="269" a="1"/>
  <c r="W35" i="269" s="1"/>
  <c r="W33" i="269" a="1"/>
  <c r="W33" i="269" s="1"/>
  <c r="Z33" i="269" s="1"/>
  <c r="H33" i="269" s="1"/>
  <c r="X8" i="269" a="1"/>
  <c r="X8" i="269" s="1"/>
  <c r="AA8" i="269" s="1"/>
  <c r="W8" i="269" a="1"/>
  <c r="W8" i="269" s="1"/>
  <c r="Z8" i="269" s="1"/>
  <c r="H8" i="269" s="1"/>
  <c r="M101" i="267"/>
  <c r="O59" i="267"/>
  <c r="V46" i="269" a="1"/>
  <c r="V46" i="269" s="1"/>
  <c r="W46" i="269" a="1"/>
  <c r="W46" i="269" s="1"/>
  <c r="X46" i="269" a="1"/>
  <c r="X46" i="269" s="1"/>
  <c r="W54" i="269" a="1"/>
  <c r="W54" i="269" s="1"/>
  <c r="Z54" i="269" s="1"/>
  <c r="H54" i="269" s="1"/>
  <c r="V54" i="269" a="1"/>
  <c r="V54" i="269" s="1"/>
  <c r="Y54" i="269" s="1"/>
  <c r="G54" i="269" s="1"/>
  <c r="X54" i="269" a="1"/>
  <c r="X54" i="269" s="1"/>
  <c r="AA54" i="269" s="1"/>
  <c r="I54" i="269" s="1"/>
  <c r="W16" i="267"/>
  <c r="Y21" i="267" s="1"/>
  <c r="K80" i="267"/>
  <c r="O80" i="267"/>
  <c r="X62" i="269" a="1"/>
  <c r="X62" i="269" s="1"/>
  <c r="W62" i="269" a="1"/>
  <c r="W62" i="269" s="1"/>
  <c r="V62" i="269" a="1"/>
  <c r="V62" i="269" s="1"/>
  <c r="V16" i="269" a="1"/>
  <c r="V16" i="269" s="1"/>
  <c r="X16" i="269" a="1"/>
  <c r="X16" i="269" s="1"/>
  <c r="W16" i="269" a="1"/>
  <c r="W16" i="269" s="1"/>
  <c r="Z16" i="269" s="1"/>
  <c r="H16" i="269" s="1"/>
  <c r="W12" i="269" a="1"/>
  <c r="W12" i="269" s="1"/>
  <c r="Z12" i="269" s="1"/>
  <c r="H12" i="269" s="1"/>
  <c r="X12" i="269" a="1"/>
  <c r="X12" i="269" s="1"/>
  <c r="AA12" i="269" s="1"/>
  <c r="I12" i="269" s="1"/>
  <c r="V12" i="269" a="1"/>
  <c r="V12" i="269" s="1"/>
  <c r="Y12" i="269" s="1"/>
  <c r="G12" i="269" s="1"/>
  <c r="V33" i="269" a="1"/>
  <c r="V33" i="269" s="1"/>
  <c r="Y33" i="269" s="1"/>
  <c r="G33" i="269" s="1"/>
  <c r="B186" i="260"/>
  <c r="B146" i="260"/>
  <c r="B166" i="260"/>
  <c r="B126" i="260"/>
  <c r="E69" i="264"/>
  <c r="E11" i="264"/>
  <c r="E76" i="264"/>
  <c r="E25" i="264"/>
  <c r="E32" i="264"/>
  <c r="E55" i="264"/>
  <c r="X16" i="267"/>
  <c r="X24" i="267"/>
  <c r="F64" i="221" s="1"/>
  <c r="X21" i="267"/>
  <c r="E62" i="264"/>
  <c r="E18" i="264"/>
  <c r="N80" i="267"/>
  <c r="G15" i="267"/>
  <c r="M80" i="267"/>
  <c r="L80" i="267"/>
  <c r="H15" i="267"/>
  <c r="Z21" i="267"/>
  <c r="Z23" i="267"/>
  <c r="Z24" i="267"/>
  <c r="Z22" i="267"/>
  <c r="F80" i="267"/>
  <c r="J80" i="267"/>
  <c r="H80" i="267"/>
  <c r="H101" i="267"/>
  <c r="I80" i="267"/>
  <c r="K101" i="267"/>
  <c r="G101" i="267"/>
  <c r="J59" i="267"/>
  <c r="I59" i="267"/>
  <c r="G59" i="267"/>
  <c r="H59" i="267"/>
  <c r="F59" i="267"/>
  <c r="N59" i="267"/>
  <c r="M59" i="267"/>
  <c r="L59" i="267"/>
  <c r="K59" i="267"/>
  <c r="G80" i="267"/>
  <c r="F122" i="267"/>
  <c r="F125" i="267" s="1"/>
  <c r="H122" i="267"/>
  <c r="H125" i="267" s="1"/>
  <c r="G122" i="267"/>
  <c r="G125" i="267" s="1"/>
  <c r="N122" i="267"/>
  <c r="M122" i="267"/>
  <c r="M125" i="267" s="1"/>
  <c r="L122" i="267"/>
  <c r="L125" i="267" s="1"/>
  <c r="K122" i="267"/>
  <c r="K125" i="267" s="1"/>
  <c r="J122" i="267"/>
  <c r="J125" i="267" s="1"/>
  <c r="I122" i="267"/>
  <c r="I125" i="267" s="1"/>
  <c r="J101" i="267"/>
  <c r="I101" i="267"/>
  <c r="F101" i="267"/>
  <c r="N101" i="267"/>
  <c r="L101" i="267"/>
  <c r="E15" i="267"/>
  <c r="D15" i="267"/>
  <c r="F15" i="267"/>
  <c r="F19" i="260"/>
  <c r="F59" i="260" s="1"/>
  <c r="F99" i="260" s="1"/>
  <c r="G15" i="269" l="1"/>
  <c r="W73" i="269" a="1"/>
  <c r="W73" i="269" s="1"/>
  <c r="Z73" i="269" s="1"/>
  <c r="R74" i="269"/>
  <c r="X73" i="269" a="1"/>
  <c r="X73" i="269" s="1"/>
  <c r="AA73" i="269" s="1"/>
  <c r="V73" i="269" a="1"/>
  <c r="V73" i="269" s="1"/>
  <c r="Y73" i="269" s="1"/>
  <c r="W65" i="269" a="1"/>
  <c r="W65" i="269" s="1"/>
  <c r="Z65" i="269" s="1"/>
  <c r="H65" i="269" s="1"/>
  <c r="R66" i="269"/>
  <c r="X65" i="269" a="1"/>
  <c r="X65" i="269" s="1"/>
  <c r="AA65" i="269" s="1"/>
  <c r="I65" i="269" s="1"/>
  <c r="V65" i="269" a="1"/>
  <c r="V65" i="269" s="1"/>
  <c r="Y65" i="269" s="1"/>
  <c r="G65" i="269" s="1"/>
  <c r="W59" i="269" a="1"/>
  <c r="W59" i="269" s="1"/>
  <c r="Z59" i="269" s="1"/>
  <c r="H59" i="269" s="1"/>
  <c r="X59" i="269" a="1"/>
  <c r="X59" i="269" s="1"/>
  <c r="AA59" i="269" s="1"/>
  <c r="I59" i="269" s="1"/>
  <c r="R60" i="269"/>
  <c r="V59" i="269" a="1"/>
  <c r="V59" i="269" s="1"/>
  <c r="Y59" i="269" s="1"/>
  <c r="G59" i="269" s="1"/>
  <c r="Y23" i="267"/>
  <c r="G63" i="221" s="1"/>
  <c r="O69" i="264" s="1" a="1"/>
  <c r="O69" i="264" s="1"/>
  <c r="X23" i="267"/>
  <c r="F43" i="221" s="1"/>
  <c r="F7" i="221" s="1"/>
  <c r="X22" i="267"/>
  <c r="F62" i="221" s="1"/>
  <c r="N62" i="264" s="1" a="1"/>
  <c r="N62" i="264" s="1"/>
  <c r="F60" i="221"/>
  <c r="K76" i="264" s="1" a="1"/>
  <c r="K76" i="264" s="1"/>
  <c r="W76" i="264" s="1"/>
  <c r="F48" i="221"/>
  <c r="H59" i="221"/>
  <c r="M69" i="264" s="1" a="1"/>
  <c r="M69" i="264" s="1"/>
  <c r="Y69" i="264" s="1"/>
  <c r="H47" i="221"/>
  <c r="H45" i="221"/>
  <c r="H57" i="221"/>
  <c r="M55" i="264" s="1" a="1"/>
  <c r="M55" i="264" s="1"/>
  <c r="Y55" i="264" s="1"/>
  <c r="V34" i="269" a="1"/>
  <c r="V34" i="269" s="1"/>
  <c r="Y34" i="269" s="1"/>
  <c r="G34" i="269" s="1"/>
  <c r="X34" i="269" a="1"/>
  <c r="X34" i="269" s="1"/>
  <c r="W34" i="269" a="1"/>
  <c r="W34" i="269" s="1"/>
  <c r="X36" i="269" a="1"/>
  <c r="X36" i="269" s="1"/>
  <c r="AA36" i="269" s="1"/>
  <c r="W36" i="269" a="1"/>
  <c r="W36" i="269" s="1"/>
  <c r="Z36" i="269" s="1"/>
  <c r="V36" i="269" a="1"/>
  <c r="V36" i="269" s="1"/>
  <c r="Y36" i="269" s="1"/>
  <c r="X30" i="269" a="1"/>
  <c r="X30" i="269" s="1"/>
  <c r="W30" i="269" a="1"/>
  <c r="W30" i="269" s="1"/>
  <c r="V19" i="269" a="1"/>
  <c r="V19" i="269" s="1"/>
  <c r="Y19" i="269" s="1"/>
  <c r="W19" i="269" a="1"/>
  <c r="W19" i="269" s="1"/>
  <c r="Z19" i="269" s="1"/>
  <c r="X19" i="269" a="1"/>
  <c r="X19" i="269" s="1"/>
  <c r="AA19" i="269" s="1"/>
  <c r="F47" i="221"/>
  <c r="X11" i="269" a="1"/>
  <c r="X11" i="269" s="1"/>
  <c r="AA11" i="269" s="1"/>
  <c r="W11" i="269" a="1"/>
  <c r="W11" i="269" s="1"/>
  <c r="Z11" i="269" s="1"/>
  <c r="V11" i="269" a="1"/>
  <c r="V11" i="269" s="1"/>
  <c r="Y11" i="269" s="1"/>
  <c r="F72" i="221" s="1"/>
  <c r="F45" i="221"/>
  <c r="F41" i="221"/>
  <c r="F57" i="221"/>
  <c r="K55" i="264" s="1" a="1"/>
  <c r="K55" i="264" s="1"/>
  <c r="W55" i="264" s="1"/>
  <c r="F49" i="221"/>
  <c r="X61" i="269" a="1"/>
  <c r="X61" i="269" s="1"/>
  <c r="W61" i="269" a="1"/>
  <c r="W61" i="269" s="1"/>
  <c r="V61" i="269" a="1"/>
  <c r="V61" i="269" s="1"/>
  <c r="V69" i="269" a="1"/>
  <c r="V69" i="269" s="1"/>
  <c r="Y69" i="269" s="1"/>
  <c r="W69" i="269" a="1"/>
  <c r="W69" i="269" s="1"/>
  <c r="Z69" i="269" s="1"/>
  <c r="X69" i="269" a="1"/>
  <c r="X69" i="269" s="1"/>
  <c r="AA69" i="269" s="1"/>
  <c r="N125" i="267"/>
  <c r="X7" i="269" a="1"/>
  <c r="X7" i="269" s="1"/>
  <c r="W7" i="269" a="1"/>
  <c r="W7" i="269" s="1"/>
  <c r="Z7" i="269" s="1"/>
  <c r="H7" i="269" s="1"/>
  <c r="Y7" i="269"/>
  <c r="G45" i="221"/>
  <c r="G57" i="221"/>
  <c r="H46" i="221"/>
  <c r="H58" i="221"/>
  <c r="X45" i="269" a="1"/>
  <c r="X45" i="269" s="1"/>
  <c r="V45" i="269" a="1"/>
  <c r="V45" i="269" s="1"/>
  <c r="W45" i="269" a="1"/>
  <c r="W45" i="269" s="1"/>
  <c r="H48" i="221"/>
  <c r="H60" i="221"/>
  <c r="M76" i="264" s="1" a="1"/>
  <c r="M76" i="264" s="1"/>
  <c r="Y76" i="264" s="1"/>
  <c r="V53" i="269" a="1"/>
  <c r="V53" i="269" s="1"/>
  <c r="Y53" i="269" s="1"/>
  <c r="X53" i="269" a="1"/>
  <c r="X53" i="269" s="1"/>
  <c r="AA53" i="269" s="1"/>
  <c r="W53" i="269" a="1"/>
  <c r="W53" i="269" s="1"/>
  <c r="Z53" i="269" s="1"/>
  <c r="V32" i="269" a="1"/>
  <c r="V32" i="269" s="1"/>
  <c r="Y32" i="269" s="1"/>
  <c r="W32" i="269" a="1"/>
  <c r="W32" i="269" s="1"/>
  <c r="Z32" i="269" s="1"/>
  <c r="X32" i="269" a="1"/>
  <c r="X32" i="269" s="1"/>
  <c r="AA32" i="269" s="1"/>
  <c r="F179" i="260"/>
  <c r="F139" i="260"/>
  <c r="E70" i="264"/>
  <c r="E77" i="264"/>
  <c r="E26" i="264"/>
  <c r="E12" i="264"/>
  <c r="E56" i="264"/>
  <c r="E33" i="264"/>
  <c r="E63" i="264"/>
  <c r="N76" i="264" a="1"/>
  <c r="N76" i="264" s="1"/>
  <c r="F52" i="221"/>
  <c r="F44" i="221"/>
  <c r="F8" i="221" s="1"/>
  <c r="F56" i="221"/>
  <c r="H76" i="264" s="1" a="1"/>
  <c r="H76" i="264" s="1"/>
  <c r="T76" i="264" s="1"/>
  <c r="AF76" i="264" s="1"/>
  <c r="G55" i="221"/>
  <c r="I69" i="264" s="1" a="1"/>
  <c r="I69" i="264" s="1"/>
  <c r="U69" i="264" s="1"/>
  <c r="AG69" i="264" s="1"/>
  <c r="G53" i="221"/>
  <c r="I55" i="264" s="1" a="1"/>
  <c r="I55" i="264" s="1"/>
  <c r="G41" i="221"/>
  <c r="G5" i="221" s="1"/>
  <c r="G61" i="221"/>
  <c r="O55" i="264" s="1" a="1"/>
  <c r="O55" i="264" s="1"/>
  <c r="G49" i="221"/>
  <c r="H50" i="221"/>
  <c r="H54" i="221"/>
  <c r="J62" i="264" s="1" a="1"/>
  <c r="J62" i="264" s="1"/>
  <c r="V62" i="264" s="1"/>
  <c r="AH62" i="264" s="1"/>
  <c r="H62" i="221"/>
  <c r="P62" i="264" s="1" a="1"/>
  <c r="P62" i="264" s="1"/>
  <c r="H42" i="221"/>
  <c r="H6" i="221" s="1"/>
  <c r="H52" i="221"/>
  <c r="H64" i="221"/>
  <c r="P76" i="264" s="1" a="1"/>
  <c r="P76" i="264" s="1"/>
  <c r="H44" i="221"/>
  <c r="H8" i="221" s="1"/>
  <c r="H56" i="221"/>
  <c r="F63" i="221"/>
  <c r="N69" i="264" s="1" a="1"/>
  <c r="N69" i="264" s="1"/>
  <c r="F53" i="221"/>
  <c r="F61" i="221"/>
  <c r="N55" i="264" s="1" a="1"/>
  <c r="N55" i="264" s="1"/>
  <c r="H41" i="221"/>
  <c r="H5" i="221" s="1"/>
  <c r="H61" i="221"/>
  <c r="H53" i="221"/>
  <c r="J55" i="264" s="1" a="1"/>
  <c r="J55" i="264" s="1"/>
  <c r="H49" i="221"/>
  <c r="H63" i="221"/>
  <c r="P69" i="264" s="1" a="1"/>
  <c r="P69" i="264" s="1"/>
  <c r="H51" i="221"/>
  <c r="H55" i="221"/>
  <c r="J69" i="264" s="1" a="1"/>
  <c r="J69" i="264" s="1"/>
  <c r="V69" i="264" s="1"/>
  <c r="AH69" i="264" s="1"/>
  <c r="H43" i="221"/>
  <c r="H7" i="221" s="1"/>
  <c r="Y24" i="267"/>
  <c r="Y22" i="267"/>
  <c r="G42" i="221" s="1"/>
  <c r="E19" i="264"/>
  <c r="O19" i="260"/>
  <c r="G59" i="260"/>
  <c r="G99" i="260" s="1"/>
  <c r="C59" i="260"/>
  <c r="C99" i="260" s="1"/>
  <c r="F55" i="221" l="1"/>
  <c r="H69" i="264" s="1" a="1"/>
  <c r="H69" i="264" s="1"/>
  <c r="F54" i="221"/>
  <c r="F51" i="221"/>
  <c r="F15" i="221" s="1"/>
  <c r="F59" i="221"/>
  <c r="K69" i="264" s="1" a="1"/>
  <c r="K69" i="264" s="1"/>
  <c r="W69" i="264" s="1"/>
  <c r="F5" i="221"/>
  <c r="G7" i="269"/>
  <c r="F42" i="221"/>
  <c r="F6" i="221" s="1"/>
  <c r="F50" i="221"/>
  <c r="F14" i="221" s="1"/>
  <c r="F46" i="221"/>
  <c r="G51" i="221"/>
  <c r="G43" i="221"/>
  <c r="G7" i="221" s="1"/>
  <c r="G59" i="221"/>
  <c r="L69" i="264" s="1" a="1"/>
  <c r="L69" i="264" s="1"/>
  <c r="X69" i="264" s="1"/>
  <c r="G47" i="221"/>
  <c r="G11" i="221" s="1"/>
  <c r="F58" i="221"/>
  <c r="K62" i="264" s="1" a="1"/>
  <c r="K62" i="264" s="1"/>
  <c r="W62" i="264" s="1"/>
  <c r="X74" i="269" a="1"/>
  <c r="X74" i="269" s="1"/>
  <c r="AA74" i="269" s="1"/>
  <c r="V74" i="269" a="1"/>
  <c r="V74" i="269" s="1"/>
  <c r="Y74" i="269" s="1"/>
  <c r="R75" i="269"/>
  <c r="W74" i="269" a="1"/>
  <c r="W74" i="269" s="1"/>
  <c r="Z74" i="269" s="1"/>
  <c r="X66" i="269" a="1"/>
  <c r="X66" i="269" s="1"/>
  <c r="AA66" i="269" s="1"/>
  <c r="I66" i="269" s="1"/>
  <c r="V66" i="269" a="1"/>
  <c r="V66" i="269" s="1"/>
  <c r="Y66" i="269" s="1"/>
  <c r="G66" i="269" s="1"/>
  <c r="R67" i="269"/>
  <c r="W66" i="269" a="1"/>
  <c r="W66" i="269" s="1"/>
  <c r="Z66" i="269" s="1"/>
  <c r="H66" i="269" s="1"/>
  <c r="X60" i="269" a="1"/>
  <c r="X60" i="269" s="1"/>
  <c r="AA60" i="269" s="1"/>
  <c r="I60" i="269" s="1"/>
  <c r="V60" i="269" a="1"/>
  <c r="V60" i="269" s="1"/>
  <c r="Y60" i="269" s="1"/>
  <c r="G60" i="269" s="1"/>
  <c r="W60" i="269" a="1"/>
  <c r="W60" i="269" s="1"/>
  <c r="Z60" i="269" s="1"/>
  <c r="H60" i="269" s="1"/>
  <c r="G32" i="269"/>
  <c r="F69" i="221"/>
  <c r="F33" i="221" s="1"/>
  <c r="H10" i="221"/>
  <c r="P53" i="264" a="1"/>
  <c r="P53" i="264" s="1"/>
  <c r="AB53" i="264" s="1"/>
  <c r="P54" i="264" a="1"/>
  <c r="P54" i="264" s="1"/>
  <c r="AB54" i="264" s="1"/>
  <c r="N53" i="264" a="1"/>
  <c r="N53" i="264" s="1"/>
  <c r="Z53" i="264" s="1"/>
  <c r="N54" i="264" a="1"/>
  <c r="N54" i="264" s="1"/>
  <c r="Z54" i="264" s="1"/>
  <c r="N67" i="264" a="1"/>
  <c r="N67" i="264" s="1"/>
  <c r="Z67" i="264" s="1"/>
  <c r="N68" i="264" a="1"/>
  <c r="N68" i="264" s="1"/>
  <c r="Z68" i="264" s="1"/>
  <c r="H11" i="269"/>
  <c r="G72" i="221"/>
  <c r="G36" i="221" s="1"/>
  <c r="H32" i="269"/>
  <c r="G69" i="221"/>
  <c r="G33" i="221" s="1"/>
  <c r="O53" i="264" a="1"/>
  <c r="O53" i="264" s="1"/>
  <c r="AA53" i="264" s="1"/>
  <c r="O54" i="264" a="1"/>
  <c r="O54" i="264" s="1"/>
  <c r="AA54" i="264" s="1"/>
  <c r="F16" i="221"/>
  <c r="I11" i="269"/>
  <c r="H72" i="221"/>
  <c r="H36" i="221" s="1"/>
  <c r="H22" i="221"/>
  <c r="M60" i="264" a="1"/>
  <c r="M60" i="264" s="1"/>
  <c r="Y60" i="264" s="1"/>
  <c r="M61" i="264" a="1"/>
  <c r="M61" i="264" s="1"/>
  <c r="Y61" i="264" s="1"/>
  <c r="N74" i="264" a="1"/>
  <c r="N74" i="264" s="1"/>
  <c r="Z74" i="264" s="1"/>
  <c r="N75" i="264" a="1"/>
  <c r="N75" i="264" s="1"/>
  <c r="Z75" i="264" s="1"/>
  <c r="H53" i="269"/>
  <c r="G66" i="221"/>
  <c r="G30" i="221" s="1"/>
  <c r="F10" i="221"/>
  <c r="P74" i="264" a="1"/>
  <c r="P74" i="264" s="1"/>
  <c r="AB74" i="264" s="1"/>
  <c r="P75" i="264" a="1"/>
  <c r="P75" i="264" s="1"/>
  <c r="AB75" i="264" s="1"/>
  <c r="H16" i="221"/>
  <c r="F11" i="221"/>
  <c r="P60" i="264" a="1"/>
  <c r="P60" i="264" s="1"/>
  <c r="AB60" i="264" s="1"/>
  <c r="P61" i="264" a="1"/>
  <c r="P61" i="264" s="1"/>
  <c r="AB61" i="264" s="1"/>
  <c r="I32" i="269"/>
  <c r="H69" i="221"/>
  <c r="H33" i="221" s="1"/>
  <c r="I53" i="269"/>
  <c r="H66" i="221"/>
  <c r="H30" i="221" s="1"/>
  <c r="G58" i="221"/>
  <c r="G46" i="221"/>
  <c r="G53" i="269"/>
  <c r="G60" i="221"/>
  <c r="G48" i="221"/>
  <c r="O67" i="264" a="1"/>
  <c r="O67" i="264" s="1"/>
  <c r="AA67" i="264" s="1"/>
  <c r="O68" i="264" a="1"/>
  <c r="O68" i="264" s="1"/>
  <c r="AA68" i="264" s="1"/>
  <c r="H24" i="221"/>
  <c r="M74" i="264" a="1"/>
  <c r="M74" i="264" s="1"/>
  <c r="Y74" i="264" s="1"/>
  <c r="M75" i="264" a="1"/>
  <c r="M75" i="264" s="1"/>
  <c r="Y75" i="264" s="1"/>
  <c r="H12" i="221"/>
  <c r="H14" i="221"/>
  <c r="H15" i="221"/>
  <c r="G15" i="221"/>
  <c r="P67" i="264" a="1"/>
  <c r="P67" i="264" s="1"/>
  <c r="AB67" i="264" s="1"/>
  <c r="P68" i="264" a="1"/>
  <c r="P68" i="264" s="1"/>
  <c r="AB68" i="264" s="1"/>
  <c r="P55" i="264" a="1"/>
  <c r="P55" i="264" s="1"/>
  <c r="AB55" i="264" s="1"/>
  <c r="G21" i="221"/>
  <c r="L53" i="264" a="1"/>
  <c r="L53" i="264" s="1"/>
  <c r="X53" i="264" s="1"/>
  <c r="L54" i="264" a="1"/>
  <c r="L54" i="264" s="1"/>
  <c r="X54" i="264" s="1"/>
  <c r="L55" i="264" a="1"/>
  <c r="L55" i="264" s="1"/>
  <c r="X55" i="264" s="1"/>
  <c r="G9" i="221"/>
  <c r="F13" i="221"/>
  <c r="H21" i="221"/>
  <c r="M53" i="264" a="1"/>
  <c r="M53" i="264" s="1"/>
  <c r="Y53" i="264" s="1"/>
  <c r="M54" i="264" a="1"/>
  <c r="M54" i="264" s="1"/>
  <c r="Y54" i="264" s="1"/>
  <c r="F21" i="221"/>
  <c r="K53" i="264" a="1"/>
  <c r="K53" i="264" s="1"/>
  <c r="W53" i="264" s="1"/>
  <c r="K54" i="264" a="1"/>
  <c r="K54" i="264" s="1"/>
  <c r="W54" i="264" s="1"/>
  <c r="H9" i="221"/>
  <c r="H11" i="221"/>
  <c r="F9" i="221"/>
  <c r="H23" i="221"/>
  <c r="M67" i="264" a="1"/>
  <c r="M67" i="264" s="1"/>
  <c r="Y67" i="264" s="1"/>
  <c r="M68" i="264" a="1"/>
  <c r="M68" i="264" s="1"/>
  <c r="Y68" i="264" s="1"/>
  <c r="H13" i="221"/>
  <c r="N60" i="264" a="1"/>
  <c r="N60" i="264" s="1"/>
  <c r="Z60" i="264" s="1"/>
  <c r="N61" i="264" a="1"/>
  <c r="N61" i="264" s="1"/>
  <c r="Z61" i="264" s="1"/>
  <c r="M62" i="264" a="1"/>
  <c r="M62" i="264" s="1"/>
  <c r="Y62" i="264" s="1"/>
  <c r="F12" i="221"/>
  <c r="G13" i="221"/>
  <c r="G11" i="269"/>
  <c r="F36" i="221"/>
  <c r="F24" i="221"/>
  <c r="K74" i="264" a="1"/>
  <c r="K74" i="264" s="1"/>
  <c r="W74" i="264" s="1"/>
  <c r="K75" i="264" a="1"/>
  <c r="K75" i="264" s="1"/>
  <c r="W75" i="264" s="1"/>
  <c r="C179" i="260"/>
  <c r="C139" i="260"/>
  <c r="G179" i="260"/>
  <c r="G139" i="260"/>
  <c r="AA69" i="264"/>
  <c r="AA55" i="264"/>
  <c r="AB76" i="264"/>
  <c r="Z55" i="264"/>
  <c r="Z62" i="264"/>
  <c r="AB62" i="264"/>
  <c r="Z76" i="264"/>
  <c r="Z69" i="264"/>
  <c r="AB69" i="264"/>
  <c r="F18" i="221"/>
  <c r="H60" i="264" a="1"/>
  <c r="H60" i="264" s="1"/>
  <c r="H61" i="264" a="1"/>
  <c r="H61" i="264" s="1"/>
  <c r="T61" i="264" s="1"/>
  <c r="F17" i="221"/>
  <c r="H53" i="264" a="1"/>
  <c r="H53" i="264" s="1"/>
  <c r="H54" i="264" a="1"/>
  <c r="H54" i="264" s="1"/>
  <c r="T54" i="264" s="1"/>
  <c r="F19" i="221"/>
  <c r="H67" i="264" a="1"/>
  <c r="H67" i="264" s="1"/>
  <c r="H68" i="264" a="1"/>
  <c r="H68" i="264" s="1"/>
  <c r="H20" i="221"/>
  <c r="J74" i="264" a="1"/>
  <c r="J74" i="264" s="1"/>
  <c r="J75" i="264" a="1"/>
  <c r="J75" i="264" s="1"/>
  <c r="F26" i="221"/>
  <c r="H26" i="221"/>
  <c r="F27" i="221"/>
  <c r="H18" i="221"/>
  <c r="J60" i="264" a="1"/>
  <c r="J60" i="264" s="1"/>
  <c r="J61" i="264" a="1"/>
  <c r="J61" i="264" s="1"/>
  <c r="G25" i="221"/>
  <c r="J76" i="264" a="1"/>
  <c r="J76" i="264" s="1"/>
  <c r="V76" i="264" s="1"/>
  <c r="G19" i="221"/>
  <c r="I67" i="264" a="1"/>
  <c r="I67" i="264" s="1"/>
  <c r="I68" i="264" a="1"/>
  <c r="I68" i="264" s="1"/>
  <c r="F25" i="221"/>
  <c r="G17" i="221"/>
  <c r="I53" i="264" a="1"/>
  <c r="I53" i="264" s="1"/>
  <c r="I54" i="264" a="1"/>
  <c r="I54" i="264" s="1"/>
  <c r="H55" i="264" a="1"/>
  <c r="H55" i="264" s="1"/>
  <c r="T55" i="264" s="1"/>
  <c r="H28" i="221"/>
  <c r="G27" i="221"/>
  <c r="H19" i="221"/>
  <c r="J67" i="264" a="1"/>
  <c r="J67" i="264" s="1"/>
  <c r="J68" i="264" a="1"/>
  <c r="J68" i="264" s="1"/>
  <c r="F20" i="221"/>
  <c r="H74" i="264" a="1"/>
  <c r="H74" i="264" s="1"/>
  <c r="H75" i="264" a="1"/>
  <c r="H75" i="264" s="1"/>
  <c r="H27" i="221"/>
  <c r="H17" i="221"/>
  <c r="J53" i="264" a="1"/>
  <c r="J53" i="264" s="1"/>
  <c r="J54" i="264" a="1"/>
  <c r="J54" i="264" s="1"/>
  <c r="F28" i="221"/>
  <c r="H62" i="264" a="1"/>
  <c r="H62" i="264" s="1"/>
  <c r="T62" i="264" s="1"/>
  <c r="AF62" i="264" s="1"/>
  <c r="H25" i="221"/>
  <c r="V55" i="264"/>
  <c r="Q69" i="264"/>
  <c r="T69" i="264"/>
  <c r="U55" i="264"/>
  <c r="BB69" i="264"/>
  <c r="R69" i="264"/>
  <c r="BC69" i="264"/>
  <c r="S69" i="264"/>
  <c r="AE69" i="264" s="1"/>
  <c r="BA76" i="264"/>
  <c r="Q76" i="264"/>
  <c r="BC62" i="264"/>
  <c r="S62" i="264"/>
  <c r="BB55" i="264"/>
  <c r="R55" i="264"/>
  <c r="AD55" i="264" s="1"/>
  <c r="BC55" i="264"/>
  <c r="S55" i="264"/>
  <c r="AE55" i="264" s="1"/>
  <c r="BA69" i="264"/>
  <c r="B59" i="260"/>
  <c r="B99" i="260" s="1"/>
  <c r="B79" i="260"/>
  <c r="B119" i="260" s="1"/>
  <c r="G62" i="221"/>
  <c r="G50" i="221"/>
  <c r="G54" i="221"/>
  <c r="G6" i="221"/>
  <c r="G64" i="221"/>
  <c r="G52" i="221"/>
  <c r="G44" i="221"/>
  <c r="G8" i="221" s="1"/>
  <c r="G56" i="221"/>
  <c r="V33" i="267"/>
  <c r="O18" i="260"/>
  <c r="K68" i="264" l="1" a="1"/>
  <c r="K68" i="264" s="1"/>
  <c r="W68" i="264" s="1"/>
  <c r="K67" i="264" a="1"/>
  <c r="K67" i="264" s="1"/>
  <c r="W67" i="264" s="1"/>
  <c r="F23" i="221"/>
  <c r="G23" i="221"/>
  <c r="L68" i="264" a="1"/>
  <c r="L68" i="264" s="1"/>
  <c r="X68" i="264" s="1"/>
  <c r="V32" i="267"/>
  <c r="F66" i="221"/>
  <c r="F30" i="221" s="1"/>
  <c r="L67" i="264" a="1"/>
  <c r="L67" i="264" s="1"/>
  <c r="X67" i="264" s="1"/>
  <c r="V35" i="267"/>
  <c r="K61" i="264" a="1"/>
  <c r="K61" i="264" s="1"/>
  <c r="W61" i="264" s="1"/>
  <c r="K60" i="264" a="1"/>
  <c r="K60" i="264" s="1"/>
  <c r="W60" i="264" s="1"/>
  <c r="F22" i="221"/>
  <c r="W75" i="269" a="1"/>
  <c r="W75" i="269" s="1"/>
  <c r="Z75" i="269" s="1"/>
  <c r="R76" i="269"/>
  <c r="X75" i="269" a="1"/>
  <c r="X75" i="269" s="1"/>
  <c r="AA75" i="269" s="1"/>
  <c r="V75" i="269" a="1"/>
  <c r="V75" i="269" s="1"/>
  <c r="Y75" i="269" s="1"/>
  <c r="W67" i="269" a="1"/>
  <c r="W67" i="269" s="1"/>
  <c r="Z67" i="269" s="1"/>
  <c r="H67" i="269" s="1"/>
  <c r="R68" i="269"/>
  <c r="X67" i="269" a="1"/>
  <c r="X67" i="269" s="1"/>
  <c r="AA67" i="269" s="1"/>
  <c r="I67" i="269" s="1"/>
  <c r="V67" i="269" a="1"/>
  <c r="V67" i="269" s="1"/>
  <c r="Y67" i="269" s="1"/>
  <c r="G67" i="269" s="1"/>
  <c r="G16" i="221"/>
  <c r="O60" i="264" a="1"/>
  <c r="O60" i="264" s="1"/>
  <c r="AA60" i="264" s="1"/>
  <c r="O61" i="264" a="1"/>
  <c r="O61" i="264" s="1"/>
  <c r="AA61" i="264" s="1"/>
  <c r="O62" i="264" a="1"/>
  <c r="O62" i="264" s="1"/>
  <c r="G14" i="221"/>
  <c r="G12" i="221"/>
  <c r="G24" i="221"/>
  <c r="L74" i="264" a="1"/>
  <c r="L74" i="264" s="1"/>
  <c r="X74" i="264" s="1"/>
  <c r="L75" i="264" a="1"/>
  <c r="L75" i="264" s="1"/>
  <c r="X75" i="264" s="1"/>
  <c r="L76" i="264" a="1"/>
  <c r="L76" i="264" s="1"/>
  <c r="X76" i="264" s="1"/>
  <c r="G10" i="221"/>
  <c r="G22" i="221"/>
  <c r="L60" i="264" a="1"/>
  <c r="L60" i="264" s="1"/>
  <c r="X60" i="264" s="1"/>
  <c r="L61" i="264" a="1"/>
  <c r="L61" i="264" s="1"/>
  <c r="X61" i="264" s="1"/>
  <c r="L62" i="264" a="1"/>
  <c r="L62" i="264" s="1"/>
  <c r="X62" i="264" s="1"/>
  <c r="O74" i="264" a="1"/>
  <c r="O74" i="264" s="1"/>
  <c r="AA74" i="264" s="1"/>
  <c r="O75" i="264" a="1"/>
  <c r="O75" i="264" s="1"/>
  <c r="AA75" i="264" s="1"/>
  <c r="O76" i="264" a="1"/>
  <c r="O76" i="264" s="1"/>
  <c r="B179" i="260"/>
  <c r="B139" i="260"/>
  <c r="B199" i="260"/>
  <c r="B159" i="260"/>
  <c r="S76" i="264"/>
  <c r="AE76" i="264" s="1"/>
  <c r="BC76" i="264"/>
  <c r="V36" i="267"/>
  <c r="Q55" i="264"/>
  <c r="AC55" i="264" s="1"/>
  <c r="BA55" i="264"/>
  <c r="V61" i="264"/>
  <c r="AH61" i="264" s="1"/>
  <c r="BC61" i="264"/>
  <c r="S61" i="264"/>
  <c r="AE61" i="264" s="1"/>
  <c r="V68" i="264"/>
  <c r="AH68" i="264" s="1"/>
  <c r="BC68" i="264"/>
  <c r="S68" i="264"/>
  <c r="AE68" i="264" s="1"/>
  <c r="G20" i="221"/>
  <c r="I74" i="264" a="1"/>
  <c r="I74" i="264" s="1"/>
  <c r="I75" i="264" a="1"/>
  <c r="I75" i="264" s="1"/>
  <c r="I76" i="264" a="1"/>
  <c r="I76" i="264" s="1"/>
  <c r="G28" i="221"/>
  <c r="U53" i="264"/>
  <c r="AG53" i="264" s="1"/>
  <c r="BB53" i="264"/>
  <c r="R53" i="264"/>
  <c r="BC67" i="264"/>
  <c r="V67" i="264"/>
  <c r="AH67" i="264" s="1"/>
  <c r="S67" i="264"/>
  <c r="V75" i="264"/>
  <c r="AH75" i="264" s="1"/>
  <c r="BC75" i="264"/>
  <c r="S75" i="264"/>
  <c r="AE75" i="264" s="1"/>
  <c r="Q62" i="264"/>
  <c r="AC62" i="264" s="1"/>
  <c r="S74" i="264"/>
  <c r="V74" i="264"/>
  <c r="AH74" i="264" s="1"/>
  <c r="BC74" i="264"/>
  <c r="BC60" i="264"/>
  <c r="S60" i="264"/>
  <c r="V60" i="264"/>
  <c r="AH60" i="264" s="1"/>
  <c r="T68" i="264"/>
  <c r="Q68" i="264"/>
  <c r="AC68" i="264" s="1"/>
  <c r="BA68" i="264"/>
  <c r="G18" i="221"/>
  <c r="I60" i="264" a="1"/>
  <c r="I60" i="264" s="1"/>
  <c r="I61" i="264" a="1"/>
  <c r="I61" i="264" s="1"/>
  <c r="I62" i="264" a="1"/>
  <c r="I62" i="264" s="1"/>
  <c r="BA67" i="264"/>
  <c r="Q67" i="264"/>
  <c r="T67" i="264"/>
  <c r="AF67" i="264" s="1"/>
  <c r="U68" i="264"/>
  <c r="AG68" i="264" s="1"/>
  <c r="BB68" i="264"/>
  <c r="R68" i="264"/>
  <c r="AD68" i="264" s="1"/>
  <c r="Q54" i="264"/>
  <c r="AC54" i="264" s="1"/>
  <c r="BA54" i="264"/>
  <c r="BA53" i="264"/>
  <c r="Q53" i="264"/>
  <c r="T53" i="264"/>
  <c r="AF53" i="264" s="1"/>
  <c r="BA74" i="264"/>
  <c r="Q74" i="264"/>
  <c r="T74" i="264"/>
  <c r="AF74" i="264" s="1"/>
  <c r="BA62" i="264"/>
  <c r="G26" i="221"/>
  <c r="V54" i="264"/>
  <c r="AH54" i="264" s="1"/>
  <c r="S54" i="264"/>
  <c r="AE54" i="264" s="1"/>
  <c r="BC54" i="264"/>
  <c r="S53" i="264"/>
  <c r="V53" i="264"/>
  <c r="AH53" i="264" s="1"/>
  <c r="BC53" i="264"/>
  <c r="BB67" i="264"/>
  <c r="R67" i="264"/>
  <c r="U67" i="264"/>
  <c r="AG67" i="264" s="1"/>
  <c r="U54" i="264"/>
  <c r="AG54" i="264" s="1"/>
  <c r="R54" i="264"/>
  <c r="AD54" i="264" s="1"/>
  <c r="BB54" i="264"/>
  <c r="Q61" i="264"/>
  <c r="AC61" i="264" s="1"/>
  <c r="BA61" i="264"/>
  <c r="Q60" i="264"/>
  <c r="BA60" i="264"/>
  <c r="T60" i="264"/>
  <c r="AF60" i="264" s="1"/>
  <c r="T75" i="264"/>
  <c r="Q75" i="264"/>
  <c r="AC75" i="264" s="1"/>
  <c r="BA75" i="264"/>
  <c r="AD69" i="264"/>
  <c r="AH76" i="264"/>
  <c r="AF55" i="264"/>
  <c r="AF69" i="264"/>
  <c r="AG55" i="264"/>
  <c r="AH55" i="264"/>
  <c r="AC69" i="264"/>
  <c r="AC76" i="264"/>
  <c r="AE62" i="264"/>
  <c r="V34" i="267"/>
  <c r="V38" i="267" l="1"/>
  <c r="X76" i="269" a="1"/>
  <c r="X76" i="269" s="1"/>
  <c r="AA76" i="269" s="1"/>
  <c r="V76" i="269" a="1"/>
  <c r="V76" i="269" s="1"/>
  <c r="Y76" i="269" s="1"/>
  <c r="W76" i="269" a="1"/>
  <c r="W76" i="269" s="1"/>
  <c r="Z76" i="269" s="1"/>
  <c r="X68" i="269" a="1"/>
  <c r="X68" i="269" s="1"/>
  <c r="AA68" i="269" s="1"/>
  <c r="I68" i="269" s="1"/>
  <c r="V68" i="269" a="1"/>
  <c r="V68" i="269" s="1"/>
  <c r="Y68" i="269" s="1"/>
  <c r="G68" i="269" s="1"/>
  <c r="W68" i="269" a="1"/>
  <c r="W68" i="269" s="1"/>
  <c r="Z68" i="269" s="1"/>
  <c r="H68" i="269" s="1"/>
  <c r="AA76" i="264"/>
  <c r="AA62" i="264"/>
  <c r="AC53" i="264"/>
  <c r="AE67" i="264"/>
  <c r="AE74" i="264"/>
  <c r="AC74" i="264"/>
  <c r="AD53" i="264"/>
  <c r="AC60" i="264"/>
  <c r="AE60" i="264"/>
  <c r="AC67" i="264"/>
  <c r="AD67" i="264"/>
  <c r="AE53" i="264"/>
  <c r="U76" i="264"/>
  <c r="AG76" i="264" s="1"/>
  <c r="R76" i="264"/>
  <c r="AD76" i="264" s="1"/>
  <c r="BB76" i="264"/>
  <c r="R62" i="264"/>
  <c r="AD62" i="264" s="1"/>
  <c r="BB62" i="264"/>
  <c r="U62" i="264"/>
  <c r="AG62" i="264" s="1"/>
  <c r="U75" i="264"/>
  <c r="AG75" i="264" s="1"/>
  <c r="BB75" i="264"/>
  <c r="R75" i="264"/>
  <c r="AD75" i="264" s="1"/>
  <c r="R60" i="264"/>
  <c r="U60" i="264"/>
  <c r="AG60" i="264" s="1"/>
  <c r="BB60" i="264"/>
  <c r="R74" i="264"/>
  <c r="U74" i="264"/>
  <c r="AG74" i="264" s="1"/>
  <c r="BB74" i="264"/>
  <c r="U61" i="264"/>
  <c r="AG61" i="264" s="1"/>
  <c r="BB61" i="264"/>
  <c r="R61" i="264"/>
  <c r="AD61" i="264" s="1"/>
  <c r="V42" i="267"/>
  <c r="V41" i="267"/>
  <c r="V40" i="267"/>
  <c r="V39" i="267"/>
  <c r="Y6" i="260" s="1"/>
  <c r="Y46" i="269"/>
  <c r="G46" i="269" s="1"/>
  <c r="AA7" i="269"/>
  <c r="I7" i="269" s="1"/>
  <c r="Y45" i="269"/>
  <c r="Z45" i="269"/>
  <c r="H45" i="269" s="1"/>
  <c r="AA45" i="269"/>
  <c r="I45" i="269" s="1"/>
  <c r="AA30" i="269"/>
  <c r="I30" i="269" s="1"/>
  <c r="Z31" i="269"/>
  <c r="H31" i="269" s="1"/>
  <c r="Z30" i="269"/>
  <c r="H30" i="269" s="1"/>
  <c r="Y30" i="269"/>
  <c r="G30" i="269" s="1"/>
  <c r="Y8" i="269"/>
  <c r="Y31" i="269"/>
  <c r="G31" i="269" s="1"/>
  <c r="AA31" i="269"/>
  <c r="I31" i="269" s="1"/>
  <c r="AA46" i="269"/>
  <c r="I46" i="269" s="1"/>
  <c r="Z46" i="269"/>
  <c r="H46" i="269" s="1"/>
  <c r="AA34" i="269"/>
  <c r="I34" i="269" s="1"/>
  <c r="Z34" i="269"/>
  <c r="H34" i="269" s="1"/>
  <c r="Z61" i="269"/>
  <c r="H61" i="269" s="1"/>
  <c r="AA61" i="269"/>
  <c r="I61" i="269" s="1"/>
  <c r="Y61" i="269"/>
  <c r="AA35" i="269"/>
  <c r="I35" i="269" s="1"/>
  <c r="Z35" i="269"/>
  <c r="H35" i="269" s="1"/>
  <c r="Y35" i="269"/>
  <c r="G35" i="269" s="1"/>
  <c r="AA16" i="269"/>
  <c r="I16" i="269" s="1"/>
  <c r="Y16" i="269"/>
  <c r="Z62" i="269"/>
  <c r="H62" i="269" s="1"/>
  <c r="AA62" i="269"/>
  <c r="I62" i="269" s="1"/>
  <c r="Y62" i="269"/>
  <c r="G62" i="269" s="1"/>
  <c r="G61" i="269" l="1"/>
  <c r="F67" i="221"/>
  <c r="F65" i="221"/>
  <c r="F29" i="221" s="1"/>
  <c r="G8" i="269"/>
  <c r="F71" i="221"/>
  <c r="F35" i="221" s="1"/>
  <c r="G16" i="269"/>
  <c r="F73" i="221"/>
  <c r="F37" i="221" s="1"/>
  <c r="Z167" i="260"/>
  <c r="AC167" i="260" s="1"/>
  <c r="Z169" i="260"/>
  <c r="AC169" i="260" s="1"/>
  <c r="Z171" i="260"/>
  <c r="AC171" i="260" s="1"/>
  <c r="Z173" i="260"/>
  <c r="AC173" i="260" s="1"/>
  <c r="Z175" i="260"/>
  <c r="AC175" i="260" s="1"/>
  <c r="AA167" i="260"/>
  <c r="AD167" i="260" s="1"/>
  <c r="AA173" i="260"/>
  <c r="AD173" i="260" s="1"/>
  <c r="Z168" i="260"/>
  <c r="AC168" i="260" s="1"/>
  <c r="Z170" i="260"/>
  <c r="AC170" i="260" s="1"/>
  <c r="Z172" i="260"/>
  <c r="Z174" i="260"/>
  <c r="AC174" i="260" s="1"/>
  <c r="AA166" i="260"/>
  <c r="AD166" i="260" s="1"/>
  <c r="AA171" i="260"/>
  <c r="AD171" i="260" s="1"/>
  <c r="AA168" i="260"/>
  <c r="AA170" i="260"/>
  <c r="AD170" i="260" s="1"/>
  <c r="AA172" i="260"/>
  <c r="AD172" i="260" s="1"/>
  <c r="AA174" i="260"/>
  <c r="AD174" i="260" s="1"/>
  <c r="Z166" i="260"/>
  <c r="AC166" i="260" s="1"/>
  <c r="AA169" i="260"/>
  <c r="AD169" i="260" s="1"/>
  <c r="AA175" i="260"/>
  <c r="AD175" i="260" s="1"/>
  <c r="Y167" i="260"/>
  <c r="AB167" i="260" s="1"/>
  <c r="Y168" i="260"/>
  <c r="AB168" i="260" s="1"/>
  <c r="Y169" i="260"/>
  <c r="AB169" i="260" s="1"/>
  <c r="Y171" i="260"/>
  <c r="AB171" i="260" s="1"/>
  <c r="Y173" i="260"/>
  <c r="AB173" i="260" s="1"/>
  <c r="Y170" i="260"/>
  <c r="Y175" i="260"/>
  <c r="AB175" i="260" s="1"/>
  <c r="Y172" i="260"/>
  <c r="AB172" i="260" s="1"/>
  <c r="Y174" i="260"/>
  <c r="AB174" i="260" s="1"/>
  <c r="Y166" i="260"/>
  <c r="AB166" i="260" s="1"/>
  <c r="Y56" i="260"/>
  <c r="AB56" i="260" s="1"/>
  <c r="Z177" i="260"/>
  <c r="AC177" i="260" s="1"/>
  <c r="Z179" i="260"/>
  <c r="AC179" i="260" s="1"/>
  <c r="Z181" i="260"/>
  <c r="AC181" i="260" s="1"/>
  <c r="Z183" i="260"/>
  <c r="AC183" i="260" s="1"/>
  <c r="Z185" i="260"/>
  <c r="AC185" i="260" s="1"/>
  <c r="AA181" i="260"/>
  <c r="AD181" i="260" s="1"/>
  <c r="Z176" i="260"/>
  <c r="Z178" i="260"/>
  <c r="AC178" i="260" s="1"/>
  <c r="Z180" i="260"/>
  <c r="AC180" i="260" s="1"/>
  <c r="Z182" i="260"/>
  <c r="AC182" i="260" s="1"/>
  <c r="Z184" i="260"/>
  <c r="AC184" i="260" s="1"/>
  <c r="AA177" i="260"/>
  <c r="AD177" i="260" s="1"/>
  <c r="AA183" i="260"/>
  <c r="AD183" i="260" s="1"/>
  <c r="AA176" i="260"/>
  <c r="AD176" i="260" s="1"/>
  <c r="AA178" i="260"/>
  <c r="AA180" i="260"/>
  <c r="AD180" i="260" s="1"/>
  <c r="AA182" i="260"/>
  <c r="AD182" i="260" s="1"/>
  <c r="AA184" i="260"/>
  <c r="AD184" i="260" s="1"/>
  <c r="AA179" i="260"/>
  <c r="AA185" i="260"/>
  <c r="AD185" i="260" s="1"/>
  <c r="Y183" i="260"/>
  <c r="AB183" i="260" s="1"/>
  <c r="Y185" i="260"/>
  <c r="AB185" i="260" s="1"/>
  <c r="Y182" i="260"/>
  <c r="Y180" i="260"/>
  <c r="Y176" i="260"/>
  <c r="AB176" i="260" s="1"/>
  <c r="Y179" i="260"/>
  <c r="AB179" i="260" s="1"/>
  <c r="Y181" i="260"/>
  <c r="Y184" i="260"/>
  <c r="AB184" i="260" s="1"/>
  <c r="Y177" i="260"/>
  <c r="AB177" i="260" s="1"/>
  <c r="Y178" i="260"/>
  <c r="AB178" i="260" s="1"/>
  <c r="Z112" i="260"/>
  <c r="AC112" i="260" s="1"/>
  <c r="J112" i="260" s="1"/>
  <c r="Z187" i="260"/>
  <c r="AC187" i="260" s="1"/>
  <c r="Z189" i="260"/>
  <c r="AC189" i="260" s="1"/>
  <c r="Z191" i="260"/>
  <c r="AC191" i="260" s="1"/>
  <c r="Z193" i="260"/>
  <c r="Z195" i="260"/>
  <c r="AC195" i="260" s="1"/>
  <c r="AA187" i="260"/>
  <c r="AD187" i="260" s="1"/>
  <c r="AA193" i="260"/>
  <c r="AD193" i="260" s="1"/>
  <c r="Z186" i="260"/>
  <c r="Z188" i="260"/>
  <c r="AC188" i="260" s="1"/>
  <c r="Z190" i="260"/>
  <c r="AC190" i="260" s="1"/>
  <c r="Z192" i="260"/>
  <c r="Z194" i="260"/>
  <c r="AA189" i="260"/>
  <c r="AD189" i="260" s="1"/>
  <c r="AA195" i="260"/>
  <c r="AD195" i="260" s="1"/>
  <c r="AA186" i="260"/>
  <c r="AD186" i="260" s="1"/>
  <c r="AA188" i="260"/>
  <c r="AD188" i="260" s="1"/>
  <c r="AA190" i="260"/>
  <c r="AD190" i="260" s="1"/>
  <c r="AA192" i="260"/>
  <c r="AA194" i="260"/>
  <c r="AD194" i="260" s="1"/>
  <c r="AA191" i="260"/>
  <c r="Y192" i="260"/>
  <c r="Y194" i="260"/>
  <c r="AB194" i="260" s="1"/>
  <c r="Y187" i="260"/>
  <c r="AB187" i="260" s="1"/>
  <c r="Y189" i="260"/>
  <c r="AB189" i="260" s="1"/>
  <c r="Y186" i="260"/>
  <c r="AB186" i="260" s="1"/>
  <c r="Y188" i="260"/>
  <c r="AB188" i="260" s="1"/>
  <c r="Y191" i="260"/>
  <c r="AB191" i="260" s="1"/>
  <c r="Y193" i="260"/>
  <c r="AB193" i="260" s="1"/>
  <c r="Y190" i="260"/>
  <c r="Y195" i="260"/>
  <c r="AB195" i="260" s="1"/>
  <c r="Z197" i="260"/>
  <c r="AC197" i="260" s="1"/>
  <c r="Z199" i="260"/>
  <c r="Z201" i="260"/>
  <c r="AC201" i="260" s="1"/>
  <c r="Z203" i="260"/>
  <c r="AC203" i="260" s="1"/>
  <c r="Z205" i="260"/>
  <c r="AC205" i="260" s="1"/>
  <c r="AA199" i="260"/>
  <c r="AA203" i="260"/>
  <c r="AD203" i="260" s="1"/>
  <c r="Z196" i="260"/>
  <c r="AC196" i="260" s="1"/>
  <c r="Z198" i="260"/>
  <c r="AC198" i="260" s="1"/>
  <c r="Z200" i="260"/>
  <c r="AC200" i="260" s="1"/>
  <c r="Z202" i="260"/>
  <c r="Z204" i="260"/>
  <c r="AC204" i="260" s="1"/>
  <c r="AA196" i="260"/>
  <c r="AD196" i="260" s="1"/>
  <c r="AA198" i="260"/>
  <c r="AD198" i="260" s="1"/>
  <c r="AA200" i="260"/>
  <c r="AD200" i="260" s="1"/>
  <c r="AA202" i="260"/>
  <c r="AA204" i="260"/>
  <c r="AD204" i="260" s="1"/>
  <c r="AA197" i="260"/>
  <c r="AA201" i="260"/>
  <c r="AD201" i="260" s="1"/>
  <c r="AA205" i="260"/>
  <c r="AD205" i="260" s="1"/>
  <c r="Y199" i="260"/>
  <c r="AB199" i="260" s="1"/>
  <c r="Y201" i="260"/>
  <c r="Y198" i="260"/>
  <c r="Y203" i="260"/>
  <c r="AB203" i="260" s="1"/>
  <c r="Y205" i="260"/>
  <c r="AB205" i="260" s="1"/>
  <c r="Y202" i="260"/>
  <c r="Y196" i="260"/>
  <c r="AB196" i="260" s="1"/>
  <c r="Y200" i="260"/>
  <c r="AB200" i="260" s="1"/>
  <c r="Y204" i="260"/>
  <c r="AB204" i="260" s="1"/>
  <c r="Y197" i="260"/>
  <c r="AB197" i="260" s="1"/>
  <c r="Y10" i="260"/>
  <c r="Y132" i="260"/>
  <c r="AB132" i="260" s="1"/>
  <c r="I132" i="260" s="1"/>
  <c r="Y7" i="260"/>
  <c r="AA41" i="260"/>
  <c r="AD41" i="260" s="1"/>
  <c r="K41" i="260" s="1"/>
  <c r="AA121" i="260"/>
  <c r="AD121" i="260" s="1"/>
  <c r="K121" i="260" s="1"/>
  <c r="AA40" i="260"/>
  <c r="AD40" i="260" s="1"/>
  <c r="K40" i="260" s="1"/>
  <c r="AA120" i="260"/>
  <c r="AD120" i="260" s="1"/>
  <c r="K120" i="260" s="1"/>
  <c r="AA85" i="260"/>
  <c r="AD85" i="260" s="1"/>
  <c r="K85" i="260" s="1"/>
  <c r="AA161" i="260"/>
  <c r="AD161" i="260" s="1"/>
  <c r="K161" i="260" s="1"/>
  <c r="AA156" i="260"/>
  <c r="AD156" i="260" s="1"/>
  <c r="AA44" i="260"/>
  <c r="AD44" i="260" s="1"/>
  <c r="AA116" i="260"/>
  <c r="AD116" i="260" s="1"/>
  <c r="K116" i="260" s="1"/>
  <c r="AA76" i="260"/>
  <c r="AD76" i="260" s="1"/>
  <c r="AA84" i="260"/>
  <c r="AD84" i="260" s="1"/>
  <c r="AA38" i="260"/>
  <c r="AD38" i="260" s="1"/>
  <c r="K38" i="260" s="1"/>
  <c r="AA39" i="260"/>
  <c r="AD39" i="260" s="1"/>
  <c r="K39" i="260" s="1"/>
  <c r="AA119" i="260"/>
  <c r="AD119" i="260" s="1"/>
  <c r="K119" i="260" s="1"/>
  <c r="AA158" i="260"/>
  <c r="AD158" i="260" s="1"/>
  <c r="K158" i="260" s="1"/>
  <c r="AA78" i="260"/>
  <c r="AD78" i="260" s="1"/>
  <c r="K78" i="260" s="1"/>
  <c r="AA123" i="260"/>
  <c r="AD123" i="260" s="1"/>
  <c r="K123" i="260" s="1"/>
  <c r="AA118" i="260"/>
  <c r="AD118" i="260" s="1"/>
  <c r="K118" i="260" s="1"/>
  <c r="AA157" i="260"/>
  <c r="AD157" i="260" s="1"/>
  <c r="K157" i="260" s="1"/>
  <c r="AA117" i="260"/>
  <c r="AD117" i="260" s="1"/>
  <c r="K117" i="260" s="1"/>
  <c r="AA77" i="260"/>
  <c r="AD77" i="260" s="1"/>
  <c r="K77" i="260" s="1"/>
  <c r="AA159" i="260"/>
  <c r="AD159" i="260" s="1"/>
  <c r="K159" i="260" s="1"/>
  <c r="AA81" i="260"/>
  <c r="AD81" i="260" s="1"/>
  <c r="K81" i="260" s="1"/>
  <c r="AA80" i="260"/>
  <c r="AD80" i="260" s="1"/>
  <c r="K80" i="260" s="1"/>
  <c r="AA160" i="260"/>
  <c r="AD160" i="260" s="1"/>
  <c r="K160" i="260" s="1"/>
  <c r="AA45" i="260"/>
  <c r="AD45" i="260" s="1"/>
  <c r="K45" i="260" s="1"/>
  <c r="AA125" i="260"/>
  <c r="AD125" i="260" s="1"/>
  <c r="K125" i="260" s="1"/>
  <c r="AA83" i="260"/>
  <c r="AD83" i="260" s="1"/>
  <c r="K83" i="260" s="1"/>
  <c r="AA165" i="260"/>
  <c r="AD165" i="260" s="1"/>
  <c r="K165" i="260" s="1"/>
  <c r="AA43" i="260"/>
  <c r="AD43" i="260" s="1"/>
  <c r="K43" i="260" s="1"/>
  <c r="AA37" i="260"/>
  <c r="AD37" i="260" s="1"/>
  <c r="K37" i="260" s="1"/>
  <c r="AA36" i="260"/>
  <c r="AD36" i="260" s="1"/>
  <c r="K36" i="260" s="1"/>
  <c r="AA79" i="260"/>
  <c r="AD79" i="260" s="1"/>
  <c r="K79" i="260" s="1"/>
  <c r="AA164" i="260"/>
  <c r="AD164" i="260" s="1"/>
  <c r="AA163" i="260"/>
  <c r="AD163" i="260" s="1"/>
  <c r="K163" i="260" s="1"/>
  <c r="AA124" i="260"/>
  <c r="AD124" i="260" s="1"/>
  <c r="Y39" i="260"/>
  <c r="AB39" i="260" s="1"/>
  <c r="I39" i="260" s="1"/>
  <c r="Y119" i="260"/>
  <c r="AB119" i="260" s="1"/>
  <c r="Y38" i="260"/>
  <c r="AB38" i="260" s="1"/>
  <c r="I38" i="260" s="1"/>
  <c r="Y118" i="260"/>
  <c r="AB118" i="260" s="1"/>
  <c r="I118" i="260" s="1"/>
  <c r="Y165" i="260"/>
  <c r="AB165" i="260" s="1"/>
  <c r="I165" i="260" s="1"/>
  <c r="Y36" i="260"/>
  <c r="AB36" i="260" s="1"/>
  <c r="I36" i="260" s="1"/>
  <c r="Y120" i="260"/>
  <c r="AB120" i="260" s="1"/>
  <c r="I120" i="260" s="1"/>
  <c r="Y160" i="260"/>
  <c r="AB160" i="260" s="1"/>
  <c r="I160" i="260" s="1"/>
  <c r="Y164" i="260"/>
  <c r="AB164" i="260" s="1"/>
  <c r="Z117" i="260"/>
  <c r="AC117" i="260" s="1"/>
  <c r="J117" i="260" s="1"/>
  <c r="Y117" i="260"/>
  <c r="AB117" i="260" s="1"/>
  <c r="I117" i="260" s="1"/>
  <c r="Z85" i="260"/>
  <c r="AC85" i="260" s="1"/>
  <c r="J85" i="260" s="1"/>
  <c r="Z38" i="260"/>
  <c r="AC38" i="260" s="1"/>
  <c r="J38" i="260" s="1"/>
  <c r="Z118" i="260"/>
  <c r="AC118" i="260" s="1"/>
  <c r="J118" i="260" s="1"/>
  <c r="Z81" i="260"/>
  <c r="AC81" i="260" s="1"/>
  <c r="J81" i="260" s="1"/>
  <c r="Z124" i="260"/>
  <c r="AC124" i="260" s="1"/>
  <c r="Y45" i="260"/>
  <c r="AB45" i="260" s="1"/>
  <c r="I45" i="260" s="1"/>
  <c r="Y125" i="260"/>
  <c r="AB125" i="260" s="1"/>
  <c r="Y43" i="260"/>
  <c r="AB43" i="260" s="1"/>
  <c r="I43" i="260" s="1"/>
  <c r="Y123" i="260"/>
  <c r="AB123" i="260" s="1"/>
  <c r="I123" i="260" s="1"/>
  <c r="Y41" i="260"/>
  <c r="AB41" i="260" s="1"/>
  <c r="Y121" i="260"/>
  <c r="AB121" i="260" s="1"/>
  <c r="I121" i="260" s="1"/>
  <c r="Y80" i="260"/>
  <c r="AB80" i="260" s="1"/>
  <c r="I80" i="260" s="1"/>
  <c r="Y37" i="260"/>
  <c r="AB37" i="260" s="1"/>
  <c r="I37" i="260" s="1"/>
  <c r="Y156" i="260"/>
  <c r="AB156" i="260" s="1"/>
  <c r="Y77" i="260"/>
  <c r="AB77" i="260" s="1"/>
  <c r="I77" i="260" s="1"/>
  <c r="Z116" i="260"/>
  <c r="AC116" i="260" s="1"/>
  <c r="J116" i="260" s="1"/>
  <c r="Y84" i="260"/>
  <c r="AB84" i="260" s="1"/>
  <c r="Z40" i="260"/>
  <c r="AC40" i="260" s="1"/>
  <c r="J40" i="260" s="1"/>
  <c r="Z120" i="260"/>
  <c r="AC120" i="260" s="1"/>
  <c r="J120" i="260" s="1"/>
  <c r="Z39" i="260"/>
  <c r="AC39" i="260" s="1"/>
  <c r="J39" i="260" s="1"/>
  <c r="Z119" i="260"/>
  <c r="AC119" i="260" s="1"/>
  <c r="J119" i="260" s="1"/>
  <c r="Z165" i="260"/>
  <c r="AC165" i="260" s="1"/>
  <c r="J165" i="260" s="1"/>
  <c r="Z43" i="260"/>
  <c r="AC43" i="260" s="1"/>
  <c r="J43" i="260" s="1"/>
  <c r="Z123" i="260"/>
  <c r="AC123" i="260" s="1"/>
  <c r="J123" i="260" s="1"/>
  <c r="Z160" i="260"/>
  <c r="AC160" i="260" s="1"/>
  <c r="J160" i="260" s="1"/>
  <c r="Z156" i="260"/>
  <c r="AC156" i="260" s="1"/>
  <c r="Z164" i="260"/>
  <c r="AC164" i="260" s="1"/>
  <c r="Z37" i="260"/>
  <c r="AC37" i="260" s="1"/>
  <c r="J37" i="260" s="1"/>
  <c r="Y79" i="260"/>
  <c r="AB79" i="260" s="1"/>
  <c r="I79" i="260" s="1"/>
  <c r="Y78" i="260"/>
  <c r="AB78" i="260" s="1"/>
  <c r="Y158" i="260"/>
  <c r="AB158" i="260" s="1"/>
  <c r="I158" i="260" s="1"/>
  <c r="Y44" i="260"/>
  <c r="AB44" i="260" s="1"/>
  <c r="Z77" i="260"/>
  <c r="AC77" i="260" s="1"/>
  <c r="J77" i="260" s="1"/>
  <c r="Y116" i="260"/>
  <c r="AB116" i="260" s="1"/>
  <c r="I116" i="260" s="1"/>
  <c r="Z76" i="260"/>
  <c r="AC76" i="260" s="1"/>
  <c r="Y124" i="260"/>
  <c r="AB124" i="260" s="1"/>
  <c r="Z45" i="260"/>
  <c r="AC45" i="260" s="1"/>
  <c r="J45" i="260" s="1"/>
  <c r="Z125" i="260"/>
  <c r="AC125" i="260" s="1"/>
  <c r="J125" i="260" s="1"/>
  <c r="Z78" i="260"/>
  <c r="AC78" i="260" s="1"/>
  <c r="J78" i="260" s="1"/>
  <c r="Z158" i="260"/>
  <c r="AC158" i="260" s="1"/>
  <c r="J158" i="260" s="1"/>
  <c r="Z36" i="260"/>
  <c r="AC36" i="260" s="1"/>
  <c r="J36" i="260" s="1"/>
  <c r="Z121" i="260"/>
  <c r="AC121" i="260" s="1"/>
  <c r="J121" i="260" s="1"/>
  <c r="Z44" i="260"/>
  <c r="AC44" i="260" s="1"/>
  <c r="Z157" i="260"/>
  <c r="AC157" i="260" s="1"/>
  <c r="J157" i="260" s="1"/>
  <c r="Z84" i="260"/>
  <c r="AC84" i="260" s="1"/>
  <c r="Y85" i="260"/>
  <c r="AB85" i="260" s="1"/>
  <c r="Y83" i="260"/>
  <c r="AB83" i="260" s="1"/>
  <c r="Y163" i="260"/>
  <c r="AB163" i="260" s="1"/>
  <c r="I163" i="260" s="1"/>
  <c r="Y40" i="260"/>
  <c r="AB40" i="260" s="1"/>
  <c r="I40" i="260" s="1"/>
  <c r="Y81" i="260"/>
  <c r="AB81" i="260" s="1"/>
  <c r="Y161" i="260"/>
  <c r="AB161" i="260" s="1"/>
  <c r="I161" i="260" s="1"/>
  <c r="Y159" i="260"/>
  <c r="AB159" i="260" s="1"/>
  <c r="I159" i="260" s="1"/>
  <c r="Y157" i="260"/>
  <c r="AB157" i="260" s="1"/>
  <c r="I157" i="260" s="1"/>
  <c r="Y76" i="260"/>
  <c r="AB76" i="260" s="1"/>
  <c r="Z80" i="260"/>
  <c r="AC80" i="260" s="1"/>
  <c r="J80" i="260" s="1"/>
  <c r="Z79" i="260"/>
  <c r="AC79" i="260" s="1"/>
  <c r="J79" i="260" s="1"/>
  <c r="Z159" i="260"/>
  <c r="AC159" i="260" s="1"/>
  <c r="J159" i="260" s="1"/>
  <c r="Z83" i="260"/>
  <c r="AC83" i="260" s="1"/>
  <c r="J83" i="260" s="1"/>
  <c r="Z163" i="260"/>
  <c r="AC163" i="260" s="1"/>
  <c r="J163" i="260" s="1"/>
  <c r="Z161" i="260"/>
  <c r="AC161" i="260" s="1"/>
  <c r="J161" i="260" s="1"/>
  <c r="Z41" i="260"/>
  <c r="AC41" i="260" s="1"/>
  <c r="J41" i="260" s="1"/>
  <c r="Z42" i="260"/>
  <c r="AC42" i="260" s="1"/>
  <c r="J42" i="260" s="1"/>
  <c r="AA42" i="260"/>
  <c r="AD42" i="260" s="1"/>
  <c r="K42" i="260" s="1"/>
  <c r="Y42" i="260"/>
  <c r="AB42" i="260" s="1"/>
  <c r="I42" i="260" s="1"/>
  <c r="AA82" i="260"/>
  <c r="AD82" i="260" s="1"/>
  <c r="K82" i="260" s="1"/>
  <c r="Z82" i="260"/>
  <c r="AC82" i="260" s="1"/>
  <c r="J82" i="260" s="1"/>
  <c r="Y82" i="260"/>
  <c r="AB82" i="260" s="1"/>
  <c r="I82" i="260" s="1"/>
  <c r="AA69" i="260"/>
  <c r="AD69" i="260" s="1"/>
  <c r="K69" i="260" s="1"/>
  <c r="AA149" i="260"/>
  <c r="AD149" i="260" s="1"/>
  <c r="K149" i="260" s="1"/>
  <c r="AA68" i="260"/>
  <c r="AD68" i="260" s="1"/>
  <c r="K68" i="260" s="1"/>
  <c r="AA148" i="260"/>
  <c r="AD148" i="260" s="1"/>
  <c r="K148" i="260" s="1"/>
  <c r="AA31" i="260"/>
  <c r="AD31" i="260" s="1"/>
  <c r="K31" i="260" s="1"/>
  <c r="AA33" i="260"/>
  <c r="AD33" i="260" s="1"/>
  <c r="K33" i="260" s="1"/>
  <c r="AA111" i="260"/>
  <c r="AD111" i="260" s="1"/>
  <c r="K111" i="260" s="1"/>
  <c r="AA147" i="260"/>
  <c r="AD147" i="260" s="1"/>
  <c r="K147" i="260" s="1"/>
  <c r="AA27" i="260"/>
  <c r="AD27" i="260" s="1"/>
  <c r="K27" i="260" s="1"/>
  <c r="AA35" i="260"/>
  <c r="AD35" i="260" s="1"/>
  <c r="K35" i="260" s="1"/>
  <c r="AA67" i="260"/>
  <c r="AD67" i="260" s="1"/>
  <c r="K67" i="260" s="1"/>
  <c r="AA113" i="260"/>
  <c r="AD113" i="260" s="1"/>
  <c r="K113" i="260" s="1"/>
  <c r="AA110" i="260"/>
  <c r="AD110" i="260" s="1"/>
  <c r="K110" i="260" s="1"/>
  <c r="AA155" i="260"/>
  <c r="AD155" i="260" s="1"/>
  <c r="K155" i="260" s="1"/>
  <c r="Z66" i="260"/>
  <c r="AC66" i="260" s="1"/>
  <c r="AA75" i="260"/>
  <c r="AD75" i="260" s="1"/>
  <c r="K75" i="260" s="1"/>
  <c r="AA73" i="260"/>
  <c r="AD73" i="260" s="1"/>
  <c r="K73" i="260" s="1"/>
  <c r="AA153" i="260"/>
  <c r="AD153" i="260" s="1"/>
  <c r="K153" i="260" s="1"/>
  <c r="AA146" i="260"/>
  <c r="AD146" i="260" s="1"/>
  <c r="AA154" i="260"/>
  <c r="AD154" i="260" s="1"/>
  <c r="AA26" i="260"/>
  <c r="AD26" i="260" s="1"/>
  <c r="K26" i="260" s="1"/>
  <c r="AA115" i="260"/>
  <c r="AD115" i="260" s="1"/>
  <c r="K115" i="260" s="1"/>
  <c r="AA70" i="260"/>
  <c r="AD70" i="260" s="1"/>
  <c r="K70" i="260" s="1"/>
  <c r="AA34" i="260"/>
  <c r="AD34" i="260" s="1"/>
  <c r="AA106" i="260"/>
  <c r="AD106" i="260" s="1"/>
  <c r="K106" i="260" s="1"/>
  <c r="AA30" i="260"/>
  <c r="AD30" i="260" s="1"/>
  <c r="K30" i="260" s="1"/>
  <c r="AA109" i="260"/>
  <c r="AD109" i="260" s="1"/>
  <c r="K109" i="260" s="1"/>
  <c r="AA108" i="260"/>
  <c r="AD108" i="260" s="1"/>
  <c r="K108" i="260" s="1"/>
  <c r="AA71" i="260"/>
  <c r="AD71" i="260" s="1"/>
  <c r="K71" i="260" s="1"/>
  <c r="AA151" i="260"/>
  <c r="AD151" i="260" s="1"/>
  <c r="K151" i="260" s="1"/>
  <c r="AA150" i="260"/>
  <c r="AD150" i="260" s="1"/>
  <c r="K150" i="260" s="1"/>
  <c r="AA29" i="260"/>
  <c r="AD29" i="260" s="1"/>
  <c r="K29" i="260" s="1"/>
  <c r="AA74" i="260"/>
  <c r="AD74" i="260" s="1"/>
  <c r="AA107" i="260"/>
  <c r="AD107" i="260" s="1"/>
  <c r="K107" i="260" s="1"/>
  <c r="AA114" i="260"/>
  <c r="AD114" i="260" s="1"/>
  <c r="AA28" i="260"/>
  <c r="AD28" i="260" s="1"/>
  <c r="K28" i="260" s="1"/>
  <c r="AA66" i="260"/>
  <c r="AD66" i="260" s="1"/>
  <c r="Y115" i="260"/>
  <c r="AB115" i="260" s="1"/>
  <c r="I115" i="260" s="1"/>
  <c r="Y147" i="260"/>
  <c r="AB147" i="260" s="1"/>
  <c r="I147" i="260" s="1"/>
  <c r="Y146" i="260"/>
  <c r="AB146" i="260" s="1"/>
  <c r="Y27" i="260"/>
  <c r="AB27" i="260" s="1"/>
  <c r="I27" i="260" s="1"/>
  <c r="Y74" i="260"/>
  <c r="AB74" i="260" s="1"/>
  <c r="I74" i="260" s="1"/>
  <c r="Z114" i="260"/>
  <c r="AC114" i="260" s="1"/>
  <c r="Y67" i="260"/>
  <c r="AB67" i="260" s="1"/>
  <c r="I67" i="260" s="1"/>
  <c r="Z113" i="260"/>
  <c r="AC113" i="260" s="1"/>
  <c r="J113" i="260" s="1"/>
  <c r="Z33" i="260"/>
  <c r="AC33" i="260" s="1"/>
  <c r="J33" i="260" s="1"/>
  <c r="Z111" i="260"/>
  <c r="AC111" i="260" s="1"/>
  <c r="J111" i="260" s="1"/>
  <c r="Z30" i="260"/>
  <c r="AC30" i="260" s="1"/>
  <c r="J30" i="260" s="1"/>
  <c r="Z75" i="260"/>
  <c r="AC75" i="260" s="1"/>
  <c r="J75" i="260" s="1"/>
  <c r="Z69" i="260"/>
  <c r="AC69" i="260" s="1"/>
  <c r="J69" i="260" s="1"/>
  <c r="Z153" i="260"/>
  <c r="AC153" i="260" s="1"/>
  <c r="J153" i="260" s="1"/>
  <c r="Z115" i="260"/>
  <c r="AC115" i="260" s="1"/>
  <c r="J115" i="260" s="1"/>
  <c r="Z154" i="260"/>
  <c r="AC154" i="260" s="1"/>
  <c r="Z27" i="260"/>
  <c r="AC27" i="260" s="1"/>
  <c r="J27" i="260" s="1"/>
  <c r="Y32" i="260"/>
  <c r="AB32" i="260" s="1"/>
  <c r="I32" i="260" s="1"/>
  <c r="Z67" i="260"/>
  <c r="AC67" i="260" s="1"/>
  <c r="J67" i="260" s="1"/>
  <c r="AA32" i="260"/>
  <c r="AD32" i="260" s="1"/>
  <c r="K32" i="260" s="1"/>
  <c r="Y71" i="260"/>
  <c r="AB71" i="260" s="1"/>
  <c r="I71" i="260" s="1"/>
  <c r="Y70" i="260"/>
  <c r="AB70" i="260" s="1"/>
  <c r="Y150" i="260"/>
  <c r="AB150" i="260" s="1"/>
  <c r="I150" i="260" s="1"/>
  <c r="Y69" i="260"/>
  <c r="AB69" i="260" s="1"/>
  <c r="I69" i="260" s="1"/>
  <c r="Y149" i="260"/>
  <c r="AB149" i="260" s="1"/>
  <c r="I149" i="260" s="1"/>
  <c r="Y148" i="260"/>
  <c r="AB148" i="260" s="1"/>
  <c r="I148" i="260" s="1"/>
  <c r="Y113" i="260"/>
  <c r="AB113" i="260" s="1"/>
  <c r="I113" i="260" s="1"/>
  <c r="Y73" i="260"/>
  <c r="AB73" i="260" s="1"/>
  <c r="I73" i="260" s="1"/>
  <c r="Y26" i="260"/>
  <c r="AB26" i="260" s="1"/>
  <c r="I26" i="260" s="1"/>
  <c r="Y29" i="260"/>
  <c r="AB29" i="260" s="1"/>
  <c r="I29" i="260" s="1"/>
  <c r="Z106" i="260"/>
  <c r="AC106" i="260" s="1"/>
  <c r="J106" i="260" s="1"/>
  <c r="Z74" i="260"/>
  <c r="AC74" i="260" s="1"/>
  <c r="Z68" i="260"/>
  <c r="AC68" i="260" s="1"/>
  <c r="J68" i="260" s="1"/>
  <c r="Z148" i="260"/>
  <c r="AC148" i="260" s="1"/>
  <c r="J148" i="260" s="1"/>
  <c r="Z70" i="260"/>
  <c r="AC70" i="260" s="1"/>
  <c r="J70" i="260" s="1"/>
  <c r="Z150" i="260"/>
  <c r="AC150" i="260" s="1"/>
  <c r="J150" i="260" s="1"/>
  <c r="Z109" i="260"/>
  <c r="AC109" i="260" s="1"/>
  <c r="J109" i="260" s="1"/>
  <c r="Z35" i="260"/>
  <c r="AC35" i="260" s="1"/>
  <c r="J35" i="260" s="1"/>
  <c r="Y66" i="260"/>
  <c r="AB66" i="260" s="1"/>
  <c r="Z107" i="260"/>
  <c r="AC107" i="260" s="1"/>
  <c r="J107" i="260" s="1"/>
  <c r="Z32" i="260"/>
  <c r="AC32" i="260" s="1"/>
  <c r="J32" i="260" s="1"/>
  <c r="Z28" i="260"/>
  <c r="AC28" i="260" s="1"/>
  <c r="J28" i="260" s="1"/>
  <c r="Y75" i="260"/>
  <c r="AB75" i="260" s="1"/>
  <c r="Y155" i="260"/>
  <c r="AB155" i="260" s="1"/>
  <c r="I155" i="260" s="1"/>
  <c r="Y68" i="260"/>
  <c r="AB68" i="260" s="1"/>
  <c r="I68" i="260" s="1"/>
  <c r="Y153" i="260"/>
  <c r="AB153" i="260" s="1"/>
  <c r="I153" i="260" s="1"/>
  <c r="Y108" i="260"/>
  <c r="AB108" i="260" s="1"/>
  <c r="I108" i="260" s="1"/>
  <c r="Y154" i="260"/>
  <c r="AB154" i="260" s="1"/>
  <c r="I154" i="260" s="1"/>
  <c r="Y34" i="260"/>
  <c r="AB34" i="260" s="1"/>
  <c r="I34" i="260" s="1"/>
  <c r="Y35" i="260"/>
  <c r="AB35" i="260" s="1"/>
  <c r="I35" i="260" s="1"/>
  <c r="Z73" i="260"/>
  <c r="AC73" i="260" s="1"/>
  <c r="J73" i="260" s="1"/>
  <c r="Z71" i="260"/>
  <c r="AC71" i="260" s="1"/>
  <c r="J71" i="260" s="1"/>
  <c r="Z151" i="260"/>
  <c r="AC151" i="260" s="1"/>
  <c r="J151" i="260" s="1"/>
  <c r="Z155" i="260"/>
  <c r="AC155" i="260" s="1"/>
  <c r="J155" i="260" s="1"/>
  <c r="Z146" i="260"/>
  <c r="AC146" i="260" s="1"/>
  <c r="Z29" i="260"/>
  <c r="AC29" i="260" s="1"/>
  <c r="J29" i="260" s="1"/>
  <c r="Z26" i="260"/>
  <c r="AC26" i="260" s="1"/>
  <c r="Y106" i="260"/>
  <c r="AB106" i="260" s="1"/>
  <c r="I106" i="260" s="1"/>
  <c r="Y33" i="260"/>
  <c r="AB33" i="260" s="1"/>
  <c r="Y111" i="260"/>
  <c r="AB111" i="260" s="1"/>
  <c r="I111" i="260" s="1"/>
  <c r="Y31" i="260"/>
  <c r="AB31" i="260" s="1"/>
  <c r="Y110" i="260"/>
  <c r="AB110" i="260" s="1"/>
  <c r="I110" i="260" s="1"/>
  <c r="Y30" i="260"/>
  <c r="AB30" i="260" s="1"/>
  <c r="Y109" i="260"/>
  <c r="AB109" i="260" s="1"/>
  <c r="I109" i="260" s="1"/>
  <c r="Y151" i="260"/>
  <c r="AB151" i="260" s="1"/>
  <c r="I151" i="260" s="1"/>
  <c r="Y28" i="260"/>
  <c r="AB28" i="260" s="1"/>
  <c r="I28" i="260" s="1"/>
  <c r="Y114" i="260"/>
  <c r="AB114" i="260" s="1"/>
  <c r="I114" i="260" s="1"/>
  <c r="Y107" i="260"/>
  <c r="AB107" i="260" s="1"/>
  <c r="I107" i="260" s="1"/>
  <c r="Z108" i="260"/>
  <c r="AC108" i="260" s="1"/>
  <c r="J108" i="260" s="1"/>
  <c r="Z31" i="260"/>
  <c r="AC31" i="260" s="1"/>
  <c r="J31" i="260" s="1"/>
  <c r="Z110" i="260"/>
  <c r="AC110" i="260" s="1"/>
  <c r="J110" i="260" s="1"/>
  <c r="Z149" i="260"/>
  <c r="AC149" i="260" s="1"/>
  <c r="J149" i="260" s="1"/>
  <c r="Z147" i="260"/>
  <c r="AC147" i="260" s="1"/>
  <c r="J147" i="260" s="1"/>
  <c r="Z34" i="260"/>
  <c r="AC34" i="260" s="1"/>
  <c r="AA72" i="260"/>
  <c r="AD72" i="260" s="1"/>
  <c r="K72" i="260" s="1"/>
  <c r="Y72" i="260"/>
  <c r="AB72" i="260" s="1"/>
  <c r="I72" i="260" s="1"/>
  <c r="Z72" i="260"/>
  <c r="AC72" i="260" s="1"/>
  <c r="J72" i="260" s="1"/>
  <c r="AA11" i="260"/>
  <c r="AD11" i="260" s="1"/>
  <c r="AA95" i="260"/>
  <c r="AD95" i="260" s="1"/>
  <c r="K95" i="260" s="1"/>
  <c r="AA93" i="260"/>
  <c r="AD93" i="260" s="1"/>
  <c r="K93" i="260" s="1"/>
  <c r="AA13" i="260"/>
  <c r="AA50" i="260"/>
  <c r="AD50" i="260" s="1"/>
  <c r="K50" i="260" s="1"/>
  <c r="AA90" i="260"/>
  <c r="AD90" i="260" s="1"/>
  <c r="K90" i="260" s="1"/>
  <c r="AA87" i="260"/>
  <c r="AD87" i="260" s="1"/>
  <c r="K87" i="260" s="1"/>
  <c r="AA47" i="260"/>
  <c r="AD47" i="260" s="1"/>
  <c r="K47" i="260" s="1"/>
  <c r="AA130" i="260"/>
  <c r="AD130" i="260" s="1"/>
  <c r="K130" i="260" s="1"/>
  <c r="AA86" i="260"/>
  <c r="AD86" i="260" s="1"/>
  <c r="Z94" i="260"/>
  <c r="AC94" i="260" s="1"/>
  <c r="AA49" i="260"/>
  <c r="AD49" i="260" s="1"/>
  <c r="K49" i="260" s="1"/>
  <c r="AA129" i="260"/>
  <c r="AD129" i="260" s="1"/>
  <c r="K129" i="260" s="1"/>
  <c r="AA10" i="260"/>
  <c r="AD10" i="260" s="1"/>
  <c r="AA48" i="260"/>
  <c r="AD48" i="260" s="1"/>
  <c r="K48" i="260" s="1"/>
  <c r="AA128" i="260"/>
  <c r="AD128" i="260" s="1"/>
  <c r="K128" i="260" s="1"/>
  <c r="AA91" i="260"/>
  <c r="AD91" i="260" s="1"/>
  <c r="K91" i="260" s="1"/>
  <c r="AA14" i="260"/>
  <c r="AD14" i="260" s="1"/>
  <c r="AA9" i="260"/>
  <c r="AA7" i="260"/>
  <c r="AA51" i="260"/>
  <c r="AD51" i="260" s="1"/>
  <c r="K51" i="260" s="1"/>
  <c r="AA131" i="260"/>
  <c r="AD131" i="260" s="1"/>
  <c r="K131" i="260" s="1"/>
  <c r="AA126" i="260"/>
  <c r="AD126" i="260" s="1"/>
  <c r="Z54" i="260"/>
  <c r="AC54" i="260" s="1"/>
  <c r="AA94" i="260"/>
  <c r="AD94" i="260" s="1"/>
  <c r="AA46" i="260"/>
  <c r="AD46" i="260" s="1"/>
  <c r="AA55" i="260"/>
  <c r="AD55" i="260" s="1"/>
  <c r="K55" i="260" s="1"/>
  <c r="AA135" i="260"/>
  <c r="AD135" i="260" s="1"/>
  <c r="K135" i="260" s="1"/>
  <c r="AA53" i="260"/>
  <c r="AD53" i="260" s="1"/>
  <c r="K53" i="260" s="1"/>
  <c r="AA133" i="260"/>
  <c r="AD133" i="260" s="1"/>
  <c r="K133" i="260" s="1"/>
  <c r="AA134" i="260"/>
  <c r="AD134" i="260" s="1"/>
  <c r="AA54" i="260"/>
  <c r="AD54" i="260" s="1"/>
  <c r="AA6" i="260"/>
  <c r="AA12" i="260"/>
  <c r="AA8" i="260"/>
  <c r="AD8" i="260" s="1"/>
  <c r="AA15" i="260"/>
  <c r="AD15" i="260" s="1"/>
  <c r="AA89" i="260"/>
  <c r="AD89" i="260" s="1"/>
  <c r="K89" i="260" s="1"/>
  <c r="AA88" i="260"/>
  <c r="AD88" i="260" s="1"/>
  <c r="K88" i="260" s="1"/>
  <c r="AA127" i="260"/>
  <c r="AD127" i="260" s="1"/>
  <c r="K127" i="260" s="1"/>
  <c r="Y91" i="260"/>
  <c r="AB91" i="260" s="1"/>
  <c r="Y90" i="260"/>
  <c r="AB90" i="260" s="1"/>
  <c r="I90" i="260" s="1"/>
  <c r="Y11" i="260"/>
  <c r="Y89" i="260"/>
  <c r="AB89" i="260" s="1"/>
  <c r="I89" i="260" s="1"/>
  <c r="Y126" i="260"/>
  <c r="AB126" i="260" s="1"/>
  <c r="Y88" i="260"/>
  <c r="AB88" i="260" s="1"/>
  <c r="I88" i="260" s="1"/>
  <c r="Y48" i="260"/>
  <c r="AB48" i="260" s="1"/>
  <c r="Y53" i="260"/>
  <c r="AB53" i="260" s="1"/>
  <c r="Z12" i="260"/>
  <c r="AC12" i="260" s="1"/>
  <c r="Z87" i="260"/>
  <c r="AC87" i="260" s="1"/>
  <c r="J87" i="260" s="1"/>
  <c r="Y15" i="260"/>
  <c r="Z88" i="260"/>
  <c r="AC88" i="260" s="1"/>
  <c r="J88" i="260" s="1"/>
  <c r="Z127" i="260"/>
  <c r="AC127" i="260" s="1"/>
  <c r="J127" i="260" s="1"/>
  <c r="Z90" i="260"/>
  <c r="AC90" i="260" s="1"/>
  <c r="J90" i="260" s="1"/>
  <c r="Z134" i="260"/>
  <c r="AC134" i="260" s="1"/>
  <c r="Z7" i="260"/>
  <c r="Z14" i="260"/>
  <c r="Y12" i="260"/>
  <c r="Y13" i="260"/>
  <c r="Y95" i="260"/>
  <c r="AB95" i="260" s="1"/>
  <c r="I95" i="260" s="1"/>
  <c r="Y14" i="260"/>
  <c r="Y47" i="260"/>
  <c r="AB47" i="260" s="1"/>
  <c r="Z6" i="260"/>
  <c r="Z47" i="260"/>
  <c r="AC47" i="260" s="1"/>
  <c r="J47" i="260" s="1"/>
  <c r="Z93" i="260"/>
  <c r="AC93" i="260" s="1"/>
  <c r="J93" i="260" s="1"/>
  <c r="Z91" i="260"/>
  <c r="AC91" i="260" s="1"/>
  <c r="J91" i="260" s="1"/>
  <c r="Z13" i="260"/>
  <c r="AC13" i="260" s="1"/>
  <c r="Z95" i="260"/>
  <c r="AC95" i="260" s="1"/>
  <c r="J95" i="260" s="1"/>
  <c r="Z126" i="260"/>
  <c r="AC126" i="260" s="1"/>
  <c r="Z8" i="260"/>
  <c r="AC8" i="260" s="1"/>
  <c r="Y94" i="260"/>
  <c r="AB94" i="260" s="1"/>
  <c r="I94" i="260" s="1"/>
  <c r="AA52" i="260"/>
  <c r="AD52" i="260" s="1"/>
  <c r="K52" i="260" s="1"/>
  <c r="Z86" i="260"/>
  <c r="AC86" i="260" s="1"/>
  <c r="Y52" i="260"/>
  <c r="AB52" i="260" s="1"/>
  <c r="I52" i="260" s="1"/>
  <c r="Y51" i="260"/>
  <c r="AB51" i="260" s="1"/>
  <c r="I51" i="260" s="1"/>
  <c r="Y131" i="260"/>
  <c r="AB131" i="260" s="1"/>
  <c r="I131" i="260" s="1"/>
  <c r="Y50" i="260"/>
  <c r="AB50" i="260" s="1"/>
  <c r="Y130" i="260"/>
  <c r="AB130" i="260" s="1"/>
  <c r="I130" i="260" s="1"/>
  <c r="Y49" i="260"/>
  <c r="AB49" i="260" s="1"/>
  <c r="I49" i="260" s="1"/>
  <c r="Y129" i="260"/>
  <c r="AB129" i="260" s="1"/>
  <c r="I129" i="260" s="1"/>
  <c r="Y128" i="260"/>
  <c r="AB128" i="260" s="1"/>
  <c r="I128" i="260" s="1"/>
  <c r="Y134" i="260"/>
  <c r="AB134" i="260" s="1"/>
  <c r="I134" i="260" s="1"/>
  <c r="Y9" i="260"/>
  <c r="Y86" i="260"/>
  <c r="AB86" i="260" s="1"/>
  <c r="Z10" i="260"/>
  <c r="AC10" i="260" s="1"/>
  <c r="Z48" i="260"/>
  <c r="AC48" i="260" s="1"/>
  <c r="J48" i="260" s="1"/>
  <c r="Z128" i="260"/>
  <c r="AC128" i="260" s="1"/>
  <c r="J128" i="260" s="1"/>
  <c r="Z50" i="260"/>
  <c r="AC50" i="260" s="1"/>
  <c r="J50" i="260" s="1"/>
  <c r="Z130" i="260"/>
  <c r="AC130" i="260" s="1"/>
  <c r="J130" i="260" s="1"/>
  <c r="Z129" i="260"/>
  <c r="AC129" i="260" s="1"/>
  <c r="J129" i="260" s="1"/>
  <c r="Z135" i="260"/>
  <c r="AC135" i="260" s="1"/>
  <c r="J135" i="260" s="1"/>
  <c r="Z9" i="260"/>
  <c r="Z46" i="260"/>
  <c r="AC46" i="260" s="1"/>
  <c r="Z52" i="260"/>
  <c r="AC52" i="260" s="1"/>
  <c r="J52" i="260" s="1"/>
  <c r="Z55" i="260"/>
  <c r="AC55" i="260" s="1"/>
  <c r="J55" i="260" s="1"/>
  <c r="Y55" i="260"/>
  <c r="AB55" i="260" s="1"/>
  <c r="I55" i="260" s="1"/>
  <c r="Y135" i="260"/>
  <c r="AB135" i="260" s="1"/>
  <c r="I135" i="260" s="1"/>
  <c r="Y93" i="260"/>
  <c r="AB93" i="260" s="1"/>
  <c r="I93" i="260" s="1"/>
  <c r="Y133" i="260"/>
  <c r="AB133" i="260" s="1"/>
  <c r="I133" i="260" s="1"/>
  <c r="Y127" i="260"/>
  <c r="AB127" i="260" s="1"/>
  <c r="I127" i="260" s="1"/>
  <c r="Y8" i="260"/>
  <c r="AB8" i="260" s="1"/>
  <c r="Y87" i="260"/>
  <c r="AB87" i="260" s="1"/>
  <c r="I87" i="260" s="1"/>
  <c r="Z15" i="260"/>
  <c r="AC15" i="260" s="1"/>
  <c r="Y46" i="260"/>
  <c r="AB46" i="260" s="1"/>
  <c r="I46" i="260" s="1"/>
  <c r="Z53" i="260"/>
  <c r="AC53" i="260" s="1"/>
  <c r="J53" i="260" s="1"/>
  <c r="Z133" i="260"/>
  <c r="AC133" i="260" s="1"/>
  <c r="J133" i="260" s="1"/>
  <c r="Z51" i="260"/>
  <c r="AC51" i="260" s="1"/>
  <c r="J51" i="260" s="1"/>
  <c r="Z131" i="260"/>
  <c r="AC131" i="260" s="1"/>
  <c r="J131" i="260" s="1"/>
  <c r="Z11" i="260"/>
  <c r="AC11" i="260" s="1"/>
  <c r="Z49" i="260"/>
  <c r="AC49" i="260" s="1"/>
  <c r="J49" i="260" s="1"/>
  <c r="Z89" i="260"/>
  <c r="AC89" i="260" s="1"/>
  <c r="J89" i="260" s="1"/>
  <c r="Y54" i="260"/>
  <c r="AB54" i="260" s="1"/>
  <c r="I54" i="260" s="1"/>
  <c r="AA92" i="260"/>
  <c r="AD92" i="260" s="1"/>
  <c r="K92" i="260" s="1"/>
  <c r="Y92" i="260"/>
  <c r="AB92" i="260" s="1"/>
  <c r="I92" i="260" s="1"/>
  <c r="Z92" i="260"/>
  <c r="AC92" i="260" s="1"/>
  <c r="J92" i="260" s="1"/>
  <c r="Z132" i="260"/>
  <c r="AC132" i="260" s="1"/>
  <c r="J132" i="260" s="1"/>
  <c r="Y112" i="260"/>
  <c r="AB112" i="260" s="1"/>
  <c r="I112" i="260" s="1"/>
  <c r="AA19" i="260"/>
  <c r="AA59" i="260"/>
  <c r="AD59" i="260" s="1"/>
  <c r="K59" i="260" s="1"/>
  <c r="AA139" i="260"/>
  <c r="AD139" i="260" s="1"/>
  <c r="K139" i="260" s="1"/>
  <c r="AA138" i="260"/>
  <c r="AD138" i="260" s="1"/>
  <c r="K138" i="260" s="1"/>
  <c r="AA98" i="260"/>
  <c r="AD98" i="260" s="1"/>
  <c r="K98" i="260" s="1"/>
  <c r="AA137" i="260"/>
  <c r="AD137" i="260" s="1"/>
  <c r="K137" i="260" s="1"/>
  <c r="AA64" i="260"/>
  <c r="AD64" i="260" s="1"/>
  <c r="AA104" i="260"/>
  <c r="AD104" i="260" s="1"/>
  <c r="AA23" i="260"/>
  <c r="AA21" i="260"/>
  <c r="AD21" i="260" s="1"/>
  <c r="AA105" i="260"/>
  <c r="AD105" i="260" s="1"/>
  <c r="K105" i="260" s="1"/>
  <c r="AA136" i="260"/>
  <c r="AD136" i="260" s="1"/>
  <c r="Z57" i="260"/>
  <c r="AC57" i="260" s="1"/>
  <c r="J57" i="260" s="1"/>
  <c r="AA25" i="260"/>
  <c r="AD25" i="260" s="1"/>
  <c r="AA101" i="260"/>
  <c r="AD101" i="260" s="1"/>
  <c r="K101" i="260" s="1"/>
  <c r="AA100" i="260"/>
  <c r="AD100" i="260" s="1"/>
  <c r="K100" i="260" s="1"/>
  <c r="AA65" i="260"/>
  <c r="AD65" i="260" s="1"/>
  <c r="K65" i="260" s="1"/>
  <c r="AA145" i="260"/>
  <c r="AD145" i="260" s="1"/>
  <c r="K145" i="260" s="1"/>
  <c r="AA58" i="260"/>
  <c r="AD58" i="260" s="1"/>
  <c r="K58" i="260" s="1"/>
  <c r="AA63" i="260"/>
  <c r="AD63" i="260" s="1"/>
  <c r="K63" i="260" s="1"/>
  <c r="AA17" i="260"/>
  <c r="AA96" i="260"/>
  <c r="AD96" i="260" s="1"/>
  <c r="K96" i="260" s="1"/>
  <c r="AA56" i="260"/>
  <c r="AD56" i="260" s="1"/>
  <c r="AA61" i="260"/>
  <c r="AD61" i="260" s="1"/>
  <c r="K61" i="260" s="1"/>
  <c r="AA60" i="260"/>
  <c r="AD60" i="260" s="1"/>
  <c r="K60" i="260" s="1"/>
  <c r="AA140" i="260"/>
  <c r="AD140" i="260" s="1"/>
  <c r="K140" i="260" s="1"/>
  <c r="AA18" i="260"/>
  <c r="AD18" i="260" s="1"/>
  <c r="K18" i="260" s="1"/>
  <c r="AA16" i="260"/>
  <c r="AA99" i="260"/>
  <c r="AD99" i="260" s="1"/>
  <c r="K99" i="260" s="1"/>
  <c r="AA103" i="260"/>
  <c r="AD103" i="260" s="1"/>
  <c r="K103" i="260" s="1"/>
  <c r="AA143" i="260"/>
  <c r="AD143" i="260" s="1"/>
  <c r="K143" i="260" s="1"/>
  <c r="AA144" i="260"/>
  <c r="AD144" i="260" s="1"/>
  <c r="AA24" i="260"/>
  <c r="AD24" i="260" s="1"/>
  <c r="AA97" i="260"/>
  <c r="AD97" i="260" s="1"/>
  <c r="K97" i="260" s="1"/>
  <c r="AA57" i="260"/>
  <c r="AD57" i="260" s="1"/>
  <c r="K57" i="260" s="1"/>
  <c r="AA141" i="260"/>
  <c r="AD141" i="260" s="1"/>
  <c r="K141" i="260" s="1"/>
  <c r="AA20" i="260"/>
  <c r="AD20" i="260" s="1"/>
  <c r="Z64" i="260"/>
  <c r="AC64" i="260" s="1"/>
  <c r="Y65" i="260"/>
  <c r="AB65" i="260" s="1"/>
  <c r="I65" i="260" s="1"/>
  <c r="Y145" i="260"/>
  <c r="AB145" i="260" s="1"/>
  <c r="I145" i="260" s="1"/>
  <c r="Y63" i="260"/>
  <c r="AB63" i="260" s="1"/>
  <c r="I63" i="260" s="1"/>
  <c r="Y143" i="260"/>
  <c r="AB143" i="260" s="1"/>
  <c r="I143" i="260" s="1"/>
  <c r="Y61" i="260"/>
  <c r="AB61" i="260" s="1"/>
  <c r="I61" i="260" s="1"/>
  <c r="Y141" i="260"/>
  <c r="AB141" i="260" s="1"/>
  <c r="I141" i="260" s="1"/>
  <c r="Y144" i="260"/>
  <c r="AB144" i="260" s="1"/>
  <c r="Z56" i="260"/>
  <c r="AC56" i="260" s="1"/>
  <c r="Y104" i="260"/>
  <c r="AB104" i="260" s="1"/>
  <c r="Z23" i="260"/>
  <c r="AC23" i="260" s="1"/>
  <c r="Z60" i="260"/>
  <c r="AC60" i="260" s="1"/>
  <c r="J60" i="260" s="1"/>
  <c r="Z140" i="260"/>
  <c r="AC140" i="260" s="1"/>
  <c r="J140" i="260" s="1"/>
  <c r="Z59" i="260"/>
  <c r="AC59" i="260" s="1"/>
  <c r="J59" i="260" s="1"/>
  <c r="Z139" i="260"/>
  <c r="AC139" i="260" s="1"/>
  <c r="J139" i="260" s="1"/>
  <c r="Z63" i="260"/>
  <c r="AC63" i="260" s="1"/>
  <c r="J63" i="260" s="1"/>
  <c r="Z143" i="260"/>
  <c r="AC143" i="260" s="1"/>
  <c r="J143" i="260" s="1"/>
  <c r="Z19" i="260"/>
  <c r="Z137" i="260"/>
  <c r="AC137" i="260" s="1"/>
  <c r="J137" i="260" s="1"/>
  <c r="Z136" i="260"/>
  <c r="AC136" i="260" s="1"/>
  <c r="Z97" i="260"/>
  <c r="AC97" i="260" s="1"/>
  <c r="J97" i="260" s="1"/>
  <c r="Y22" i="260"/>
  <c r="Z144" i="260"/>
  <c r="AC144" i="260" s="1"/>
  <c r="Y16" i="260"/>
  <c r="AB16" i="260" s="1"/>
  <c r="Y99" i="260"/>
  <c r="AB99" i="260" s="1"/>
  <c r="I99" i="260" s="1"/>
  <c r="Y98" i="260"/>
  <c r="AB98" i="260" s="1"/>
  <c r="I98" i="260" s="1"/>
  <c r="Y18" i="260"/>
  <c r="Y19" i="260"/>
  <c r="Y100" i="260"/>
  <c r="AB100" i="260" s="1"/>
  <c r="I100" i="260" s="1"/>
  <c r="Y136" i="260"/>
  <c r="AB136" i="260" s="1"/>
  <c r="Y97" i="260"/>
  <c r="AB97" i="260" s="1"/>
  <c r="I97" i="260" s="1"/>
  <c r="Z65" i="260"/>
  <c r="AC65" i="260" s="1"/>
  <c r="J65" i="260" s="1"/>
  <c r="Z145" i="260"/>
  <c r="AC145" i="260" s="1"/>
  <c r="J145" i="260" s="1"/>
  <c r="Z98" i="260"/>
  <c r="AC98" i="260" s="1"/>
  <c r="J98" i="260" s="1"/>
  <c r="Z25" i="260"/>
  <c r="AC25" i="260" s="1"/>
  <c r="Z101" i="260"/>
  <c r="AC101" i="260" s="1"/>
  <c r="J101" i="260" s="1"/>
  <c r="Z141" i="260"/>
  <c r="AC141" i="260" s="1"/>
  <c r="J141" i="260" s="1"/>
  <c r="Z17" i="260"/>
  <c r="Z22" i="260"/>
  <c r="AC22" i="260" s="1"/>
  <c r="Y21" i="260"/>
  <c r="Y105" i="260"/>
  <c r="AB105" i="260" s="1"/>
  <c r="I105" i="260" s="1"/>
  <c r="Y20" i="260"/>
  <c r="Y103" i="260"/>
  <c r="AB103" i="260" s="1"/>
  <c r="I103" i="260" s="1"/>
  <c r="Y23" i="260"/>
  <c r="Y25" i="260"/>
  <c r="Y101" i="260"/>
  <c r="AB101" i="260" s="1"/>
  <c r="I101" i="260" s="1"/>
  <c r="Y140" i="260"/>
  <c r="AB140" i="260" s="1"/>
  <c r="I140" i="260" s="1"/>
  <c r="Y137" i="260"/>
  <c r="AB137" i="260" s="1"/>
  <c r="I137" i="260" s="1"/>
  <c r="Y96" i="260"/>
  <c r="AB96" i="260" s="1"/>
  <c r="I96" i="260" s="1"/>
  <c r="Y64" i="260"/>
  <c r="AB64" i="260" s="1"/>
  <c r="Z100" i="260"/>
  <c r="AC100" i="260" s="1"/>
  <c r="J100" i="260" s="1"/>
  <c r="Z16" i="260"/>
  <c r="Z99" i="260"/>
  <c r="AC99" i="260" s="1"/>
  <c r="J99" i="260" s="1"/>
  <c r="Z24" i="260"/>
  <c r="Z20" i="260"/>
  <c r="AC20" i="260" s="1"/>
  <c r="Z103" i="260"/>
  <c r="AC103" i="260" s="1"/>
  <c r="J103" i="260" s="1"/>
  <c r="Z61" i="260"/>
  <c r="AC61" i="260" s="1"/>
  <c r="J61" i="260" s="1"/>
  <c r="AA22" i="260"/>
  <c r="Y59" i="260"/>
  <c r="AB59" i="260" s="1"/>
  <c r="I59" i="260" s="1"/>
  <c r="Y139" i="260"/>
  <c r="AB139" i="260" s="1"/>
  <c r="I139" i="260" s="1"/>
  <c r="Y58" i="260"/>
  <c r="AB58" i="260" s="1"/>
  <c r="Y138" i="260"/>
  <c r="AB138" i="260" s="1"/>
  <c r="I138" i="260" s="1"/>
  <c r="Y60" i="260"/>
  <c r="AB60" i="260" s="1"/>
  <c r="Y24" i="260"/>
  <c r="Y17" i="260"/>
  <c r="Z96" i="260"/>
  <c r="AC96" i="260" s="1"/>
  <c r="J96" i="260" s="1"/>
  <c r="Y57" i="260"/>
  <c r="AB57" i="260" s="1"/>
  <c r="I57" i="260" s="1"/>
  <c r="Z104" i="260"/>
  <c r="AC104" i="260" s="1"/>
  <c r="Z18" i="260"/>
  <c r="AC18" i="260" s="1"/>
  <c r="J18" i="260" s="1"/>
  <c r="Z21" i="260"/>
  <c r="AC21" i="260" s="1"/>
  <c r="Z105" i="260"/>
  <c r="AC105" i="260" s="1"/>
  <c r="J105" i="260" s="1"/>
  <c r="Z58" i="260"/>
  <c r="AC58" i="260" s="1"/>
  <c r="J58" i="260" s="1"/>
  <c r="Z138" i="260"/>
  <c r="AC138" i="260" s="1"/>
  <c r="J138" i="260" s="1"/>
  <c r="Z62" i="260"/>
  <c r="AC62" i="260" s="1"/>
  <c r="J62" i="260" s="1"/>
  <c r="AA62" i="260"/>
  <c r="AD62" i="260" s="1"/>
  <c r="K62" i="260" s="1"/>
  <c r="Y62" i="260"/>
  <c r="AB62" i="260" s="1"/>
  <c r="I62" i="260" s="1"/>
  <c r="Y102" i="260"/>
  <c r="AB102" i="260" s="1"/>
  <c r="I102" i="260" s="1"/>
  <c r="Z102" i="260"/>
  <c r="AC102" i="260" s="1"/>
  <c r="J102" i="260" s="1"/>
  <c r="AA102" i="260"/>
  <c r="AD102" i="260" s="1"/>
  <c r="K102" i="260" s="1"/>
  <c r="AA132" i="260"/>
  <c r="AD132" i="260" s="1"/>
  <c r="K132" i="260" s="1"/>
  <c r="AA112" i="260"/>
  <c r="AD112" i="260" s="1"/>
  <c r="K112" i="260" s="1"/>
  <c r="Y142" i="260"/>
  <c r="AB142" i="260" s="1"/>
  <c r="I142" i="260" s="1"/>
  <c r="Z142" i="260"/>
  <c r="AC142" i="260" s="1"/>
  <c r="J142" i="260" s="1"/>
  <c r="AA142" i="260"/>
  <c r="AD142" i="260" s="1"/>
  <c r="K142" i="260" s="1"/>
  <c r="Y122" i="260"/>
  <c r="AB122" i="260" s="1"/>
  <c r="I122" i="260" s="1"/>
  <c r="Z122" i="260"/>
  <c r="AC122" i="260" s="1"/>
  <c r="J122" i="260" s="1"/>
  <c r="AA122" i="260"/>
  <c r="AD122" i="260" s="1"/>
  <c r="K122" i="260" s="1"/>
  <c r="G45" i="269"/>
  <c r="AD74" i="264"/>
  <c r="AD60" i="264"/>
  <c r="Q30" i="269"/>
  <c r="AB170" i="260"/>
  <c r="AD168" i="260"/>
  <c r="AC172" i="260"/>
  <c r="AD178" i="260"/>
  <c r="AB180" i="260"/>
  <c r="AD179" i="260"/>
  <c r="AB181" i="260"/>
  <c r="AC176" i="260"/>
  <c r="AB182" i="260"/>
  <c r="V48" i="267"/>
  <c r="AC186" i="260"/>
  <c r="AD191" i="260"/>
  <c r="AB190" i="260"/>
  <c r="AC193" i="260"/>
  <c r="AC194" i="260"/>
  <c r="AB201" i="260"/>
  <c r="AD197" i="260"/>
  <c r="AB198" i="260"/>
  <c r="AD199" i="260"/>
  <c r="AC199" i="260"/>
  <c r="H65" i="221"/>
  <c r="H29" i="221" s="1"/>
  <c r="F68" i="221"/>
  <c r="F32" i="221" s="1"/>
  <c r="H68" i="221"/>
  <c r="H32" i="221" s="1"/>
  <c r="G65" i="221"/>
  <c r="G29" i="221" s="1"/>
  <c r="F70" i="221"/>
  <c r="F34" i="221" s="1"/>
  <c r="G68" i="221"/>
  <c r="G32" i="221" s="1"/>
  <c r="F31" i="221"/>
  <c r="H67" i="221"/>
  <c r="H31" i="221" s="1"/>
  <c r="G67" i="221"/>
  <c r="G31" i="221" s="1"/>
  <c r="V46" i="267"/>
  <c r="V47" i="267"/>
  <c r="V49" i="267"/>
  <c r="H73" i="221"/>
  <c r="H37" i="221" s="1"/>
  <c r="G73" i="221"/>
  <c r="G37" i="221" s="1"/>
  <c r="G70" i="221"/>
  <c r="G34" i="221" s="1"/>
  <c r="H70" i="221"/>
  <c r="H34" i="221" s="1"/>
  <c r="I8" i="269"/>
  <c r="AB6" i="260" l="1"/>
  <c r="Y11" i="270"/>
  <c r="AB11" i="270" s="1"/>
  <c r="Y15" i="270"/>
  <c r="AB15" i="270" s="1"/>
  <c r="Y19" i="270"/>
  <c r="AB19" i="270" s="1"/>
  <c r="Z7" i="270"/>
  <c r="AC7" i="270" s="1"/>
  <c r="K7" i="270" s="1"/>
  <c r="Z11" i="270"/>
  <c r="Z15" i="270"/>
  <c r="AC15" i="270" s="1"/>
  <c r="Z19" i="270"/>
  <c r="AC19" i="270" s="1"/>
  <c r="Y7" i="270"/>
  <c r="AB7" i="270" s="1"/>
  <c r="J7" i="270" s="1"/>
  <c r="X7" i="270"/>
  <c r="AA7" i="270" s="1"/>
  <c r="X19" i="270"/>
  <c r="AA19" i="270" s="1"/>
  <c r="X15" i="270"/>
  <c r="X11" i="270"/>
  <c r="AA11" i="270" s="1"/>
  <c r="Z10" i="270"/>
  <c r="Z14" i="270"/>
  <c r="AC14" i="270" s="1"/>
  <c r="Z18" i="270"/>
  <c r="AC18" i="270" s="1"/>
  <c r="Z22" i="270"/>
  <c r="AC22" i="270" s="1"/>
  <c r="Y10" i="270"/>
  <c r="AB10" i="270" s="1"/>
  <c r="Y14" i="270"/>
  <c r="AB14" i="270" s="1"/>
  <c r="Y18" i="270"/>
  <c r="AB18" i="270" s="1"/>
  <c r="Y22" i="270"/>
  <c r="AB22" i="270" s="1"/>
  <c r="X10" i="270"/>
  <c r="AA10" i="270" s="1"/>
  <c r="X14" i="270"/>
  <c r="AA14" i="270" s="1"/>
  <c r="X18" i="270"/>
  <c r="AA18" i="270" s="1"/>
  <c r="X22" i="270"/>
  <c r="AA22" i="270" s="1"/>
  <c r="Y9" i="270"/>
  <c r="Y13" i="270"/>
  <c r="AB13" i="270" s="1"/>
  <c r="Y17" i="270"/>
  <c r="AB17" i="270" s="1"/>
  <c r="Y21" i="270"/>
  <c r="AB21" i="270" s="1"/>
  <c r="Z9" i="270"/>
  <c r="Z21" i="270"/>
  <c r="AC21" i="270" s="1"/>
  <c r="Z13" i="270"/>
  <c r="AC13" i="270" s="1"/>
  <c r="Z17" i="270"/>
  <c r="AC17" i="270" s="1"/>
  <c r="X9" i="270"/>
  <c r="X13" i="270"/>
  <c r="AA13" i="270" s="1"/>
  <c r="X17" i="270"/>
  <c r="X21" i="270"/>
  <c r="AA21" i="270" s="1"/>
  <c r="Y20" i="270"/>
  <c r="AB20" i="270" s="1"/>
  <c r="Y8" i="270"/>
  <c r="AB8" i="270" s="1"/>
  <c r="Z8" i="270"/>
  <c r="AC8" i="270" s="1"/>
  <c r="Z12" i="270"/>
  <c r="AC12" i="270" s="1"/>
  <c r="Z16" i="270"/>
  <c r="AC16" i="270" s="1"/>
  <c r="Z20" i="270"/>
  <c r="AC20" i="270" s="1"/>
  <c r="Y12" i="270"/>
  <c r="AB12" i="270" s="1"/>
  <c r="Y16" i="270"/>
  <c r="AB16" i="270" s="1"/>
  <c r="X8" i="270"/>
  <c r="AA8" i="270" s="1"/>
  <c r="X20" i="270"/>
  <c r="AA20" i="270" s="1"/>
  <c r="X12" i="270"/>
  <c r="AA12" i="270" s="1"/>
  <c r="X16" i="270"/>
  <c r="AA16" i="270" s="1"/>
  <c r="AB192" i="260"/>
  <c r="AD192" i="260"/>
  <c r="AC192" i="260"/>
  <c r="T133" i="260"/>
  <c r="T145" i="260"/>
  <c r="T155" i="260"/>
  <c r="T154" i="260"/>
  <c r="T142" i="260"/>
  <c r="T137" i="260"/>
  <c r="T143" i="260"/>
  <c r="T160" i="260"/>
  <c r="T130" i="260"/>
  <c r="T150" i="260"/>
  <c r="T165" i="260"/>
  <c r="AB202" i="260"/>
  <c r="AC202" i="260"/>
  <c r="AD202" i="260"/>
  <c r="AA152" i="260"/>
  <c r="AD152" i="260" s="1"/>
  <c r="K152" i="260" s="1"/>
  <c r="Y152" i="260"/>
  <c r="AB152" i="260" s="1"/>
  <c r="I152" i="260" s="1"/>
  <c r="Z152" i="260"/>
  <c r="AC152" i="260" s="1"/>
  <c r="J152" i="260" s="1"/>
  <c r="J126" i="260"/>
  <c r="T158" i="260"/>
  <c r="T157" i="260"/>
  <c r="J136" i="260"/>
  <c r="I136" i="260"/>
  <c r="I146" i="260"/>
  <c r="J146" i="260"/>
  <c r="K146" i="260"/>
  <c r="I126" i="260"/>
  <c r="K126" i="260"/>
  <c r="I156" i="260"/>
  <c r="J156" i="260"/>
  <c r="K156" i="260"/>
  <c r="K136" i="260"/>
  <c r="T141" i="260"/>
  <c r="T134" i="260"/>
  <c r="T132" i="260"/>
  <c r="T128" i="260"/>
  <c r="T129" i="260"/>
  <c r="T161" i="260"/>
  <c r="AA15" i="270"/>
  <c r="T135" i="260"/>
  <c r="T140" i="260"/>
  <c r="T34" i="260"/>
  <c r="T153" i="260"/>
  <c r="T139" i="260"/>
  <c r="T138" i="260"/>
  <c r="T148" i="260"/>
  <c r="T159" i="260"/>
  <c r="T147" i="260"/>
  <c r="T151" i="260"/>
  <c r="T163" i="260"/>
  <c r="AA17" i="270"/>
  <c r="T127" i="260"/>
  <c r="T131" i="260"/>
  <c r="T149" i="260"/>
  <c r="K76" i="260"/>
  <c r="T74" i="260"/>
  <c r="I78" i="260"/>
  <c r="T78" i="260" s="1"/>
  <c r="I66" i="260"/>
  <c r="I60" i="260"/>
  <c r="T60" i="260" s="1"/>
  <c r="I83" i="260"/>
  <c r="T83" i="260" s="1"/>
  <c r="I81" i="260"/>
  <c r="T81" i="260" s="1"/>
  <c r="I58" i="260"/>
  <c r="T58" i="260" s="1"/>
  <c r="I53" i="260"/>
  <c r="T53" i="260" s="1"/>
  <c r="I50" i="260"/>
  <c r="T50" i="260" s="1"/>
  <c r="I33" i="260"/>
  <c r="T33" i="260" s="1"/>
  <c r="I119" i="260"/>
  <c r="T119" i="260" s="1"/>
  <c r="J26" i="260"/>
  <c r="T26" i="260" s="1"/>
  <c r="J56" i="260"/>
  <c r="K66" i="260"/>
  <c r="K86" i="260"/>
  <c r="I41" i="260"/>
  <c r="T41" i="260" s="1"/>
  <c r="I76" i="260"/>
  <c r="I125" i="260"/>
  <c r="T125" i="260" s="1"/>
  <c r="J86" i="260"/>
  <c r="I31" i="260"/>
  <c r="T31" i="260" s="1"/>
  <c r="I48" i="260"/>
  <c r="T48" i="260" s="1"/>
  <c r="J76" i="260"/>
  <c r="K56" i="260"/>
  <c r="J46" i="260"/>
  <c r="T54" i="260"/>
  <c r="K46" i="260"/>
  <c r="T175" i="260"/>
  <c r="T114" i="260"/>
  <c r="I91" i="260"/>
  <c r="T91" i="260" s="1"/>
  <c r="I47" i="260"/>
  <c r="T47" i="260" s="1"/>
  <c r="J66" i="260"/>
  <c r="I70" i="260"/>
  <c r="T70" i="260" s="1"/>
  <c r="T94" i="260"/>
  <c r="I86" i="260"/>
  <c r="I75" i="260"/>
  <c r="T75" i="260" s="1"/>
  <c r="I30" i="260"/>
  <c r="T30" i="260" s="1"/>
  <c r="I85" i="260"/>
  <c r="T85" i="260" s="1"/>
  <c r="I56" i="260"/>
  <c r="T103" i="260"/>
  <c r="T67" i="260"/>
  <c r="T110" i="260"/>
  <c r="T65" i="260"/>
  <c r="T38" i="260"/>
  <c r="T97" i="260"/>
  <c r="T77" i="260"/>
  <c r="T36" i="260"/>
  <c r="T89" i="260"/>
  <c r="T107" i="260"/>
  <c r="T106" i="260"/>
  <c r="T122" i="260"/>
  <c r="T90" i="260"/>
  <c r="T101" i="260"/>
  <c r="T39" i="260"/>
  <c r="T37" i="260"/>
  <c r="T102" i="260"/>
  <c r="T118" i="260"/>
  <c r="T116" i="260"/>
  <c r="T109" i="260"/>
  <c r="T117" i="260"/>
  <c r="T120" i="260"/>
  <c r="T69" i="260"/>
  <c r="T121" i="260"/>
  <c r="T72" i="260"/>
  <c r="T63" i="260"/>
  <c r="T55" i="260"/>
  <c r="T40" i="260"/>
  <c r="T52" i="260"/>
  <c r="T93" i="260"/>
  <c r="T115" i="260"/>
  <c r="T100" i="260"/>
  <c r="T95" i="260"/>
  <c r="T80" i="260"/>
  <c r="T68" i="260"/>
  <c r="T112" i="260"/>
  <c r="T98" i="260"/>
  <c r="T43" i="260"/>
  <c r="T73" i="260"/>
  <c r="T108" i="260"/>
  <c r="T59" i="260"/>
  <c r="T105" i="260"/>
  <c r="T27" i="260"/>
  <c r="T57" i="260"/>
  <c r="T111" i="260"/>
  <c r="T29" i="260"/>
  <c r="T71" i="260"/>
  <c r="T61" i="260"/>
  <c r="T123" i="260"/>
  <c r="T88" i="260"/>
  <c r="T82" i="260"/>
  <c r="T62" i="260"/>
  <c r="T113" i="260"/>
  <c r="T35" i="260"/>
  <c r="T51" i="260"/>
  <c r="T99" i="260"/>
  <c r="T79" i="260"/>
  <c r="T45" i="260"/>
  <c r="T87" i="260"/>
  <c r="T28" i="260"/>
  <c r="T49" i="260"/>
  <c r="T92" i="260"/>
  <c r="AC11" i="270"/>
  <c r="AC10" i="270"/>
  <c r="T32" i="260"/>
  <c r="BE38" i="264"/>
  <c r="BD38" i="264"/>
  <c r="BF38" i="264"/>
  <c r="H71" i="221"/>
  <c r="H35" i="221" s="1"/>
  <c r="G71" i="221"/>
  <c r="G35" i="221" s="1"/>
  <c r="AI54" i="264" l="1"/>
  <c r="BD54" i="264" s="1"/>
  <c r="I7" i="270"/>
  <c r="AI61" i="264"/>
  <c r="I8" i="270"/>
  <c r="T146" i="260"/>
  <c r="T136" i="260"/>
  <c r="T152" i="260"/>
  <c r="Y162" i="260"/>
  <c r="AB162" i="260" s="1"/>
  <c r="Z162" i="260"/>
  <c r="AC162" i="260" s="1"/>
  <c r="AA162" i="260"/>
  <c r="AD162" i="260" s="1"/>
  <c r="T76" i="260"/>
  <c r="T126" i="260"/>
  <c r="T156" i="260"/>
  <c r="T46" i="260"/>
  <c r="T66" i="260"/>
  <c r="T86" i="260"/>
  <c r="J18" i="270"/>
  <c r="AS75" i="264"/>
  <c r="AS74" i="264" s="1"/>
  <c r="I18" i="270"/>
  <c r="AO75" i="264"/>
  <c r="AR75" i="264" s="1"/>
  <c r="AR74" i="264" s="1"/>
  <c r="K18" i="270"/>
  <c r="AT75" i="264"/>
  <c r="AT74" i="264" s="1"/>
  <c r="J17" i="270"/>
  <c r="AS68" i="264"/>
  <c r="AS67" i="264" s="1"/>
  <c r="I17" i="270"/>
  <c r="AO68" i="264"/>
  <c r="AR68" i="264" s="1"/>
  <c r="AR67" i="264" s="1"/>
  <c r="K17" i="270"/>
  <c r="AT68" i="264"/>
  <c r="AT67" i="264" s="1"/>
  <c r="T56" i="260"/>
  <c r="I15" i="270"/>
  <c r="AO54" i="264"/>
  <c r="J15" i="270"/>
  <c r="K15" i="270"/>
  <c r="AT54" i="264"/>
  <c r="AT53" i="264" s="1"/>
  <c r="I16" i="270"/>
  <c r="AO61" i="264"/>
  <c r="J16" i="270"/>
  <c r="K16" i="270"/>
  <c r="T96" i="260"/>
  <c r="T42" i="260"/>
  <c r="I11" i="270"/>
  <c r="AL54" i="264"/>
  <c r="AL53" i="264" s="1"/>
  <c r="BF54" i="264"/>
  <c r="J14" i="270"/>
  <c r="AM74" i="264"/>
  <c r="K14" i="270"/>
  <c r="AN74" i="264"/>
  <c r="I13" i="270"/>
  <c r="AL68" i="264"/>
  <c r="AL67" i="264" s="1"/>
  <c r="K13" i="270"/>
  <c r="AN67" i="264"/>
  <c r="I14" i="270"/>
  <c r="AL75" i="264"/>
  <c r="AL74" i="264" s="1"/>
  <c r="J13" i="270"/>
  <c r="AM67" i="264"/>
  <c r="K11" i="270"/>
  <c r="AN53" i="264"/>
  <c r="J12" i="270"/>
  <c r="AM60" i="264"/>
  <c r="J11" i="270"/>
  <c r="AM53" i="264"/>
  <c r="K12" i="270"/>
  <c r="AN60" i="264"/>
  <c r="I12" i="270"/>
  <c r="AL61" i="264"/>
  <c r="AL60" i="264" s="1"/>
  <c r="BD82" i="264"/>
  <c r="BE82" i="264"/>
  <c r="J10" i="270"/>
  <c r="BE75" i="264"/>
  <c r="K10" i="270"/>
  <c r="BF75" i="264"/>
  <c r="AA9" i="270"/>
  <c r="BD83" i="264"/>
  <c r="AB9" i="270"/>
  <c r="BE83" i="264"/>
  <c r="AC9" i="270"/>
  <c r="BF83" i="264"/>
  <c r="I10" i="270"/>
  <c r="AI75" i="264"/>
  <c r="J8" i="270"/>
  <c r="K8" i="270"/>
  <c r="BF82" i="264"/>
  <c r="AD9" i="260"/>
  <c r="AC9" i="260"/>
  <c r="AC17" i="260"/>
  <c r="AD17" i="260"/>
  <c r="AD7" i="260"/>
  <c r="K7" i="260" s="1"/>
  <c r="AB15" i="260"/>
  <c r="AC14" i="260"/>
  <c r="AD19" i="260"/>
  <c r="K19" i="260" s="1"/>
  <c r="AC7" i="260"/>
  <c r="J7" i="260" s="1"/>
  <c r="AD13" i="260"/>
  <c r="AD12" i="260"/>
  <c r="AB25" i="260"/>
  <c r="AC24" i="260"/>
  <c r="AD23" i="260"/>
  <c r="AD22" i="260"/>
  <c r="AC19" i="260"/>
  <c r="J19" i="260" s="1"/>
  <c r="AB7" i="260"/>
  <c r="I7" i="260" s="1"/>
  <c r="AB18" i="260"/>
  <c r="AB24" i="260"/>
  <c r="AB14" i="260"/>
  <c r="AI53" i="264" l="1"/>
  <c r="BD53" i="264" s="1"/>
  <c r="AO74" i="264"/>
  <c r="AQ67" i="264"/>
  <c r="AP74" i="264"/>
  <c r="AQ53" i="264"/>
  <c r="AP67" i="264"/>
  <c r="AO67" i="264"/>
  <c r="K162" i="260"/>
  <c r="AQ74" i="264"/>
  <c r="J162" i="260"/>
  <c r="I162" i="260"/>
  <c r="AP60" i="264"/>
  <c r="AS61" i="264"/>
  <c r="AS60" i="264" s="1"/>
  <c r="AO53" i="264"/>
  <c r="AR54" i="264"/>
  <c r="AR53" i="264" s="1"/>
  <c r="AQ60" i="264"/>
  <c r="AT61" i="264"/>
  <c r="AT60" i="264" s="1"/>
  <c r="AO60" i="264"/>
  <c r="AR61" i="264"/>
  <c r="AR60" i="264" s="1"/>
  <c r="AP53" i="264"/>
  <c r="AS54" i="264"/>
  <c r="AS53" i="264" s="1"/>
  <c r="I18" i="260"/>
  <c r="T18" i="260" s="1"/>
  <c r="AK53" i="264"/>
  <c r="BF53" i="264" s="1"/>
  <c r="AJ53" i="264"/>
  <c r="BE53" i="264" s="1"/>
  <c r="AI60" i="264"/>
  <c r="BD60" i="264" s="1"/>
  <c r="BD61" i="264"/>
  <c r="I9" i="270"/>
  <c r="AI68" i="264"/>
  <c r="K9" i="270"/>
  <c r="J9" i="270"/>
  <c r="AJ60" i="264"/>
  <c r="AK60" i="264"/>
  <c r="T7" i="260"/>
  <c r="BD75" i="264"/>
  <c r="AI74" i="264"/>
  <c r="BD74" i="264" s="1"/>
  <c r="AK74" i="264"/>
  <c r="BF74" i="264" s="1"/>
  <c r="AJ74" i="264"/>
  <c r="BE74" i="264" s="1"/>
  <c r="AC16" i="260"/>
  <c r="AD6" i="260"/>
  <c r="AD16" i="260"/>
  <c r="AC6" i="260"/>
  <c r="AB13" i="260"/>
  <c r="AB19" i="260"/>
  <c r="AB23" i="260"/>
  <c r="AB17" i="260"/>
  <c r="AB22" i="260"/>
  <c r="AB12" i="260"/>
  <c r="T162" i="260" l="1"/>
  <c r="BE37" i="264"/>
  <c r="I19" i="260"/>
  <c r="T19" i="260" s="1"/>
  <c r="BE68" i="264"/>
  <c r="AJ67" i="264"/>
  <c r="BE67" i="264" s="1"/>
  <c r="BD68" i="264"/>
  <c r="AI67" i="264"/>
  <c r="BD67" i="264" s="1"/>
  <c r="BF68" i="264"/>
  <c r="AK67" i="264"/>
  <c r="BF67" i="264" s="1"/>
  <c r="BF37" i="264"/>
  <c r="BD36" i="264"/>
  <c r="BD35" i="264"/>
  <c r="BD34" i="264"/>
  <c r="BD33" i="264"/>
  <c r="BD29" i="264"/>
  <c r="BD28" i="264"/>
  <c r="BD27" i="264"/>
  <c r="BD26" i="264"/>
  <c r="BD22" i="264"/>
  <c r="BD21" i="264"/>
  <c r="BD20" i="264"/>
  <c r="BD19" i="264"/>
  <c r="BD15" i="264"/>
  <c r="BD14" i="264"/>
  <c r="BD13" i="264"/>
  <c r="BD12" i="264"/>
  <c r="O25" i="260" l="1"/>
  <c r="F65" i="260"/>
  <c r="F105" i="260" s="1"/>
  <c r="C65" i="260"/>
  <c r="C105" i="260" s="1"/>
  <c r="O24" i="260"/>
  <c r="T24" i="260" s="1"/>
  <c r="G64" i="260"/>
  <c r="G104" i="260" s="1"/>
  <c r="F64" i="260"/>
  <c r="F104" i="260" s="1"/>
  <c r="C64" i="260"/>
  <c r="C104" i="260" s="1"/>
  <c r="O23" i="260"/>
  <c r="F23" i="260"/>
  <c r="F63" i="260" s="1"/>
  <c r="F103" i="260" s="1"/>
  <c r="C63" i="260"/>
  <c r="C103" i="260" s="1"/>
  <c r="O22" i="260"/>
  <c r="G62" i="260"/>
  <c r="G102" i="260" s="1"/>
  <c r="F22" i="260"/>
  <c r="F62" i="260" s="1"/>
  <c r="F102" i="260" s="1"/>
  <c r="C62" i="260"/>
  <c r="C102" i="260" s="1"/>
  <c r="O21" i="260"/>
  <c r="G61" i="260"/>
  <c r="G101" i="260" s="1"/>
  <c r="F21" i="260"/>
  <c r="F61" i="260" s="1"/>
  <c r="F101" i="260" s="1"/>
  <c r="C61" i="260"/>
  <c r="C101" i="260" s="1"/>
  <c r="O20" i="260"/>
  <c r="G60" i="260"/>
  <c r="G100" i="260" s="1"/>
  <c r="F20" i="260"/>
  <c r="F60" i="260" s="1"/>
  <c r="F100" i="260" s="1"/>
  <c r="C60" i="260"/>
  <c r="C100" i="260" s="1"/>
  <c r="G58" i="260"/>
  <c r="G98" i="260" s="1"/>
  <c r="F18" i="260"/>
  <c r="F58" i="260" s="1"/>
  <c r="F98" i="260" s="1"/>
  <c r="C58" i="260"/>
  <c r="C98" i="260" s="1"/>
  <c r="O17" i="260"/>
  <c r="G57" i="260"/>
  <c r="G97" i="260" s="1"/>
  <c r="F17" i="260"/>
  <c r="F57" i="260" s="1"/>
  <c r="F97" i="260" s="1"/>
  <c r="C57" i="260"/>
  <c r="C97" i="260" s="1"/>
  <c r="O16" i="260"/>
  <c r="G56" i="260"/>
  <c r="G96" i="260" s="1"/>
  <c r="F16" i="260"/>
  <c r="F56" i="260" s="1"/>
  <c r="F96" i="260" s="1"/>
  <c r="C56" i="260"/>
  <c r="C96" i="260" s="1"/>
  <c r="O15" i="260"/>
  <c r="F55" i="260"/>
  <c r="F95" i="260" s="1"/>
  <c r="C55" i="260"/>
  <c r="C95" i="260" s="1"/>
  <c r="O14" i="260"/>
  <c r="I14" i="260" s="1"/>
  <c r="G54" i="260"/>
  <c r="G94" i="260" s="1"/>
  <c r="F14" i="260"/>
  <c r="F54" i="260" s="1"/>
  <c r="F94" i="260" s="1"/>
  <c r="C54" i="260"/>
  <c r="C94" i="260" s="1"/>
  <c r="O13" i="260"/>
  <c r="G13" i="260"/>
  <c r="F13" i="260"/>
  <c r="F53" i="260" s="1"/>
  <c r="F93" i="260" s="1"/>
  <c r="C53" i="260"/>
  <c r="C93" i="260" s="1"/>
  <c r="O12" i="260"/>
  <c r="G12" i="260"/>
  <c r="G52" i="260" s="1"/>
  <c r="G92" i="260" s="1"/>
  <c r="F12" i="260"/>
  <c r="F52" i="260" s="1"/>
  <c r="F92" i="260" s="1"/>
  <c r="C52" i="260"/>
  <c r="C92" i="260" s="1"/>
  <c r="O11" i="260"/>
  <c r="G11" i="260"/>
  <c r="G51" i="260" s="1"/>
  <c r="G91" i="260" s="1"/>
  <c r="F11" i="260"/>
  <c r="F51" i="260" s="1"/>
  <c r="F91" i="260" s="1"/>
  <c r="C51" i="260"/>
  <c r="C91" i="260" s="1"/>
  <c r="O10" i="260"/>
  <c r="G10" i="260"/>
  <c r="G50" i="260" s="1"/>
  <c r="G90" i="260" s="1"/>
  <c r="F10" i="260"/>
  <c r="F50" i="260" s="1"/>
  <c r="F90" i="260" s="1"/>
  <c r="C50" i="260"/>
  <c r="C90" i="260" s="1"/>
  <c r="O9" i="260"/>
  <c r="G9" i="260"/>
  <c r="G49" i="260" s="1"/>
  <c r="G89" i="260" s="1"/>
  <c r="F9" i="260"/>
  <c r="F49" i="260" s="1"/>
  <c r="F89" i="260" s="1"/>
  <c r="C49" i="260"/>
  <c r="C89" i="260" s="1"/>
  <c r="O8" i="260"/>
  <c r="G8" i="260"/>
  <c r="G48" i="260" s="1"/>
  <c r="G88" i="260" s="1"/>
  <c r="F8" i="260"/>
  <c r="F48" i="260" s="1"/>
  <c r="F88" i="260" s="1"/>
  <c r="C48" i="260"/>
  <c r="C88" i="260" s="1"/>
  <c r="G7" i="260"/>
  <c r="G47" i="260" s="1"/>
  <c r="G87" i="260" s="1"/>
  <c r="F7" i="260"/>
  <c r="F47" i="260" s="1"/>
  <c r="F87" i="260" s="1"/>
  <c r="C47" i="260"/>
  <c r="C87" i="260" s="1"/>
  <c r="O6" i="260"/>
  <c r="G46" i="260"/>
  <c r="G86" i="260" s="1"/>
  <c r="F46" i="260"/>
  <c r="F86" i="260" s="1"/>
  <c r="C46" i="260"/>
  <c r="C86" i="260" s="1"/>
  <c r="F177" i="260" l="1"/>
  <c r="F137" i="260"/>
  <c r="G177" i="260"/>
  <c r="G137" i="260"/>
  <c r="C178" i="260"/>
  <c r="C138" i="260"/>
  <c r="F171" i="260"/>
  <c r="F131" i="260"/>
  <c r="G178" i="260"/>
  <c r="G138" i="260"/>
  <c r="F170" i="260"/>
  <c r="F130" i="260"/>
  <c r="G180" i="260"/>
  <c r="G140" i="260"/>
  <c r="K17" i="260"/>
  <c r="J17" i="260"/>
  <c r="I17" i="260"/>
  <c r="K20" i="260"/>
  <c r="J20" i="260"/>
  <c r="C181" i="260"/>
  <c r="C141" i="260"/>
  <c r="F181" i="260"/>
  <c r="F141" i="260"/>
  <c r="C180" i="260"/>
  <c r="C140" i="260"/>
  <c r="G181" i="260"/>
  <c r="G141" i="260"/>
  <c r="F178" i="260"/>
  <c r="F138" i="260"/>
  <c r="F173" i="260"/>
  <c r="F133" i="260"/>
  <c r="J21" i="260"/>
  <c r="K21" i="260"/>
  <c r="G171" i="260"/>
  <c r="G131" i="260"/>
  <c r="C182" i="260"/>
  <c r="C142" i="260"/>
  <c r="F172" i="260"/>
  <c r="F132" i="260"/>
  <c r="F182" i="260"/>
  <c r="F142" i="260"/>
  <c r="G172" i="260"/>
  <c r="G132" i="260"/>
  <c r="G182" i="260"/>
  <c r="G142" i="260"/>
  <c r="F174" i="260"/>
  <c r="F134" i="260"/>
  <c r="J22" i="260"/>
  <c r="K22" i="260"/>
  <c r="I22" i="260"/>
  <c r="C171" i="260"/>
  <c r="C131" i="260"/>
  <c r="K11" i="260"/>
  <c r="J11" i="260"/>
  <c r="J12" i="260"/>
  <c r="K12" i="260"/>
  <c r="I12" i="260"/>
  <c r="C183" i="260"/>
  <c r="C143" i="260"/>
  <c r="K10" i="260"/>
  <c r="J10" i="260"/>
  <c r="G167" i="260"/>
  <c r="G127" i="260"/>
  <c r="F183" i="260"/>
  <c r="F143" i="260"/>
  <c r="C166" i="260"/>
  <c r="C126" i="260"/>
  <c r="C174" i="260"/>
  <c r="C134" i="260"/>
  <c r="C168" i="260"/>
  <c r="C128" i="260"/>
  <c r="C175" i="260"/>
  <c r="C135" i="260"/>
  <c r="J23" i="260"/>
  <c r="K23" i="260"/>
  <c r="I23" i="260"/>
  <c r="F180" i="260"/>
  <c r="F140" i="260"/>
  <c r="F168" i="260"/>
  <c r="F128" i="260"/>
  <c r="F175" i="260"/>
  <c r="F135" i="260"/>
  <c r="C184" i="260"/>
  <c r="C144" i="260"/>
  <c r="C170" i="260"/>
  <c r="C130" i="260"/>
  <c r="G174" i="260"/>
  <c r="G134" i="260"/>
  <c r="G168" i="260"/>
  <c r="G128" i="260"/>
  <c r="J15" i="260"/>
  <c r="K15" i="260"/>
  <c r="I15" i="260"/>
  <c r="F184" i="260"/>
  <c r="F144" i="260"/>
  <c r="F166" i="260"/>
  <c r="F126" i="260"/>
  <c r="C167" i="260"/>
  <c r="C127" i="260"/>
  <c r="I8" i="260"/>
  <c r="J8" i="260"/>
  <c r="K8" i="260"/>
  <c r="G184" i="260"/>
  <c r="G144" i="260"/>
  <c r="F167" i="260"/>
  <c r="F127" i="260"/>
  <c r="F176" i="260"/>
  <c r="F136" i="260"/>
  <c r="C169" i="260"/>
  <c r="C129" i="260"/>
  <c r="G176" i="260"/>
  <c r="G136" i="260"/>
  <c r="C185" i="260"/>
  <c r="C145" i="260"/>
  <c r="G170" i="260"/>
  <c r="G130" i="260"/>
  <c r="C173" i="260"/>
  <c r="C133" i="260"/>
  <c r="C176" i="260"/>
  <c r="C136" i="260"/>
  <c r="G169" i="260"/>
  <c r="G129" i="260"/>
  <c r="I16" i="260"/>
  <c r="K16" i="260"/>
  <c r="J16" i="260"/>
  <c r="F185" i="260"/>
  <c r="F145" i="260"/>
  <c r="C172" i="260"/>
  <c r="C132" i="260"/>
  <c r="G166" i="260"/>
  <c r="G126" i="260"/>
  <c r="J13" i="260"/>
  <c r="K13" i="260"/>
  <c r="I13" i="260"/>
  <c r="I6" i="260"/>
  <c r="K6" i="260"/>
  <c r="J6" i="260"/>
  <c r="F169" i="260"/>
  <c r="F129" i="260"/>
  <c r="J9" i="260"/>
  <c r="K9" i="260"/>
  <c r="C177" i="260"/>
  <c r="C137" i="260"/>
  <c r="K25" i="260"/>
  <c r="J25" i="260"/>
  <c r="I25" i="260"/>
  <c r="T14" i="260"/>
  <c r="G53" i="260"/>
  <c r="G93" i="260" s="1"/>
  <c r="G15" i="260"/>
  <c r="G55" i="260" s="1"/>
  <c r="G95" i="260" s="1"/>
  <c r="G63" i="260"/>
  <c r="G103" i="260" s="1"/>
  <c r="G25" i="260"/>
  <c r="G65" i="260" s="1"/>
  <c r="G105" i="260" s="1"/>
  <c r="E105" i="231"/>
  <c r="C15" i="232" s="1"/>
  <c r="B15" i="232"/>
  <c r="E15" i="232"/>
  <c r="T6" i="260" l="1"/>
  <c r="T17" i="260"/>
  <c r="T12" i="260"/>
  <c r="T15" i="260"/>
  <c r="T22" i="260"/>
  <c r="T13" i="260"/>
  <c r="G183" i="260"/>
  <c r="G143" i="260"/>
  <c r="G175" i="260"/>
  <c r="G135" i="260"/>
  <c r="G185" i="260"/>
  <c r="G145" i="260"/>
  <c r="G173" i="260"/>
  <c r="G133" i="260"/>
  <c r="T16" i="260"/>
  <c r="T8" i="260"/>
  <c r="T25" i="260"/>
  <c r="T23" i="260"/>
  <c r="I11" i="234"/>
  <c r="I10" i="234" l="1"/>
  <c r="I9" i="234"/>
  <c r="I8" i="234"/>
  <c r="I7" i="234"/>
  <c r="I6" i="234"/>
  <c r="I12" i="234" l="1"/>
  <c r="D9" i="232" l="1"/>
  <c r="D12" i="232"/>
  <c r="D13" i="232"/>
  <c r="D14" i="232"/>
  <c r="D16" i="232" l="1"/>
  <c r="E13" i="232" l="1"/>
  <c r="B69" i="260"/>
  <c r="B109" i="260" s="1"/>
  <c r="E103" i="231"/>
  <c r="C13" i="232" s="1"/>
  <c r="B13" i="232"/>
  <c r="B189" i="260" l="1"/>
  <c r="B149" i="260"/>
  <c r="B49" i="260"/>
  <c r="B89" i="260" s="1"/>
  <c r="B169" i="260" l="1"/>
  <c r="B129" i="260"/>
  <c r="B82" i="260"/>
  <c r="B122" i="260" s="1"/>
  <c r="B202" i="260" l="1"/>
  <c r="B162" i="260"/>
  <c r="B11" i="270"/>
  <c r="B73" i="260"/>
  <c r="B113" i="260" s="1"/>
  <c r="B12" i="270"/>
  <c r="B83" i="260"/>
  <c r="B123" i="260" s="1"/>
  <c r="B52" i="260"/>
  <c r="B92" i="260" s="1"/>
  <c r="B53" i="260"/>
  <c r="B93" i="260" s="1"/>
  <c r="B62" i="260"/>
  <c r="B102" i="260" s="1"/>
  <c r="B63" i="260"/>
  <c r="B103" i="260" s="1"/>
  <c r="E17" i="232"/>
  <c r="E107" i="231"/>
  <c r="C17" i="232" s="1"/>
  <c r="B17" i="232"/>
  <c r="B182" i="260" l="1"/>
  <c r="B142" i="260"/>
  <c r="B203" i="260"/>
  <c r="B163" i="260"/>
  <c r="B193" i="260"/>
  <c r="B153" i="260"/>
  <c r="B173" i="260"/>
  <c r="B133" i="260"/>
  <c r="B183" i="260"/>
  <c r="B143" i="260"/>
  <c r="B172" i="260"/>
  <c r="B132" i="260"/>
  <c r="B20" i="270"/>
  <c r="B16" i="270"/>
  <c r="B19" i="270"/>
  <c r="B15" i="270"/>
  <c r="D28" i="232"/>
  <c r="D27" i="232"/>
  <c r="D25" i="232"/>
  <c r="D24" i="232"/>
  <c r="B68" i="260" l="1"/>
  <c r="B108" i="260" s="1"/>
  <c r="E27" i="232"/>
  <c r="E24" i="232"/>
  <c r="E115" i="231"/>
  <c r="C27" i="232" s="1"/>
  <c r="E114" i="231"/>
  <c r="C24" i="232" s="1"/>
  <c r="B27" i="232"/>
  <c r="B24" i="232"/>
  <c r="B23" i="232"/>
  <c r="B22" i="232"/>
  <c r="E113" i="231"/>
  <c r="C23" i="232" s="1"/>
  <c r="E112" i="231"/>
  <c r="E106" i="231"/>
  <c r="C16" i="232" s="1"/>
  <c r="E104" i="231"/>
  <c r="E102" i="231"/>
  <c r="C12" i="232" s="1"/>
  <c r="E100" i="231"/>
  <c r="C9" i="232" s="1"/>
  <c r="B13" i="270"/>
  <c r="B12" i="232"/>
  <c r="B14" i="232"/>
  <c r="B16" i="232"/>
  <c r="E23" i="232"/>
  <c r="B81" i="260"/>
  <c r="B121" i="260" s="1"/>
  <c r="B85" i="260"/>
  <c r="B125" i="260" s="1"/>
  <c r="B84" i="260"/>
  <c r="B124" i="260" s="1"/>
  <c r="B80" i="260"/>
  <c r="B120" i="260" s="1"/>
  <c r="B78" i="260"/>
  <c r="B118" i="260" s="1"/>
  <c r="B77" i="260"/>
  <c r="B117" i="260" s="1"/>
  <c r="B76" i="260"/>
  <c r="B116" i="260" s="1"/>
  <c r="B71" i="260"/>
  <c r="B111" i="260" s="1"/>
  <c r="B75" i="260"/>
  <c r="B115" i="260" s="1"/>
  <c r="B74" i="260"/>
  <c r="B114" i="260" s="1"/>
  <c r="B70" i="260"/>
  <c r="B110" i="260" s="1"/>
  <c r="B67" i="260"/>
  <c r="B107" i="260" s="1"/>
  <c r="AT7" i="238"/>
  <c r="AR7" i="238"/>
  <c r="AP7" i="238"/>
  <c r="AN7" i="238"/>
  <c r="AL7" i="238"/>
  <c r="AJ7" i="238"/>
  <c r="E16" i="232"/>
  <c r="E22" i="232"/>
  <c r="E14" i="232"/>
  <c r="E12" i="232"/>
  <c r="E9" i="232"/>
  <c r="E6" i="232"/>
  <c r="D8" i="221"/>
  <c r="D16" i="221" s="1"/>
  <c r="D7" i="221"/>
  <c r="D15" i="221" s="1"/>
  <c r="D6" i="221"/>
  <c r="D14" i="221" s="1"/>
  <c r="D5" i="221"/>
  <c r="D13" i="221" s="1"/>
  <c r="B8" i="221"/>
  <c r="B7" i="221"/>
  <c r="B6" i="221"/>
  <c r="B5" i="221"/>
  <c r="C22" i="232" l="1"/>
  <c r="C14" i="232"/>
  <c r="C11" i="232"/>
  <c r="B9" i="221"/>
  <c r="K25" i="264" a="1"/>
  <c r="K25" i="264" s="1"/>
  <c r="W25" i="264" s="1"/>
  <c r="M25" i="264" a="1"/>
  <c r="M25" i="264" s="1"/>
  <c r="Y25" i="264" s="1"/>
  <c r="L11" i="264" a="1"/>
  <c r="L11" i="264" s="1"/>
  <c r="X11" i="264" s="1"/>
  <c r="M11" i="264" a="1"/>
  <c r="M11" i="264" s="1"/>
  <c r="Y11" i="264" s="1"/>
  <c r="N32" i="264" a="1"/>
  <c r="N32" i="264" s="1"/>
  <c r="Z32" i="264" s="1"/>
  <c r="K11" i="264" a="1"/>
  <c r="K11" i="264" s="1"/>
  <c r="W11" i="264" s="1"/>
  <c r="P11" i="264" a="1"/>
  <c r="P11" i="264" s="1"/>
  <c r="AB11" i="264" s="1"/>
  <c r="M17" i="264" a="1"/>
  <c r="M17" i="264" s="1"/>
  <c r="Y17" i="264" s="1"/>
  <c r="N30" i="264" a="1"/>
  <c r="N30" i="264" s="1"/>
  <c r="M18" i="264" a="1"/>
  <c r="M18" i="264" s="1"/>
  <c r="Y18" i="264" s="1"/>
  <c r="K16" i="264" a="1"/>
  <c r="K16" i="264" s="1"/>
  <c r="K23" i="264" a="1"/>
  <c r="K23" i="264" s="1"/>
  <c r="P32" i="264" a="1"/>
  <c r="P32" i="264" s="1"/>
  <c r="AB32" i="264" s="1"/>
  <c r="P16" i="264" a="1"/>
  <c r="P16" i="264" s="1"/>
  <c r="P24" i="264" a="1"/>
  <c r="P24" i="264" s="1"/>
  <c r="AB24" i="264" s="1"/>
  <c r="P25" i="264" a="1"/>
  <c r="P25" i="264" s="1"/>
  <c r="AB25" i="264" s="1"/>
  <c r="M32" i="264" a="1"/>
  <c r="M32" i="264" s="1"/>
  <c r="Y32" i="264" s="1"/>
  <c r="N9" i="264" a="1"/>
  <c r="N9" i="264" s="1"/>
  <c r="M23" i="264" a="1"/>
  <c r="M23" i="264" s="1"/>
  <c r="K10" i="264" a="1"/>
  <c r="K10" i="264" s="1"/>
  <c r="W10" i="264" s="1"/>
  <c r="L23" i="264" a="1"/>
  <c r="L23" i="264" s="1"/>
  <c r="K31" i="264" a="1"/>
  <c r="K31" i="264" s="1"/>
  <c r="W31" i="264" s="1"/>
  <c r="M10" i="264" a="1"/>
  <c r="M10" i="264" s="1"/>
  <c r="Y10" i="264" s="1"/>
  <c r="N25" i="264" a="1"/>
  <c r="N25" i="264" s="1"/>
  <c r="Z25" i="264" s="1"/>
  <c r="M16" i="264" a="1"/>
  <c r="M16" i="264" s="1"/>
  <c r="N17" i="264" a="1"/>
  <c r="N17" i="264" s="1"/>
  <c r="Z17" i="264" s="1"/>
  <c r="N11" i="264" a="1"/>
  <c r="N11" i="264" s="1"/>
  <c r="Z11" i="264" s="1"/>
  <c r="O25" i="264" a="1"/>
  <c r="O25" i="264" s="1"/>
  <c r="AA25" i="264" s="1"/>
  <c r="N18" i="264" a="1"/>
  <c r="N18" i="264" s="1"/>
  <c r="Z18" i="264" s="1"/>
  <c r="N31" i="264" a="1"/>
  <c r="N31" i="264" s="1"/>
  <c r="Z31" i="264" s="1"/>
  <c r="K17" i="264" a="1"/>
  <c r="K17" i="264" s="1"/>
  <c r="W17" i="264" s="1"/>
  <c r="P30" i="264" a="1"/>
  <c r="P30" i="264" s="1"/>
  <c r="K24" i="264" a="1"/>
  <c r="K24" i="264" s="1"/>
  <c r="W24" i="264" s="1"/>
  <c r="M30" i="264" a="1"/>
  <c r="M30" i="264" s="1"/>
  <c r="P17" i="264" a="1"/>
  <c r="P17" i="264" s="1"/>
  <c r="AB17" i="264" s="1"/>
  <c r="L9" i="264" a="1"/>
  <c r="L9" i="264" s="1"/>
  <c r="N10" i="264" a="1"/>
  <c r="N10" i="264" s="1"/>
  <c r="Z10" i="264" s="1"/>
  <c r="M9" i="264" a="1"/>
  <c r="M9" i="264" s="1"/>
  <c r="M24" i="264" a="1"/>
  <c r="M24" i="264" s="1"/>
  <c r="Y24" i="264" s="1"/>
  <c r="P9" i="264" a="1"/>
  <c r="P9" i="264" s="1"/>
  <c r="L24" i="264" a="1"/>
  <c r="L24" i="264" s="1"/>
  <c r="X24" i="264" s="1"/>
  <c r="P10" i="264" a="1"/>
  <c r="P10" i="264" s="1"/>
  <c r="AB10" i="264" s="1"/>
  <c r="P18" i="264" a="1"/>
  <c r="P18" i="264" s="1"/>
  <c r="AB18" i="264" s="1"/>
  <c r="O9" i="264" a="1"/>
  <c r="O9" i="264" s="1"/>
  <c r="L25" i="264" a="1"/>
  <c r="L25" i="264" s="1"/>
  <c r="X25" i="264" s="1"/>
  <c r="N24" i="264" a="1"/>
  <c r="N24" i="264" s="1"/>
  <c r="Z24" i="264" s="1"/>
  <c r="P23" i="264" a="1"/>
  <c r="P23" i="264" s="1"/>
  <c r="O24" i="264" a="1"/>
  <c r="O24" i="264" s="1"/>
  <c r="AA24" i="264" s="1"/>
  <c r="K9" i="264" a="1"/>
  <c r="K9" i="264" s="1"/>
  <c r="K32" i="264" a="1"/>
  <c r="K32" i="264" s="1"/>
  <c r="W32" i="264" s="1"/>
  <c r="O11" i="264" a="1"/>
  <c r="O11" i="264" s="1"/>
  <c r="AA11" i="264" s="1"/>
  <c r="N23" i="264" a="1"/>
  <c r="N23" i="264" s="1"/>
  <c r="K18" i="264" a="1"/>
  <c r="K18" i="264" s="1"/>
  <c r="W18" i="264" s="1"/>
  <c r="P31" i="264" a="1"/>
  <c r="P31" i="264" s="1"/>
  <c r="AB31" i="264" s="1"/>
  <c r="M31" i="264" a="1"/>
  <c r="M31" i="264" s="1"/>
  <c r="Y31" i="264" s="1"/>
  <c r="O23" i="264" a="1"/>
  <c r="O23" i="264" s="1"/>
  <c r="N16" i="264" a="1"/>
  <c r="N16" i="264" s="1"/>
  <c r="L10" i="264" a="1"/>
  <c r="L10" i="264" s="1"/>
  <c r="X10" i="264" s="1"/>
  <c r="K30" i="264" a="1"/>
  <c r="K30" i="264" s="1"/>
  <c r="O10" i="264" a="1"/>
  <c r="O10" i="264" s="1"/>
  <c r="AA10" i="264" s="1"/>
  <c r="O31" i="264" a="1"/>
  <c r="O31" i="264" s="1"/>
  <c r="AA31" i="264" s="1"/>
  <c r="O18" i="264" a="1"/>
  <c r="O18" i="264" s="1"/>
  <c r="AA18" i="264" s="1"/>
  <c r="L32" i="264" a="1"/>
  <c r="L32" i="264" s="1"/>
  <c r="X32" i="264" s="1"/>
  <c r="L18" i="264" a="1"/>
  <c r="L18" i="264" s="1"/>
  <c r="X18" i="264" s="1"/>
  <c r="O16" i="264" a="1"/>
  <c r="O16" i="264" s="1"/>
  <c r="L30" i="264" a="1"/>
  <c r="L30" i="264" s="1"/>
  <c r="L17" i="264" a="1"/>
  <c r="L17" i="264" s="1"/>
  <c r="X17" i="264" s="1"/>
  <c r="O32" i="264" a="1"/>
  <c r="O32" i="264" s="1"/>
  <c r="AA32" i="264" s="1"/>
  <c r="L16" i="264" a="1"/>
  <c r="L16" i="264" s="1"/>
  <c r="O30" i="264" a="1"/>
  <c r="O30" i="264" s="1"/>
  <c r="O17" i="264" a="1"/>
  <c r="O17" i="264" s="1"/>
  <c r="AA17" i="264" s="1"/>
  <c r="L31" i="264" a="1"/>
  <c r="L31" i="264" s="1"/>
  <c r="X31" i="264" s="1"/>
  <c r="B197" i="260"/>
  <c r="B157" i="260"/>
  <c r="B200" i="260"/>
  <c r="B160" i="260"/>
  <c r="B205" i="260"/>
  <c r="B165" i="260"/>
  <c r="B198" i="260"/>
  <c r="B158" i="260"/>
  <c r="B187" i="260"/>
  <c r="B147" i="260"/>
  <c r="B196" i="260"/>
  <c r="B156" i="260"/>
  <c r="B201" i="260"/>
  <c r="B161" i="260"/>
  <c r="B190" i="260"/>
  <c r="B150" i="260"/>
  <c r="B191" i="260"/>
  <c r="B151" i="260"/>
  <c r="B204" i="260"/>
  <c r="B164" i="260"/>
  <c r="B194" i="260"/>
  <c r="B154" i="260"/>
  <c r="B195" i="260"/>
  <c r="B155" i="260"/>
  <c r="B188" i="260"/>
  <c r="B148" i="260"/>
  <c r="B21" i="270"/>
  <c r="B17" i="270"/>
  <c r="B14" i="221"/>
  <c r="B10" i="221"/>
  <c r="B15" i="221"/>
  <c r="B11" i="221"/>
  <c r="B16" i="221"/>
  <c r="B12" i="221"/>
  <c r="H10" i="264" a="1"/>
  <c r="H10" i="264" s="1"/>
  <c r="T10" i="264" s="1"/>
  <c r="H17" i="264" a="1"/>
  <c r="H17" i="264" s="1"/>
  <c r="T17" i="264" s="1"/>
  <c r="H9" i="264" a="1"/>
  <c r="H9" i="264" s="1"/>
  <c r="J9" i="264" a="1"/>
  <c r="J9" i="264" s="1"/>
  <c r="I9" i="264" a="1"/>
  <c r="I9" i="264" s="1"/>
  <c r="J23" i="264" a="1"/>
  <c r="J23" i="264" s="1"/>
  <c r="H16" i="264" a="1"/>
  <c r="H16" i="264" s="1"/>
  <c r="I23" i="264" a="1"/>
  <c r="I23" i="264" s="1"/>
  <c r="H23" i="264" a="1"/>
  <c r="H23" i="264" s="1"/>
  <c r="I30" i="264" a="1"/>
  <c r="I30" i="264" s="1"/>
  <c r="H30" i="264" a="1"/>
  <c r="H30" i="264" s="1"/>
  <c r="J30" i="264" a="1"/>
  <c r="J30" i="264" s="1"/>
  <c r="J16" i="264" a="1"/>
  <c r="J16" i="264" s="1"/>
  <c r="I16" i="264" a="1"/>
  <c r="I16" i="264" s="1"/>
  <c r="J24" i="264" a="1"/>
  <c r="J24" i="264" s="1"/>
  <c r="V24" i="264" s="1"/>
  <c r="H24" i="264" a="1"/>
  <c r="H24" i="264" s="1"/>
  <c r="T24" i="264" s="1"/>
  <c r="J31" i="264" a="1"/>
  <c r="J31" i="264" s="1"/>
  <c r="V31" i="264" s="1"/>
  <c r="I24" i="264" a="1"/>
  <c r="I24" i="264" s="1"/>
  <c r="U24" i="264" s="1"/>
  <c r="H31" i="264" a="1"/>
  <c r="H31" i="264" s="1"/>
  <c r="T31" i="264" s="1"/>
  <c r="J17" i="264" a="1"/>
  <c r="J17" i="264" s="1"/>
  <c r="V17" i="264" s="1"/>
  <c r="I31" i="264" a="1"/>
  <c r="I31" i="264" s="1"/>
  <c r="U31" i="264" s="1"/>
  <c r="J10" i="264" a="1"/>
  <c r="J10" i="264" s="1"/>
  <c r="V10" i="264" s="1"/>
  <c r="I10" i="264" a="1"/>
  <c r="I10" i="264" s="1"/>
  <c r="U10" i="264" s="1"/>
  <c r="I17" i="264" a="1"/>
  <c r="I17" i="264" s="1"/>
  <c r="U17" i="264" s="1"/>
  <c r="I11" i="264" a="1"/>
  <c r="I11" i="264" s="1"/>
  <c r="I25" i="264" a="1"/>
  <c r="I25" i="264" s="1"/>
  <c r="H18" i="264" a="1"/>
  <c r="H18" i="264" s="1"/>
  <c r="J25" i="264" a="1"/>
  <c r="J25" i="264" s="1"/>
  <c r="I18" i="264" a="1"/>
  <c r="I18" i="264" s="1"/>
  <c r="J18" i="264" a="1"/>
  <c r="J18" i="264" s="1"/>
  <c r="I32" i="264" a="1"/>
  <c r="I32" i="264" s="1"/>
  <c r="H11" i="264" a="1"/>
  <c r="H11" i="264" s="1"/>
  <c r="J32" i="264" a="1"/>
  <c r="J32" i="264" s="1"/>
  <c r="J11" i="264" a="1"/>
  <c r="J11" i="264" s="1"/>
  <c r="H25" i="264" a="1"/>
  <c r="H25" i="264" s="1"/>
  <c r="H32" i="264" a="1"/>
  <c r="H32" i="264" s="1"/>
  <c r="B9" i="232"/>
  <c r="B13" i="221"/>
  <c r="B58" i="260"/>
  <c r="B98" i="260" s="1"/>
  <c r="B64" i="260"/>
  <c r="B104" i="260" s="1"/>
  <c r="B60" i="260"/>
  <c r="B100" i="260" s="1"/>
  <c r="B47" i="260"/>
  <c r="B87" i="260" s="1"/>
  <c r="B65" i="260"/>
  <c r="B105" i="260" s="1"/>
  <c r="B50" i="260"/>
  <c r="B90" i="260" s="1"/>
  <c r="B55" i="260"/>
  <c r="B95" i="260" s="1"/>
  <c r="B51" i="260"/>
  <c r="B91" i="260" s="1"/>
  <c r="B54" i="260"/>
  <c r="B94" i="260" s="1"/>
  <c r="B56" i="260"/>
  <c r="B96" i="260" s="1"/>
  <c r="B61" i="260"/>
  <c r="B101" i="260" s="1"/>
  <c r="B57" i="260"/>
  <c r="B97" i="260" s="1"/>
  <c r="B48" i="260"/>
  <c r="B88" i="260" s="1"/>
  <c r="C8" i="221"/>
  <c r="C7" i="221"/>
  <c r="C6" i="221"/>
  <c r="C5" i="221"/>
  <c r="C6" i="232"/>
  <c r="B6" i="232"/>
  <c r="W30" i="264" l="1"/>
  <c r="AL31" i="264"/>
  <c r="AB23" i="264"/>
  <c r="AQ24" i="264"/>
  <c r="AT24" i="264"/>
  <c r="Y23" i="264"/>
  <c r="AN24" i="264"/>
  <c r="W16" i="264"/>
  <c r="AL17" i="264"/>
  <c r="AL16" i="264" s="1"/>
  <c r="AA30" i="264"/>
  <c r="AP31" i="264"/>
  <c r="AS31" i="264"/>
  <c r="X30" i="264"/>
  <c r="AM31" i="264"/>
  <c r="Y9" i="264"/>
  <c r="AN10" i="264"/>
  <c r="Y30" i="264"/>
  <c r="AN31" i="264"/>
  <c r="Z9" i="264"/>
  <c r="AR10" i="264"/>
  <c r="AO10" i="264"/>
  <c r="AB16" i="264"/>
  <c r="AQ17" i="264"/>
  <c r="AT17" i="264"/>
  <c r="X16" i="264"/>
  <c r="AM17" i="264"/>
  <c r="AM16" i="264" s="1"/>
  <c r="AA16" i="264"/>
  <c r="AS17" i="264"/>
  <c r="AP17" i="264"/>
  <c r="Z16" i="264"/>
  <c r="AO17" i="264"/>
  <c r="AR17" i="264"/>
  <c r="W9" i="264"/>
  <c r="AL10" i="264"/>
  <c r="AL9" i="264" s="1"/>
  <c r="Y16" i="264"/>
  <c r="AN17" i="264"/>
  <c r="AN16" i="264" s="1"/>
  <c r="X23" i="264"/>
  <c r="AM24" i="264"/>
  <c r="Z30" i="264"/>
  <c r="AO31" i="264"/>
  <c r="AR31" i="264"/>
  <c r="AA23" i="264"/>
  <c r="AP24" i="264"/>
  <c r="AS24" i="264"/>
  <c r="Z23" i="264"/>
  <c r="AO24" i="264"/>
  <c r="AR24" i="264"/>
  <c r="AA9" i="264"/>
  <c r="AS10" i="264"/>
  <c r="AP10" i="264"/>
  <c r="AB9" i="264"/>
  <c r="AT10" i="264"/>
  <c r="AQ10" i="264"/>
  <c r="X9" i="264"/>
  <c r="AM10" i="264"/>
  <c r="AB30" i="264"/>
  <c r="AQ31" i="264"/>
  <c r="AT31" i="264"/>
  <c r="W23" i="264"/>
  <c r="AL24" i="264"/>
  <c r="B171" i="260"/>
  <c r="B131" i="260"/>
  <c r="B177" i="260"/>
  <c r="B137" i="260"/>
  <c r="B170" i="260"/>
  <c r="B130" i="260"/>
  <c r="B181" i="260"/>
  <c r="B141" i="260"/>
  <c r="B180" i="260"/>
  <c r="B140" i="260"/>
  <c r="B167" i="260"/>
  <c r="B127" i="260"/>
  <c r="B185" i="260"/>
  <c r="B145" i="260"/>
  <c r="B174" i="260"/>
  <c r="B134" i="260"/>
  <c r="B184" i="260"/>
  <c r="B144" i="260"/>
  <c r="B178" i="260"/>
  <c r="B138" i="260"/>
  <c r="B175" i="260"/>
  <c r="B135" i="260"/>
  <c r="B176" i="260"/>
  <c r="B136" i="260"/>
  <c r="B168" i="260"/>
  <c r="B128" i="260"/>
  <c r="C15" i="221"/>
  <c r="C11" i="221"/>
  <c r="C14" i="221"/>
  <c r="C10" i="221"/>
  <c r="C13" i="221"/>
  <c r="C9" i="221"/>
  <c r="C16" i="221"/>
  <c r="C12" i="221"/>
  <c r="T18" i="264"/>
  <c r="BA18" i="264"/>
  <c r="Q18" i="264"/>
  <c r="AC18" i="264" s="1"/>
  <c r="U25" i="264"/>
  <c r="R25" i="264"/>
  <c r="AD25" i="264" s="1"/>
  <c r="BB25" i="264"/>
  <c r="R11" i="264"/>
  <c r="AD11" i="264" s="1"/>
  <c r="U11" i="264"/>
  <c r="BB11" i="264"/>
  <c r="BB17" i="264"/>
  <c r="R17" i="264"/>
  <c r="AD17" i="264" s="1"/>
  <c r="BA10" i="264"/>
  <c r="Q10" i="264"/>
  <c r="AC10" i="264" s="1"/>
  <c r="BB10" i="264"/>
  <c r="R10" i="264"/>
  <c r="AD10" i="264" s="1"/>
  <c r="V25" i="264"/>
  <c r="BC25" i="264"/>
  <c r="S25" i="264"/>
  <c r="AE25" i="264" s="1"/>
  <c r="S10" i="264"/>
  <c r="AE10" i="264" s="1"/>
  <c r="BC10" i="264"/>
  <c r="BB31" i="264"/>
  <c r="R31" i="264"/>
  <c r="AD31" i="264" s="1"/>
  <c r="BC17" i="264"/>
  <c r="S17" i="264"/>
  <c r="AE17" i="264" s="1"/>
  <c r="Q31" i="264"/>
  <c r="AC31" i="264" s="1"/>
  <c r="BA31" i="264"/>
  <c r="R24" i="264"/>
  <c r="AD24" i="264" s="1"/>
  <c r="BB24" i="264"/>
  <c r="S31" i="264"/>
  <c r="AE31" i="264" s="1"/>
  <c r="BC31" i="264"/>
  <c r="BA24" i="264"/>
  <c r="Q24" i="264"/>
  <c r="AC24" i="264" s="1"/>
  <c r="BC24" i="264"/>
  <c r="S24" i="264"/>
  <c r="AE24" i="264" s="1"/>
  <c r="BA17" i="264"/>
  <c r="Q17" i="264"/>
  <c r="AC17" i="264" s="1"/>
  <c r="R16" i="264"/>
  <c r="U16" i="264"/>
  <c r="BB16" i="264"/>
  <c r="AJ17" i="264"/>
  <c r="S16" i="264"/>
  <c r="BC16" i="264"/>
  <c r="V16" i="264"/>
  <c r="AK17" i="264"/>
  <c r="V30" i="264"/>
  <c r="BC30" i="264"/>
  <c r="S30" i="264"/>
  <c r="AK31" i="264"/>
  <c r="T30" i="264"/>
  <c r="BA30" i="264"/>
  <c r="Q30" i="264"/>
  <c r="AI31" i="264"/>
  <c r="T32" i="264"/>
  <c r="BA32" i="264"/>
  <c r="Q32" i="264"/>
  <c r="AC32" i="264" s="1"/>
  <c r="U30" i="264"/>
  <c r="BB30" i="264"/>
  <c r="R30" i="264"/>
  <c r="AJ31" i="264"/>
  <c r="T25" i="264"/>
  <c r="BA25" i="264"/>
  <c r="Q25" i="264"/>
  <c r="AC25" i="264" s="1"/>
  <c r="T23" i="264"/>
  <c r="BA23" i="264"/>
  <c r="Q23" i="264"/>
  <c r="AI24" i="264"/>
  <c r="BC11" i="264"/>
  <c r="V11" i="264"/>
  <c r="S11" i="264"/>
  <c r="AE11" i="264" s="1"/>
  <c r="U23" i="264"/>
  <c r="BB23" i="264"/>
  <c r="R23" i="264"/>
  <c r="AJ24" i="264"/>
  <c r="V32" i="264"/>
  <c r="BC32" i="264"/>
  <c r="S32" i="264"/>
  <c r="AE32" i="264" s="1"/>
  <c r="Q16" i="264"/>
  <c r="T16" i="264"/>
  <c r="BA16" i="264"/>
  <c r="BA11" i="264"/>
  <c r="T11" i="264"/>
  <c r="Q11" i="264"/>
  <c r="AC11" i="264" s="1"/>
  <c r="V23" i="264"/>
  <c r="BC23" i="264"/>
  <c r="S23" i="264"/>
  <c r="AK24" i="264"/>
  <c r="U32" i="264"/>
  <c r="BB32" i="264"/>
  <c r="R32" i="264"/>
  <c r="AD32" i="264" s="1"/>
  <c r="R9" i="264"/>
  <c r="U9" i="264"/>
  <c r="BB9" i="264"/>
  <c r="AJ10" i="264"/>
  <c r="V18" i="264"/>
  <c r="BC18" i="264"/>
  <c r="S18" i="264"/>
  <c r="AE18" i="264" s="1"/>
  <c r="S9" i="264"/>
  <c r="V9" i="264"/>
  <c r="BC9" i="264"/>
  <c r="AK10" i="264"/>
  <c r="BB18" i="264"/>
  <c r="R18" i="264"/>
  <c r="AD18" i="264" s="1"/>
  <c r="U18" i="264"/>
  <c r="T9" i="264"/>
  <c r="BA9" i="264"/>
  <c r="Q9" i="264"/>
  <c r="AB20" i="260"/>
  <c r="I20" i="260" l="1"/>
  <c r="T20" i="260" s="1"/>
  <c r="AR23" i="264"/>
  <c r="AR25" i="264"/>
  <c r="AT11" i="264"/>
  <c r="AT9" i="264"/>
  <c r="AS23" i="264"/>
  <c r="AS25" i="264"/>
  <c r="AR32" i="264"/>
  <c r="AR30" i="264"/>
  <c r="AR79" i="264"/>
  <c r="AR77" i="264"/>
  <c r="AR76" i="264" s="1"/>
  <c r="AR80" i="264"/>
  <c r="AR78" i="264"/>
  <c r="AS78" i="264"/>
  <c r="AT78" i="264"/>
  <c r="AT80" i="264"/>
  <c r="AT77" i="264"/>
  <c r="AT76" i="264" s="1"/>
  <c r="AT79" i="264"/>
  <c r="AS77" i="264"/>
  <c r="AS76" i="264" s="1"/>
  <c r="AS80" i="264"/>
  <c r="AS79" i="264"/>
  <c r="AT18" i="264"/>
  <c r="AT16" i="264"/>
  <c r="AT70" i="264"/>
  <c r="AT69" i="264" s="1"/>
  <c r="AR70" i="264"/>
  <c r="AR69" i="264" s="1"/>
  <c r="AT73" i="264"/>
  <c r="AS70" i="264"/>
  <c r="AS69" i="264" s="1"/>
  <c r="AS72" i="264"/>
  <c r="AS73" i="264"/>
  <c r="AT72" i="264"/>
  <c r="AR71" i="264"/>
  <c r="AR73" i="264"/>
  <c r="AS71" i="264"/>
  <c r="AT71" i="264"/>
  <c r="AR72" i="264"/>
  <c r="BE17" i="264"/>
  <c r="AQ18" i="264"/>
  <c r="AQ16" i="264"/>
  <c r="AP71" i="264"/>
  <c r="AQ70" i="264"/>
  <c r="AQ69" i="264" s="1"/>
  <c r="AO73" i="264"/>
  <c r="AQ71" i="264"/>
  <c r="AP70" i="264"/>
  <c r="AP69" i="264" s="1"/>
  <c r="AQ72" i="264"/>
  <c r="AO72" i="264"/>
  <c r="AO71" i="264"/>
  <c r="AQ73" i="264"/>
  <c r="AP72" i="264"/>
  <c r="AO70" i="264"/>
  <c r="AO69" i="264" s="1"/>
  <c r="AP73" i="264"/>
  <c r="AO23" i="264"/>
  <c r="AO25" i="264"/>
  <c r="AQ80" i="264"/>
  <c r="AO80" i="264"/>
  <c r="AQ78" i="264"/>
  <c r="AP77" i="264"/>
  <c r="AP76" i="264" s="1"/>
  <c r="AP80" i="264"/>
  <c r="AO77" i="264"/>
  <c r="AO76" i="264" s="1"/>
  <c r="AO79" i="264"/>
  <c r="AP79" i="264"/>
  <c r="AO78" i="264"/>
  <c r="AQ77" i="264"/>
  <c r="AQ76" i="264" s="1"/>
  <c r="AP78" i="264"/>
  <c r="AQ79" i="264"/>
  <c r="AC30" i="264"/>
  <c r="AC9" i="264"/>
  <c r="AM80" i="264"/>
  <c r="AL80" i="264"/>
  <c r="AN80" i="264"/>
  <c r="AN79" i="264"/>
  <c r="AM77" i="264"/>
  <c r="AM76" i="264" s="1"/>
  <c r="AM79" i="264"/>
  <c r="AL77" i="264"/>
  <c r="AL76" i="264" s="1"/>
  <c r="AL79" i="264"/>
  <c r="AN78" i="264"/>
  <c r="AL78" i="264"/>
  <c r="AM78" i="264"/>
  <c r="AN77" i="264"/>
  <c r="AN76" i="264" s="1"/>
  <c r="AC16" i="264"/>
  <c r="AD23" i="264"/>
  <c r="AE30" i="264"/>
  <c r="AE9" i="264"/>
  <c r="AL71" i="264"/>
  <c r="AN72" i="264"/>
  <c r="AM72" i="264"/>
  <c r="AN70" i="264"/>
  <c r="AN69" i="264" s="1"/>
  <c r="AN71" i="264"/>
  <c r="AL70" i="264"/>
  <c r="AL69" i="264" s="1"/>
  <c r="AN73" i="264"/>
  <c r="AM73" i="264"/>
  <c r="AL73" i="264"/>
  <c r="AM70" i="264"/>
  <c r="AM69" i="264" s="1"/>
  <c r="AM71" i="264"/>
  <c r="AL72" i="264"/>
  <c r="AD16" i="264"/>
  <c r="AD9" i="264"/>
  <c r="AE16" i="264"/>
  <c r="AD30" i="264"/>
  <c r="AE23" i="264"/>
  <c r="AC23" i="264"/>
  <c r="BF17" i="264"/>
  <c r="BE24" i="264"/>
  <c r="BE10" i="264"/>
  <c r="BF24" i="264"/>
  <c r="BE31" i="264"/>
  <c r="AI73" i="264"/>
  <c r="BD59" i="264" s="1"/>
  <c r="AJ73" i="264"/>
  <c r="BE59" i="264" s="1"/>
  <c r="AI71" i="264"/>
  <c r="BD57" i="264" s="1"/>
  <c r="AJ72" i="264"/>
  <c r="BE58" i="264" s="1"/>
  <c r="AK73" i="264"/>
  <c r="BF59" i="264" s="1"/>
  <c r="AJ71" i="264"/>
  <c r="BE57" i="264" s="1"/>
  <c r="AK72" i="264"/>
  <c r="BF58" i="264" s="1"/>
  <c r="AI70" i="264"/>
  <c r="AK70" i="264"/>
  <c r="AJ70" i="264"/>
  <c r="AI72" i="264"/>
  <c r="BD58" i="264" s="1"/>
  <c r="AK71" i="264"/>
  <c r="BF57" i="264" s="1"/>
  <c r="AK25" i="264"/>
  <c r="BF25" i="264" s="1"/>
  <c r="AJ80" i="264"/>
  <c r="BE80" i="264" s="1"/>
  <c r="AI78" i="264"/>
  <c r="BD78" i="264" s="1"/>
  <c r="AK80" i="264"/>
  <c r="BF80" i="264" s="1"/>
  <c r="AJ77" i="264"/>
  <c r="AK78" i="264"/>
  <c r="BF78" i="264" s="1"/>
  <c r="AI79" i="264"/>
  <c r="BD79" i="264" s="1"/>
  <c r="AJ78" i="264"/>
  <c r="BE78" i="264" s="1"/>
  <c r="AI80" i="264"/>
  <c r="BD80" i="264" s="1"/>
  <c r="AK79" i="264"/>
  <c r="BF79" i="264" s="1"/>
  <c r="AI77" i="264"/>
  <c r="AJ79" i="264"/>
  <c r="BE79" i="264" s="1"/>
  <c r="AK77" i="264"/>
  <c r="BD31" i="264"/>
  <c r="BF31" i="264"/>
  <c r="BF10" i="264"/>
  <c r="AJ30" i="264"/>
  <c r="BE30" i="264" s="1"/>
  <c r="AJ32" i="264"/>
  <c r="BE32" i="264" s="1"/>
  <c r="AK23" i="264"/>
  <c r="BF23" i="264" s="1"/>
  <c r="AK11" i="264"/>
  <c r="BF11" i="264" s="1"/>
  <c r="AK9" i="264"/>
  <c r="BF9" i="264" s="1"/>
  <c r="AJ11" i="264"/>
  <c r="BE11" i="264" s="1"/>
  <c r="AJ9" i="264"/>
  <c r="BE9" i="264" s="1"/>
  <c r="AJ25" i="264"/>
  <c r="BE25" i="264" s="1"/>
  <c r="AJ23" i="264"/>
  <c r="BE23" i="264" s="1"/>
  <c r="AK32" i="264"/>
  <c r="BF32" i="264" s="1"/>
  <c r="AK30" i="264"/>
  <c r="BF30" i="264" s="1"/>
  <c r="AB21" i="260"/>
  <c r="AI17" i="264" l="1"/>
  <c r="AL63" i="264" s="1"/>
  <c r="AL62" i="264" s="1"/>
  <c r="I21" i="260"/>
  <c r="T21" i="260" s="1"/>
  <c r="AT30" i="264"/>
  <c r="AT32" i="264"/>
  <c r="AR18" i="264"/>
  <c r="AR16" i="264"/>
  <c r="AR9" i="264"/>
  <c r="AR11" i="264"/>
  <c r="AS30" i="264"/>
  <c r="AS32" i="264"/>
  <c r="AT25" i="264"/>
  <c r="AT23" i="264"/>
  <c r="AS11" i="264"/>
  <c r="AS9" i="264"/>
  <c r="AS18" i="264"/>
  <c r="AS16" i="264"/>
  <c r="AO32" i="264"/>
  <c r="AO30" i="264"/>
  <c r="AP32" i="264"/>
  <c r="AP30" i="264"/>
  <c r="AP18" i="264"/>
  <c r="AP16" i="264"/>
  <c r="AP23" i="264"/>
  <c r="AP25" i="264"/>
  <c r="AO18" i="264"/>
  <c r="AO16" i="264"/>
  <c r="AQ32" i="264"/>
  <c r="AQ30" i="264"/>
  <c r="AQ23" i="264"/>
  <c r="AQ25" i="264"/>
  <c r="AO9" i="264"/>
  <c r="AO11" i="264"/>
  <c r="AP9" i="264"/>
  <c r="AP11" i="264"/>
  <c r="AQ9" i="264"/>
  <c r="AQ11" i="264"/>
  <c r="AN11" i="264"/>
  <c r="AN9" i="264"/>
  <c r="AL18" i="264"/>
  <c r="AM25" i="264"/>
  <c r="AM23" i="264"/>
  <c r="AN32" i="264"/>
  <c r="AN30" i="264"/>
  <c r="AM32" i="264"/>
  <c r="AM30" i="264"/>
  <c r="AL25" i="264"/>
  <c r="AL23" i="264"/>
  <c r="AM18" i="264"/>
  <c r="AN25" i="264"/>
  <c r="AN23" i="264"/>
  <c r="AM9" i="264"/>
  <c r="AM11" i="264"/>
  <c r="AL11" i="264"/>
  <c r="AN18" i="264"/>
  <c r="AL32" i="264"/>
  <c r="AL30" i="264"/>
  <c r="AI76" i="264"/>
  <c r="BD76" i="264" s="1"/>
  <c r="BD77" i="264"/>
  <c r="BD56" i="264"/>
  <c r="AI69" i="264"/>
  <c r="BD69" i="264" s="1"/>
  <c r="BE77" i="264"/>
  <c r="AJ76" i="264"/>
  <c r="BE76" i="264" s="1"/>
  <c r="BF77" i="264"/>
  <c r="AK76" i="264"/>
  <c r="BF76" i="264" s="1"/>
  <c r="BF56" i="264"/>
  <c r="AK69" i="264"/>
  <c r="BF69" i="264" s="1"/>
  <c r="BE56" i="264"/>
  <c r="AJ69" i="264"/>
  <c r="BE69" i="264" s="1"/>
  <c r="BE40" i="264"/>
  <c r="BE42" i="264" s="1"/>
  <c r="BF40" i="264"/>
  <c r="BF42" i="264" s="1"/>
  <c r="AJ18" i="264"/>
  <c r="BE18" i="264" s="1"/>
  <c r="AJ16" i="264"/>
  <c r="BE16" i="264" s="1"/>
  <c r="AK18" i="264"/>
  <c r="BF18" i="264" s="1"/>
  <c r="AK16" i="264"/>
  <c r="BF16" i="264" s="1"/>
  <c r="AB9" i="260"/>
  <c r="I9" i="260" l="1"/>
  <c r="T9" i="260" s="1"/>
  <c r="AP63" i="264"/>
  <c r="AP62" i="264" s="1"/>
  <c r="AO66" i="264"/>
  <c r="AO65" i="264"/>
  <c r="AP66" i="264"/>
  <c r="AQ66" i="264"/>
  <c r="AN66" i="264"/>
  <c r="AQ64" i="264"/>
  <c r="AN63" i="264"/>
  <c r="AN62" i="264" s="1"/>
  <c r="AI18" i="264"/>
  <c r="AL66" i="264"/>
  <c r="AP64" i="264"/>
  <c r="AO63" i="264"/>
  <c r="AO62" i="264" s="1"/>
  <c r="AT64" i="264"/>
  <c r="AM64" i="264"/>
  <c r="AN64" i="264"/>
  <c r="AL64" i="264"/>
  <c r="AP65" i="264"/>
  <c r="AO64" i="264"/>
  <c r="AT63" i="264"/>
  <c r="AT62" i="264" s="1"/>
  <c r="AS65" i="264"/>
  <c r="AR65" i="264"/>
  <c r="AT66" i="264"/>
  <c r="AS63" i="264"/>
  <c r="AS62" i="264" s="1"/>
  <c r="AS66" i="264"/>
  <c r="AN65" i="264"/>
  <c r="AT65" i="264"/>
  <c r="AR64" i="264"/>
  <c r="AR63" i="264"/>
  <c r="AR62" i="264" s="1"/>
  <c r="AM66" i="264"/>
  <c r="AR66" i="264"/>
  <c r="AS64" i="264"/>
  <c r="AQ65" i="264"/>
  <c r="AM63" i="264"/>
  <c r="AM62" i="264" s="1"/>
  <c r="AM65" i="264"/>
  <c r="AL65" i="264"/>
  <c r="AQ63" i="264"/>
  <c r="AQ62" i="264" s="1"/>
  <c r="BF39" i="264"/>
  <c r="BF41" i="264" s="1"/>
  <c r="AK66" i="264"/>
  <c r="BF66" i="264" s="1"/>
  <c r="AJ64" i="264"/>
  <c r="BE64" i="264" s="1"/>
  <c r="AK65" i="264"/>
  <c r="BF65" i="264" s="1"/>
  <c r="AI65" i="264"/>
  <c r="BD65" i="264" s="1"/>
  <c r="AJ65" i="264"/>
  <c r="BE65" i="264" s="1"/>
  <c r="AJ63" i="264"/>
  <c r="AI66" i="264"/>
  <c r="BD66" i="264" s="1"/>
  <c r="AI63" i="264"/>
  <c r="AJ66" i="264"/>
  <c r="BE66" i="264" s="1"/>
  <c r="AI64" i="264"/>
  <c r="BD64" i="264" s="1"/>
  <c r="AK64" i="264"/>
  <c r="BF64" i="264" s="1"/>
  <c r="AK63" i="264"/>
  <c r="BE39" i="264"/>
  <c r="BE41" i="264" s="1"/>
  <c r="AI25" i="264"/>
  <c r="BD25" i="264" s="1"/>
  <c r="AI23" i="264"/>
  <c r="AB10" i="260"/>
  <c r="AB11" i="260"/>
  <c r="AI10" i="264" l="1"/>
  <c r="I11" i="260"/>
  <c r="T11" i="260" s="1"/>
  <c r="I10" i="260"/>
  <c r="T10" i="260" s="1"/>
  <c r="AJ62" i="264"/>
  <c r="BE62" i="264" s="1"/>
  <c r="BE63" i="264"/>
  <c r="BF63" i="264"/>
  <c r="AK62" i="264"/>
  <c r="BF62" i="264" s="1"/>
  <c r="AI62" i="264"/>
  <c r="BD62" i="264" s="1"/>
  <c r="BD63" i="264"/>
  <c r="BD37" i="264"/>
  <c r="AI32" i="264"/>
  <c r="BD32" i="264" s="1"/>
  <c r="AI30" i="264"/>
  <c r="BD30" i="264" s="1"/>
  <c r="BD24" i="264"/>
  <c r="BD23" i="264"/>
  <c r="AT59" i="264" l="1"/>
  <c r="AS59" i="264"/>
  <c r="AT57" i="264"/>
  <c r="AS57" i="264"/>
  <c r="AR57" i="264"/>
  <c r="AR56" i="264"/>
  <c r="AR55" i="264" s="1"/>
  <c r="AR59" i="264"/>
  <c r="AS58" i="264"/>
  <c r="AR58" i="264"/>
  <c r="AT56" i="264"/>
  <c r="AT55" i="264" s="1"/>
  <c r="AT58" i="264"/>
  <c r="AS56" i="264"/>
  <c r="AS55" i="264" s="1"/>
  <c r="AO58" i="264"/>
  <c r="AQ59" i="264"/>
  <c r="AP57" i="264"/>
  <c r="AO57" i="264"/>
  <c r="AQ58" i="264"/>
  <c r="AQ57" i="264"/>
  <c r="AP56" i="264"/>
  <c r="AP55" i="264" s="1"/>
  <c r="AO59" i="264"/>
  <c r="AP58" i="264"/>
  <c r="AP59" i="264"/>
  <c r="AO56" i="264"/>
  <c r="AO55" i="264" s="1"/>
  <c r="AQ56" i="264"/>
  <c r="AQ55" i="264" s="1"/>
  <c r="AN56" i="264"/>
  <c r="AN55" i="264" s="1"/>
  <c r="AN58" i="264"/>
  <c r="AN59" i="264"/>
  <c r="AL59" i="264"/>
  <c r="AN57" i="264"/>
  <c r="AM59" i="264"/>
  <c r="AL58" i="264"/>
  <c r="AL57" i="264"/>
  <c r="AM56" i="264"/>
  <c r="AM55" i="264" s="1"/>
  <c r="AM58" i="264"/>
  <c r="AM57" i="264"/>
  <c r="AL56" i="264"/>
  <c r="AL55" i="264" s="1"/>
  <c r="BD10" i="264"/>
  <c r="AJ57" i="264"/>
  <c r="BE71" i="264" s="1"/>
  <c r="AI56" i="264"/>
  <c r="AJ58" i="264"/>
  <c r="BE72" i="264" s="1"/>
  <c r="AJ56" i="264"/>
  <c r="AK58" i="264"/>
  <c r="BF72" i="264" s="1"/>
  <c r="AK59" i="264"/>
  <c r="BF73" i="264" s="1"/>
  <c r="AK57" i="264"/>
  <c r="BF71" i="264" s="1"/>
  <c r="AI59" i="264"/>
  <c r="BD73" i="264" s="1"/>
  <c r="AI58" i="264"/>
  <c r="BD72" i="264" s="1"/>
  <c r="AJ59" i="264"/>
  <c r="BE73" i="264" s="1"/>
  <c r="AI57" i="264"/>
  <c r="BD71" i="264" s="1"/>
  <c r="AK56" i="264"/>
  <c r="BD40" i="264"/>
  <c r="BD42" i="264" s="1"/>
  <c r="AI11" i="264"/>
  <c r="BD11" i="264" s="1"/>
  <c r="AI9" i="264"/>
  <c r="BD9" i="264" s="1"/>
  <c r="BD17" i="264"/>
  <c r="BF70" i="264" l="1"/>
  <c r="BF85" i="264" s="1"/>
  <c r="AK55" i="264"/>
  <c r="BF55" i="264" s="1"/>
  <c r="BF84" i="264" s="1"/>
  <c r="BF86" i="264" s="1"/>
  <c r="BE70" i="264"/>
  <c r="BE85" i="264" s="1"/>
  <c r="AJ55" i="264"/>
  <c r="BE55" i="264" s="1"/>
  <c r="BE84" i="264" s="1"/>
  <c r="BE86" i="264" s="1"/>
  <c r="AI55" i="264"/>
  <c r="BD55" i="264" s="1"/>
  <c r="BD84" i="264" s="1"/>
  <c r="BD86" i="264" s="1"/>
  <c r="BD70" i="264"/>
  <c r="BD85" i="264" s="1"/>
  <c r="BD18" i="264"/>
  <c r="AI16" i="264"/>
  <c r="BD16" i="264" s="1"/>
  <c r="BD39" i="264" l="1"/>
  <c r="BD41" i="264" s="1"/>
</calcChain>
</file>

<file path=xl/comments1.xml><?xml version="1.0" encoding="utf-8"?>
<comments xmlns="http://schemas.openxmlformats.org/spreadsheetml/2006/main">
  <authors>
    <author>Mikkel Bosack</author>
  </authors>
  <commentList>
    <comment ref="L6" authorId="0">
      <text>
        <r>
          <rPr>
            <b/>
            <sz val="9"/>
            <color indexed="81"/>
            <rFont val="Tahoma"/>
            <family val="2"/>
          </rPr>
          <t>Mikkel Bosack:</t>
        </r>
        <r>
          <rPr>
            <sz val="9"/>
            <color indexed="81"/>
            <rFont val="Tahoma"/>
            <family val="2"/>
          </rPr>
          <t xml:space="preserve">
Efficiency Data from Danish calculated statistics to provide an estimate of capacity and gains from installation of new capacity</t>
        </r>
      </text>
    </comment>
  </commentList>
</comments>
</file>

<file path=xl/comments2.xml><?xml version="1.0" encoding="utf-8"?>
<comments xmlns="http://schemas.openxmlformats.org/spreadsheetml/2006/main">
  <authors>
    <author>Mikkel Bosack</author>
  </authors>
  <commentList>
    <comment ref="W38" authorId="0">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 ref="W45" authorId="0">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List>
</comments>
</file>

<file path=xl/comments3.xml><?xml version="1.0" encoding="utf-8"?>
<comments xmlns="http://schemas.openxmlformats.org/spreadsheetml/2006/main">
  <authors>
    <author>NETWORK SERVICE</author>
  </authors>
  <commentList>
    <comment ref="H11" authorId="0">
      <text>
        <r>
          <rPr>
            <sz val="8"/>
            <color rgb="FF000000"/>
            <rFont val="Tahoma"/>
            <family val="2"/>
          </rPr>
          <t xml:space="preserve">Other buildingtypes mainly includes dwellings in garages, industrial buildings and other non-residential buildings.
</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<sst xmlns="http://schemas.openxmlformats.org/spreadsheetml/2006/main" count="4837" uniqueCount="962">
  <si>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</si>
  <si>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</si>
  <si>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</si>
  <si>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</si>
  <si>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</si>
  <si>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</si>
  <si>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</si>
  <si>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</si>
  <si>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</si>
  <si>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</si>
  <si>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</si>
  <si>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</si>
  <si>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</si>
  <si>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</si>
  <si>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</si>
  <si>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</si>
  <si>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</si>
  <si>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</si>
  <si>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</si>
  <si>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</si>
  <si>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</si>
  <si>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</si>
  <si>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</si>
  <si>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</si>
  <si>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</si>
  <si>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</si>
  <si>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</si>
  <si>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</si>
  <si>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</si>
  <si>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</si>
  <si>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</si>
  <si>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</si>
  <si>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</si>
  <si>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</si>
  <si>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</si>
  <si>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</si>
  <si>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</si>
  <si>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</si>
  <si>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</si>
  <si>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</si>
  <si>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</si>
  <si>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</si>
  <si>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</si>
  <si>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</si>
  <si>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</si>
  <si>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</si>
  <si>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Mm2</t>
  </si>
  <si>
    <t>NRG</t>
  </si>
  <si>
    <t>Cons [PJ]</t>
  </si>
  <si>
    <t>Decentralised Detached Buildings</t>
  </si>
  <si>
    <t>Decentralised Multi S. Buildings</t>
  </si>
  <si>
    <t>New</t>
  </si>
  <si>
    <t>RHBDDb72</t>
  </si>
  <si>
    <t>RHBDDa72</t>
  </si>
  <si>
    <t>RHBCDb72</t>
  </si>
  <si>
    <t>RHBCDa72</t>
  </si>
  <si>
    <t>RHBIDb72</t>
  </si>
  <si>
    <t>RHBIDa72</t>
  </si>
  <si>
    <t>RHBDMb72</t>
  </si>
  <si>
    <t>RHBDMa72</t>
  </si>
  <si>
    <t>RHBCMb72</t>
  </si>
  <si>
    <t>RHBCMa72</t>
  </si>
  <si>
    <t>RHBIMb72</t>
  </si>
  <si>
    <t>RHBIMa72</t>
  </si>
  <si>
    <t>PRE</t>
  </si>
  <si>
    <t>MW</t>
  </si>
  <si>
    <t>Pja</t>
  </si>
  <si>
    <t>START</t>
  </si>
  <si>
    <t>ACT [Mm2]</t>
  </si>
  <si>
    <t>RESHDB</t>
  </si>
  <si>
    <t>RESHMB</t>
  </si>
  <si>
    <t>RESHCD</t>
  </si>
  <si>
    <t>RESHCM</t>
  </si>
  <si>
    <t>RESHDD</t>
  </si>
  <si>
    <t>RESHDM</t>
  </si>
  <si>
    <t>PJ/PJ</t>
  </si>
  <si>
    <t>ACT [PJ]</t>
  </si>
  <si>
    <t>ConsBuild</t>
  </si>
  <si>
    <t>Energy Service Demand [Mm2]</t>
  </si>
  <si>
    <t>Electricity</t>
  </si>
  <si>
    <t>Natural gas</t>
  </si>
  <si>
    <t>Fuel</t>
  </si>
  <si>
    <t>RHTDBNGAE1</t>
  </si>
  <si>
    <t>RHTDBOILE1</t>
  </si>
  <si>
    <t>RHTDBWOOE1</t>
  </si>
  <si>
    <t>RHTDBSTWE1</t>
  </si>
  <si>
    <t>RHTDBHCEE1</t>
  </si>
  <si>
    <t>RHTDBHDEE1</t>
  </si>
  <si>
    <t>RHTDBSOLE1</t>
  </si>
  <si>
    <t>RHTDBELCE1</t>
  </si>
  <si>
    <t>RHTMBNGAE1</t>
  </si>
  <si>
    <t>RHTMBOILE1</t>
  </si>
  <si>
    <t>RHTMBWOOE1</t>
  </si>
  <si>
    <t>RHTMBSTWE1</t>
  </si>
  <si>
    <t>RHTMBHCEE1</t>
  </si>
  <si>
    <t>RHTMBHDEE1</t>
  </si>
  <si>
    <t>RHTMBSOLE1</t>
  </si>
  <si>
    <t>RHTMBELCE1</t>
  </si>
  <si>
    <t>FT-RESNGA</t>
  </si>
  <si>
    <t>FT-RESOIL</t>
  </si>
  <si>
    <t>FT-RESWOO</t>
  </si>
  <si>
    <t>FT-RESSTW</t>
  </si>
  <si>
    <t>FT-RESSOL</t>
  </si>
  <si>
    <t>FT-RESELC</t>
  </si>
  <si>
    <t>FT-RESSHCE</t>
  </si>
  <si>
    <t>FT-RESSHDD</t>
  </si>
  <si>
    <t>Total</t>
  </si>
  <si>
    <t>LIFE</t>
  </si>
  <si>
    <t>Year</t>
  </si>
  <si>
    <t>ELCC</t>
  </si>
  <si>
    <t>Name</t>
  </si>
  <si>
    <t>Mm2/PJ</t>
  </si>
  <si>
    <t>DAYNITE</t>
  </si>
  <si>
    <t>ELC</t>
  </si>
  <si>
    <t>CAP2ACT</t>
  </si>
  <si>
    <t>FX</t>
  </si>
  <si>
    <t>Detached</t>
  </si>
  <si>
    <t>YEAR</t>
  </si>
  <si>
    <t>ENV</t>
  </si>
  <si>
    <t>RESCO2</t>
  </si>
  <si>
    <t>kt</t>
  </si>
  <si>
    <t>CO2 Residential</t>
  </si>
  <si>
    <t>* Values associate with commodities</t>
  </si>
  <si>
    <t>Commodity Emissions</t>
  </si>
  <si>
    <t>kg/GJ = kt/PJ</t>
  </si>
  <si>
    <t>Diesel</t>
  </si>
  <si>
    <t>Nat. Gas</t>
  </si>
  <si>
    <t>~COMEMI</t>
  </si>
  <si>
    <t>*Units</t>
  </si>
  <si>
    <t>kg/GJ</t>
  </si>
  <si>
    <t>Date</t>
  </si>
  <si>
    <t>Sheet Name</t>
  </si>
  <si>
    <t xml:space="preserve">Cell no </t>
  </si>
  <si>
    <t>Explanation</t>
  </si>
  <si>
    <t>Commodities</t>
  </si>
  <si>
    <t>Boilers</t>
  </si>
  <si>
    <t>*Description</t>
  </si>
  <si>
    <t>Constrution period</t>
  </si>
  <si>
    <t>* Technology description</t>
  </si>
  <si>
    <t>This is only a scatch to explain how are the processes and commoditieslinked in case of district heating.</t>
  </si>
  <si>
    <t>For detailed representation, go to VEDA FE--&gt;Advanced Functions and go to Process Master and Commodity.</t>
  </si>
  <si>
    <t>RES sheet contains detailed graphical representation, but not heat savings.</t>
  </si>
  <si>
    <t>RESELCH</t>
  </si>
  <si>
    <t>Description</t>
  </si>
  <si>
    <t>Purpose:</t>
  </si>
  <si>
    <t>Description:</t>
  </si>
  <si>
    <t>Relevant sectors</t>
  </si>
  <si>
    <t>Description of different sheets</t>
  </si>
  <si>
    <t>Defines the commodities used in the processes</t>
  </si>
  <si>
    <t>Emis</t>
  </si>
  <si>
    <t>Define emission coefficients for different fuels</t>
  </si>
  <si>
    <t>This sheet defines processes, commodities and existing stocks for household heating</t>
  </si>
  <si>
    <t>The data is based on the underlying heating model as well as energy statistics</t>
  </si>
  <si>
    <t>RES</t>
  </si>
  <si>
    <t>Legend</t>
  </si>
  <si>
    <t>Naming scheme</t>
  </si>
  <si>
    <t>Flow chart of model setup</t>
  </si>
  <si>
    <t>Processes</t>
  </si>
  <si>
    <t>Defines the processes for boilers and buildings</t>
  </si>
  <si>
    <t>Topology for processes and commodities used for boilers to generate heat</t>
  </si>
  <si>
    <t>Buildings</t>
  </si>
  <si>
    <t>Topology for processes and commodities used for heating square meters</t>
  </si>
  <si>
    <t>Dem</t>
  </si>
  <si>
    <t>RES_fuel</t>
  </si>
  <si>
    <t>Topology for fuels used in household heating</t>
  </si>
  <si>
    <t>Base year heating demands</t>
  </si>
  <si>
    <t>Multi-dwelling building</t>
  </si>
  <si>
    <t>Detached house</t>
  </si>
  <si>
    <t>Table: 06265: Dwellings, by type of building (M)</t>
  </si>
  <si>
    <t>Dwellings (occupied and vacant)</t>
  </si>
  <si>
    <t>SFH</t>
  </si>
  <si>
    <t>House with 2 dwellings</t>
  </si>
  <si>
    <t>TH</t>
  </si>
  <si>
    <t>Multi S</t>
  </si>
  <si>
    <t>Row house, linked house and house with 3 dwellings or more</t>
  </si>
  <si>
    <t>AB</t>
  </si>
  <si>
    <t>Residence for communities</t>
  </si>
  <si>
    <t>Other building</t>
  </si>
  <si>
    <t>&lt; 71</t>
  </si>
  <si>
    <t>&gt;71</t>
  </si>
  <si>
    <t>Deleted</t>
  </si>
  <si>
    <t>Calibration</t>
  </si>
  <si>
    <t>Workflow</t>
  </si>
  <si>
    <t>The workflow of model</t>
  </si>
  <si>
    <t>AFA</t>
  </si>
  <si>
    <t>NO2</t>
  </si>
  <si>
    <t>H2</t>
  </si>
  <si>
    <t>gas</t>
  </si>
  <si>
    <t>solar</t>
  </si>
  <si>
    <t>direct el.</t>
  </si>
  <si>
    <t>HPs</t>
  </si>
  <si>
    <t>DH centr.</t>
  </si>
  <si>
    <t>Population</t>
  </si>
  <si>
    <t>GWh to PJ</t>
  </si>
  <si>
    <t>calculated here</t>
  </si>
  <si>
    <t>from Boilers_DR</t>
  </si>
  <si>
    <t>wood (Fire wood)</t>
  </si>
  <si>
    <t>Cooking Demand</t>
  </si>
  <si>
    <t>Hot water Demand</t>
  </si>
  <si>
    <t>Appliance Demand</t>
  </si>
  <si>
    <t>M2</t>
  </si>
  <si>
    <t>Mikkel Bosack Simonsen</t>
  </si>
  <si>
    <t>Construction of VT file containing all residential demands, including structure for residential cooling build upon the building sotck projections</t>
  </si>
  <si>
    <t>4.3.6   Consumption of energy products in the households</t>
  </si>
  <si>
    <t xml:space="preserve">terajoule </t>
  </si>
  <si>
    <t>Crude oil (including gas condensate)</t>
  </si>
  <si>
    <t>-</t>
  </si>
  <si>
    <t>Natural bitum and asphalt</t>
  </si>
  <si>
    <t>Refinery gas</t>
  </si>
  <si>
    <t>Liquefied gases</t>
  </si>
  <si>
    <t>Motor gasoline</t>
  </si>
  <si>
    <t>Kerosene - type jet fuel</t>
  </si>
  <si>
    <t>Other kerosene</t>
  </si>
  <si>
    <t>Diesel fuel</t>
  </si>
  <si>
    <t>Fuel oil</t>
  </si>
  <si>
    <t>Naphtha</t>
  </si>
  <si>
    <t>Petroleum coke</t>
  </si>
  <si>
    <t>Bitumen</t>
  </si>
  <si>
    <t>Other petroleum products</t>
  </si>
  <si>
    <t>Heat</t>
  </si>
  <si>
    <t>Wood</t>
  </si>
  <si>
    <t>Other fuel products</t>
  </si>
  <si>
    <t>Sources used for residential heating</t>
  </si>
  <si>
    <t>In-depth review of the energy-efficiency of the replublic of Azerbaijan</t>
  </si>
  <si>
    <t>Natural gas is the main source for heating and cooking in the residential sector and only 2.6% of residential buildings in Azerbaijan had access to district heating services in 2017. As for healthcare and education facilities, the district heating sector covered 26% of hospitals, 8.7% of pre-schools and 6.2 % of schools in 2017. Deeper analysis of natural gas consumption by residential consumers shows that about 70% of natural gas or about 2 bcm was used for space heating and 30% or approximately 1 bcm for cooking and hot water preparation in 2018.</t>
  </si>
  <si>
    <t>Source</t>
  </si>
  <si>
    <t>Text</t>
  </si>
  <si>
    <t>Data</t>
  </si>
  <si>
    <t>Points</t>
  </si>
  <si>
    <t>Natural gas split in spacial heating</t>
  </si>
  <si>
    <t>Natural gas split in cooking and hot water</t>
  </si>
  <si>
    <t>Population, thousand people</t>
  </si>
  <si>
    <t>total consumption by households, GWh</t>
  </si>
  <si>
    <t>Average energy consumption, kWh/m2/year</t>
  </si>
  <si>
    <t>Total Area, M m2</t>
  </si>
  <si>
    <t>In-depth review of the energy-efficiency of the replublic of Azerbaijan, table 15 household bulding stock in Azerbaijan,</t>
  </si>
  <si>
    <t>https://www.azstat.org/webmap/index.php?geolevel=iqtisadi&amp;v=off&amp;year=2017&amp;indicator=00080&amp;section=01&amp;colorFrom=edf8fb&amp;colorTo=810f7c&amp;cc=5&amp;ms=method_Q&amp;lang=en</t>
  </si>
  <si>
    <t>Building stock in regions (thsd kv.m)</t>
  </si>
  <si>
    <t>Nakhchivan</t>
  </si>
  <si>
    <t>Karabakh and Lachin</t>
  </si>
  <si>
    <t>Rest</t>
  </si>
  <si>
    <t>Population thsd persons</t>
  </si>
  <si>
    <r>
      <t xml:space="preserve">Table 85. Distribution of households by total and living place per household member in 2019. </t>
    </r>
    <r>
      <rPr>
        <sz val="11"/>
        <rFont val="Times New Roman"/>
        <family val="1"/>
      </rPr>
      <t>In percent</t>
    </r>
  </si>
  <si>
    <t>All households</t>
  </si>
  <si>
    <t>of which</t>
  </si>
  <si>
    <t>urban</t>
  </si>
  <si>
    <t>rural</t>
  </si>
  <si>
    <r>
      <t>Total area per household member (m</t>
    </r>
    <r>
      <rPr>
        <b/>
        <vertAlign val="superscript"/>
        <sz val="11"/>
        <rFont val="Times New Roman"/>
        <family val="1"/>
      </rPr>
      <t>2</t>
    </r>
    <r>
      <rPr>
        <b/>
        <sz val="11"/>
        <rFont val="Times New Roman"/>
        <family val="1"/>
      </rPr>
      <t>)</t>
    </r>
  </si>
  <si>
    <r>
      <t>Living area per household member (m</t>
    </r>
    <r>
      <rPr>
        <b/>
        <vertAlign val="superscript"/>
        <sz val="11"/>
        <rFont val="Times New Roman"/>
        <family val="1"/>
      </rPr>
      <t>2</t>
    </r>
    <r>
      <rPr>
        <b/>
        <sz val="11"/>
        <rFont val="Times New Roman"/>
        <family val="1"/>
      </rPr>
      <t>)</t>
    </r>
  </si>
  <si>
    <t>Distribution of households by total place per household member</t>
  </si>
  <si>
    <r>
      <t>less than 10 m</t>
    </r>
    <r>
      <rPr>
        <vertAlign val="superscript"/>
        <sz val="11"/>
        <rFont val="Times New Roman"/>
        <family val="1"/>
      </rPr>
      <t xml:space="preserve">2  </t>
    </r>
  </si>
  <si>
    <r>
      <t>10.1-20.0 m</t>
    </r>
    <r>
      <rPr>
        <vertAlign val="superscript"/>
        <sz val="11"/>
        <rFont val="Times New Roman"/>
        <family val="1"/>
      </rPr>
      <t xml:space="preserve">2  </t>
    </r>
  </si>
  <si>
    <r>
      <t>20.1-30.0 m</t>
    </r>
    <r>
      <rPr>
        <vertAlign val="superscript"/>
        <sz val="11"/>
        <rFont val="Times New Roman"/>
        <family val="1"/>
      </rPr>
      <t xml:space="preserve">2  </t>
    </r>
  </si>
  <si>
    <r>
      <t>more than 30 m</t>
    </r>
    <r>
      <rPr>
        <vertAlign val="superscript"/>
        <sz val="11"/>
        <rFont val="Times New Roman"/>
        <family val="1"/>
      </rPr>
      <t xml:space="preserve">2  </t>
    </r>
  </si>
  <si>
    <t>Distribution of households by living  place per household member</t>
  </si>
  <si>
    <t>Number of rooms in dwelling</t>
  </si>
  <si>
    <t>1 room</t>
  </si>
  <si>
    <t>2 rooms</t>
  </si>
  <si>
    <t>3 rooms</t>
  </si>
  <si>
    <t>4 rooms</t>
  </si>
  <si>
    <t>5 rooms and more</t>
  </si>
  <si>
    <t xml:space="preserve">Type of accommodation </t>
  </si>
  <si>
    <t>separate house</t>
  </si>
  <si>
    <t>part of separate house</t>
  </si>
  <si>
    <t>apartment</t>
  </si>
  <si>
    <t>hostel</t>
  </si>
  <si>
    <t>other</t>
  </si>
  <si>
    <t>Owner of dwelling</t>
  </si>
  <si>
    <t>private property</t>
  </si>
  <si>
    <t>local authorities</t>
  </si>
  <si>
    <t>enterprise, organization</t>
  </si>
  <si>
    <t>rent from the private person</t>
  </si>
  <si>
    <t>relatives, friends</t>
  </si>
  <si>
    <t>Urban Detached Buildings</t>
  </si>
  <si>
    <t>Urban Multi S. Buildings</t>
  </si>
  <si>
    <t>Rural Detached Buildings</t>
  </si>
  <si>
    <t>Rural Multi S. Buildings</t>
  </si>
  <si>
    <t>Energy consumption for spatial heating in residential sector</t>
  </si>
  <si>
    <t>Energy consumption for Hot water in residential sector</t>
  </si>
  <si>
    <t>Energy consumption for Cooking in residential sector</t>
  </si>
  <si>
    <t>https://ec.europa.eu/eurostat/statistics-explained/index.php?title=File:Final_energy_consumption_in_the_residential_sector_by_use,_EU-27,_2018.png</t>
  </si>
  <si>
    <t>Using average statistics on fuel demand for subsectors</t>
  </si>
  <si>
    <t>light and appliances</t>
  </si>
  <si>
    <t>Other end uses</t>
  </si>
  <si>
    <t>Cooking</t>
  </si>
  <si>
    <t>water heating</t>
  </si>
  <si>
    <t>Space cooling</t>
  </si>
  <si>
    <t>Space heating</t>
  </si>
  <si>
    <t>Power</t>
  </si>
  <si>
    <t>Oils</t>
  </si>
  <si>
    <t>Spatial Heating</t>
  </si>
  <si>
    <t>Hot water</t>
  </si>
  <si>
    <t>Appliances</t>
  </si>
  <si>
    <t>Cooling</t>
  </si>
  <si>
    <t>Share of total residential fuel</t>
  </si>
  <si>
    <t>Energy consumption for Cooling in residential sector</t>
  </si>
  <si>
    <t>Overview Fuel Consumption</t>
  </si>
  <si>
    <t xml:space="preserve">Overview Residential Stock </t>
  </si>
  <si>
    <t xml:space="preserve">1.22.7. Population by sex, towns and regions, urban settlements of the Republic of Azerbaijan at the beginning of the 2019 </t>
  </si>
  <si>
    <t xml:space="preserve"> (thsd persons)</t>
  </si>
  <si>
    <t>Towns and regions</t>
  </si>
  <si>
    <t>including:</t>
  </si>
  <si>
    <t>Urban places</t>
  </si>
  <si>
    <t>Rural places</t>
  </si>
  <si>
    <t>men</t>
  </si>
  <si>
    <t>women</t>
  </si>
  <si>
    <t xml:space="preserve">Republic of Azerbaijan </t>
  </si>
  <si>
    <t>Baku city - total</t>
  </si>
  <si>
    <t>Binagadi region</t>
  </si>
  <si>
    <t>Khojasan settlement</t>
  </si>
  <si>
    <t>Sulutepe settlement</t>
  </si>
  <si>
    <t>Bilajari settlement</t>
  </si>
  <si>
    <t>Binagadi settlement</t>
  </si>
  <si>
    <t>28 May settlement</t>
  </si>
  <si>
    <t>Mammad Amin Rasulzade settlement</t>
  </si>
  <si>
    <t>Garadagh region</t>
  </si>
  <si>
    <t>Alat settlement</t>
  </si>
  <si>
    <t>Bas Alat settlement</t>
  </si>
  <si>
    <t>Kotal settlement</t>
  </si>
  <si>
    <t>Shikhlar settlement</t>
  </si>
  <si>
    <t>Pirsaat settlement</t>
  </si>
  <si>
    <t>Yeni Alat settlement</t>
  </si>
  <si>
    <t>Garakosa settlement</t>
  </si>
  <si>
    <t>Gizil Dash settlement</t>
  </si>
  <si>
    <t>Shongar settlement</t>
  </si>
  <si>
    <t>Sahil settlement</t>
  </si>
  <si>
    <t>Garadagh settlement</t>
  </si>
  <si>
    <t>Lokbatan settlement</t>
  </si>
  <si>
    <t>Heybet settlement</t>
  </si>
  <si>
    <t>Shubani settlement</t>
  </si>
  <si>
    <t>Jeyildag settlement</t>
  </si>
  <si>
    <t>Korgoz settlement</t>
  </si>
  <si>
    <t>Gobustan settlement</t>
  </si>
  <si>
    <t>Mushfiqabad settlement</t>
  </si>
  <si>
    <t>Puta settlement</t>
  </si>
  <si>
    <t>Sangachal settlement</t>
  </si>
  <si>
    <t xml:space="preserve">Umud settlement </t>
  </si>
  <si>
    <t>Khazar region</t>
  </si>
  <si>
    <t>Bina settlement</t>
  </si>
  <si>
    <t>Buzovna settlement</t>
  </si>
  <si>
    <t>Gala settlement</t>
  </si>
  <si>
    <t>Mardakan settlement</t>
  </si>
  <si>
    <t>Shaghan settlement</t>
  </si>
  <si>
    <t>Shuvalan settlement</t>
  </si>
  <si>
    <t>Turkan settlement</t>
  </si>
  <si>
    <t>Zira settlement</t>
  </si>
  <si>
    <t>Sabayel region</t>
  </si>
  <si>
    <t>Badamdar settlement</t>
  </si>
  <si>
    <t>Bibiheibet settlement</t>
  </si>
  <si>
    <t>Sabunchu region</t>
  </si>
  <si>
    <t>Bakikhanov settlement</t>
  </si>
  <si>
    <t>Balakhani  settlement</t>
  </si>
  <si>
    <t>Bilgah  settlement</t>
  </si>
  <si>
    <t>Kurdakhani  settlement</t>
  </si>
  <si>
    <t>Mashtagha  settlement</t>
  </si>
  <si>
    <t>Nardaran  settlement</t>
  </si>
  <si>
    <t>Pirshagi  settlement</t>
  </si>
  <si>
    <t>Romana  settlement</t>
  </si>
  <si>
    <t>Sabunchu settlement</t>
  </si>
  <si>
    <t>Zabrat  settlement</t>
  </si>
  <si>
    <t>Surakhany region</t>
  </si>
  <si>
    <t>Bulbula settlement</t>
  </si>
  <si>
    <t>Amirjan settlement</t>
  </si>
  <si>
    <t>Hovsan settlement</t>
  </si>
  <si>
    <t>Garachukur settlement</t>
  </si>
  <si>
    <t>Yeni Surakhany settlement</t>
  </si>
  <si>
    <t>Zigh settlement</t>
  </si>
  <si>
    <t>Narimanov region</t>
  </si>
  <si>
    <t>Nasimi region</t>
  </si>
  <si>
    <t>Nizami region</t>
  </si>
  <si>
    <t>Keshla settlement</t>
  </si>
  <si>
    <t>Pirallahi region</t>
  </si>
  <si>
    <t>Pirallahi settlement</t>
  </si>
  <si>
    <t>Chilov settlement</t>
  </si>
  <si>
    <t>Neft Dashlari settlement</t>
  </si>
  <si>
    <t>Ghurgan settlement</t>
  </si>
  <si>
    <t>Khatai region</t>
  </si>
  <si>
    <t>Akhmadli settlement</t>
  </si>
  <si>
    <t>Yasamal region</t>
  </si>
  <si>
    <t>Absheron economic region - total</t>
  </si>
  <si>
    <t>Khyzi region</t>
  </si>
  <si>
    <t>Khyzi town</t>
  </si>
  <si>
    <t>Altiagac settlement</t>
  </si>
  <si>
    <t>Gilazi settlement</t>
  </si>
  <si>
    <t>Shuraabad settlement</t>
  </si>
  <si>
    <t>Absheron region</t>
  </si>
  <si>
    <t>Khirdalan town</t>
  </si>
  <si>
    <t>Ashaghi Guzdak settlement</t>
  </si>
  <si>
    <t>Jeyranbatan settlement</t>
  </si>
  <si>
    <t>Digah settlement</t>
  </si>
  <si>
    <t>Guzdak settlement</t>
  </si>
  <si>
    <t>Hokmali settlement</t>
  </si>
  <si>
    <t>Qobu settlement</t>
  </si>
  <si>
    <t>Mehdiabad settlement</t>
  </si>
  <si>
    <t>Saray settlement</t>
  </si>
  <si>
    <t>Sumgayit town</t>
  </si>
  <si>
    <t>Jorat settlement</t>
  </si>
  <si>
    <t>Haji Zeynalabdin Tagiyev settlement</t>
  </si>
  <si>
    <t>Ganja-Gazakh economic region - total</t>
  </si>
  <si>
    <t>Ganja town</t>
  </si>
  <si>
    <t xml:space="preserve">           including:</t>
  </si>
  <si>
    <t>Kapaz region</t>
  </si>
  <si>
    <t>Hajikend settlement</t>
  </si>
  <si>
    <t>Goygol settlement</t>
  </si>
  <si>
    <t>Cavadkhan settlement</t>
  </si>
  <si>
    <t>Mahsati settlement</t>
  </si>
  <si>
    <t>Natavan settlement</t>
  </si>
  <si>
    <t>Sadilli settlement</t>
  </si>
  <si>
    <t>Shikhzamanli settlement</t>
  </si>
  <si>
    <t>Gazakh region</t>
  </si>
  <si>
    <t>Gazakh town</t>
  </si>
  <si>
    <t>Agstafa region</t>
  </si>
  <si>
    <t>Agstafa town</t>
  </si>
  <si>
    <t>Soyug Bulag settlement</t>
  </si>
  <si>
    <t>Shekerli settlement</t>
  </si>
  <si>
    <t>Garayazi settlement</t>
  </si>
  <si>
    <t>Hazi Aslanov settlement</t>
  </si>
  <si>
    <t>Soyug Bulaglar settlement</t>
  </si>
  <si>
    <t>Poylu settlement</t>
  </si>
  <si>
    <t>Jeyranchol settlement</t>
  </si>
  <si>
    <t>Saloghlu settlement</t>
  </si>
  <si>
    <t>Vurghun settlement</t>
  </si>
  <si>
    <t>Tovuz region</t>
  </si>
  <si>
    <t>Tovuz town</t>
  </si>
  <si>
    <t>Govlar settlement</t>
  </si>
  <si>
    <t>Shamkir region</t>
  </si>
  <si>
    <t>Shamkir town</t>
  </si>
  <si>
    <t>Barlibagh settlement</t>
  </si>
  <si>
    <t>Fuzuli settlement</t>
  </si>
  <si>
    <t>Kur settlement</t>
  </si>
  <si>
    <t>Samed Vurgun settlement</t>
  </si>
  <si>
    <t>Chinarli settlement</t>
  </si>
  <si>
    <t>Dallar settlement</t>
  </si>
  <si>
    <t>Zayam settlement</t>
  </si>
  <si>
    <t>Gadabey region</t>
  </si>
  <si>
    <t>Gadabey town</t>
  </si>
  <si>
    <t>Dashkesen region</t>
  </si>
  <si>
    <t>Dashkesen town</t>
  </si>
  <si>
    <t>Alunitdagh settlement</t>
  </si>
  <si>
    <t>Gushchu korpu settlement</t>
  </si>
  <si>
    <t>Dashkasan settlement</t>
  </si>
  <si>
    <t>Gushchu settlement</t>
  </si>
  <si>
    <t>Yukhari Dashkasan settlement</t>
  </si>
  <si>
    <t>Samukh region</t>
  </si>
  <si>
    <t>Samukh town</t>
  </si>
  <si>
    <t>Institut settlement</t>
  </si>
  <si>
    <t>Garayerli settlement</t>
  </si>
  <si>
    <t>Yenibagh settlement</t>
  </si>
  <si>
    <t>Girmizi Samukh settlement</t>
  </si>
  <si>
    <t>Alabashly settlement</t>
  </si>
  <si>
    <t>Garaarkh settlement</t>
  </si>
  <si>
    <t>Goygol  region</t>
  </si>
  <si>
    <t>Goygol  town</t>
  </si>
  <si>
    <t>Khanlar settlement</t>
  </si>
  <si>
    <t>Ashaghi Zurnabad settlement</t>
  </si>
  <si>
    <t>Bakhrambagh settlement</t>
  </si>
  <si>
    <t>Hacimalik settlement</t>
  </si>
  <si>
    <t>Firuzabad settlement</t>
  </si>
  <si>
    <t>Gizilgaya settlement</t>
  </si>
  <si>
    <t>Goranboy region</t>
  </si>
  <si>
    <t>Goranboy town</t>
  </si>
  <si>
    <t>Dalimammadli town</t>
  </si>
  <si>
    <t>Yukhari Agjakend settlement</t>
  </si>
  <si>
    <t>Gizilhajili settlement</t>
  </si>
  <si>
    <t>Goran settlement</t>
  </si>
  <si>
    <t>Ashagi Agjakand settlement</t>
  </si>
  <si>
    <t>Gazanbulaq settlement</t>
  </si>
  <si>
    <t>Kurekchay settlement</t>
  </si>
  <si>
    <t>Naftalan town</t>
  </si>
  <si>
    <t>Shaki-Zagatala economic region - total</t>
  </si>
  <si>
    <t>Balakan region</t>
  </si>
  <si>
    <t>Balakan town</t>
  </si>
  <si>
    <t>Qabaqchol settlement</t>
  </si>
  <si>
    <t>Zagatala region</t>
  </si>
  <si>
    <t>Zagatala town</t>
  </si>
  <si>
    <t>Aliabad settlement</t>
  </si>
  <si>
    <t>Gakh region</t>
  </si>
  <si>
    <t>Gakh town</t>
  </si>
  <si>
    <t>Sheki town</t>
  </si>
  <si>
    <t>Turan settlement</t>
  </si>
  <si>
    <t>Chalabikhan settlement</t>
  </si>
  <si>
    <t>Oguz region</t>
  </si>
  <si>
    <t>Oguz town</t>
  </si>
  <si>
    <t>Gabala region</t>
  </si>
  <si>
    <t>Gabala town</t>
  </si>
  <si>
    <t>Bum settlement</t>
  </si>
  <si>
    <t>Nij settlement</t>
  </si>
  <si>
    <t>Vandam settlement</t>
  </si>
  <si>
    <t>Lankaran economic region - total</t>
  </si>
  <si>
    <t>Astara region</t>
  </si>
  <si>
    <t>Astara town</t>
  </si>
  <si>
    <t>Khijaba settlement</t>
  </si>
  <si>
    <t>Archivan settlement</t>
  </si>
  <si>
    <t>Lankaran town</t>
  </si>
  <si>
    <t>Liman town</t>
  </si>
  <si>
    <t>Hirkan settlement</t>
  </si>
  <si>
    <t>Ashagi Nuvadi settlement</t>
  </si>
  <si>
    <t>Haftoni settlement</t>
  </si>
  <si>
    <t>Garmaturk settlement</t>
  </si>
  <si>
    <t>Narimanov settlement</t>
  </si>
  <si>
    <t>Baligchilar settlement</t>
  </si>
  <si>
    <t>Shirinsu settlement</t>
  </si>
  <si>
    <t>Istisu settlement</t>
  </si>
  <si>
    <t>Lerik region</t>
  </si>
  <si>
    <t>Lerik town</t>
  </si>
  <si>
    <t>Yardimly region</t>
  </si>
  <si>
    <t>Yardimly town</t>
  </si>
  <si>
    <t>Masally region</t>
  </si>
  <si>
    <t>Masally town</t>
  </si>
  <si>
    <t>Boradighah settlement</t>
  </si>
  <si>
    <t>Erkivan settlement</t>
  </si>
  <si>
    <t>Jalilabad region</t>
  </si>
  <si>
    <t>Jalilabad  town</t>
  </si>
  <si>
    <t>Goytapa town</t>
  </si>
  <si>
    <t>Novoqolovka settlement</t>
  </si>
  <si>
    <t>Guba-Khachmaz economic region - total</t>
  </si>
  <si>
    <t>Gusar region</t>
  </si>
  <si>
    <t>Gusar town</t>
  </si>
  <si>
    <t>Samur settlement</t>
  </si>
  <si>
    <t>Khachmaz region</t>
  </si>
  <si>
    <t>Khachmaz town</t>
  </si>
  <si>
    <t>Khudat town</t>
  </si>
  <si>
    <t>Shollar settlement</t>
  </si>
  <si>
    <t>Mukhdadir settlement</t>
  </si>
  <si>
    <t>Ashaghi Lagar settlement</t>
  </si>
  <si>
    <t>Shimal settlement</t>
  </si>
  <si>
    <t>Dalgali settlement</t>
  </si>
  <si>
    <t>Mesheli settlement</t>
  </si>
  <si>
    <t>Samurchay settlement</t>
  </si>
  <si>
    <t>Sahiller settlement</t>
  </si>
  <si>
    <t>Guneshli settlement</t>
  </si>
  <si>
    <t>Turist settlement</t>
  </si>
  <si>
    <t>Arzu settlement</t>
  </si>
  <si>
    <t>Yeni Hayat settlement</t>
  </si>
  <si>
    <t>Guba region</t>
  </si>
  <si>
    <t>Guba town</t>
  </si>
  <si>
    <t>Qonaqkand settlement</t>
  </si>
  <si>
    <t>Qirmizi Qasaba settlement</t>
  </si>
  <si>
    <t>Ganjlar settlement</t>
  </si>
  <si>
    <t>Zardabi  settlement</t>
  </si>
  <si>
    <t>Baghbanly settlement</t>
  </si>
  <si>
    <t>Barly settlement</t>
  </si>
  <si>
    <t>Garachay settlement</t>
  </si>
  <si>
    <t>Shabran region</t>
  </si>
  <si>
    <t>Shabran town</t>
  </si>
  <si>
    <t>Siyazan region</t>
  </si>
  <si>
    <t>Siyazan town</t>
  </si>
  <si>
    <t>Gil-Gil chay settlement</t>
  </si>
  <si>
    <t>Aran economic region - total</t>
  </si>
  <si>
    <t>Goychay region</t>
  </si>
  <si>
    <t>Goychay town</t>
  </si>
  <si>
    <t xml:space="preserve">Beylagan region </t>
  </si>
  <si>
    <t>Beylagan town</t>
  </si>
  <si>
    <t>Qahramanli settlement</t>
  </si>
  <si>
    <t>Yukhary Aran settlement</t>
  </si>
  <si>
    <t>Mayak settlement</t>
  </si>
  <si>
    <t>Milabad settlement</t>
  </si>
  <si>
    <t>Orangala settlement</t>
  </si>
  <si>
    <t>Bakharabad settlement</t>
  </si>
  <si>
    <t>Gunesh settlement</t>
  </si>
  <si>
    <t>Bolsulu settlement</t>
  </si>
  <si>
    <t>Araz settlement</t>
  </si>
  <si>
    <t>Sherg settlement</t>
  </si>
  <si>
    <t>Sarisu settlement</t>
  </si>
  <si>
    <t>Mil settlement</t>
  </si>
  <si>
    <t>Turkler settlement</t>
  </si>
  <si>
    <t>Bakhar settlement</t>
  </si>
  <si>
    <t>Shafag settlement</t>
  </si>
  <si>
    <t>Yeni Mil settlement</t>
  </si>
  <si>
    <t>Agjabedi region</t>
  </si>
  <si>
    <t>Agjabedi town</t>
  </si>
  <si>
    <t>Hindarkh settlement</t>
  </si>
  <si>
    <t>Barda region</t>
  </si>
  <si>
    <t>Barda town</t>
  </si>
  <si>
    <t>Neftchala region</t>
  </si>
  <si>
    <t>Neftchala town</t>
  </si>
  <si>
    <t>Banka settlement</t>
  </si>
  <si>
    <t>Hasanabad settlement</t>
  </si>
  <si>
    <t>Khilli settlement</t>
  </si>
  <si>
    <t>Bilasuvar region</t>
  </si>
  <si>
    <t>Bilasuvar town</t>
  </si>
  <si>
    <t>Salyan region</t>
  </si>
  <si>
    <t>Salyan  town</t>
  </si>
  <si>
    <t>Garachala settlement</t>
  </si>
  <si>
    <t>Kirkh Chiraq settlement</t>
  </si>
  <si>
    <t>Yevlakh town</t>
  </si>
  <si>
    <t>Yevlakh  town</t>
  </si>
  <si>
    <t>Duzdagh settlement</t>
  </si>
  <si>
    <t>Meyvaly settlement</t>
  </si>
  <si>
    <t>Aran settlement</t>
  </si>
  <si>
    <t>Mingechevir  town</t>
  </si>
  <si>
    <t>Agdash region</t>
  </si>
  <si>
    <t>Agdash town</t>
  </si>
  <si>
    <t>Turyanchay settlement</t>
  </si>
  <si>
    <t>Laki settlement</t>
  </si>
  <si>
    <t>Ujar region</t>
  </si>
  <si>
    <t>Ujar  town</t>
  </si>
  <si>
    <t>Zardab region</t>
  </si>
  <si>
    <t>Zardab  town</t>
  </si>
  <si>
    <t>Bayimly settlement</t>
  </si>
  <si>
    <t>Kurdamir region</t>
  </si>
  <si>
    <t>Kurdamir town</t>
  </si>
  <si>
    <t>Karrar settlement</t>
  </si>
  <si>
    <t>Garabuchag settlement</t>
  </si>
  <si>
    <t>Imishli region</t>
  </si>
  <si>
    <t>Imishli town</t>
  </si>
  <si>
    <t>Bahramtapa settlement</t>
  </si>
  <si>
    <t>Vetege settlement</t>
  </si>
  <si>
    <t>Saatly region</t>
  </si>
  <si>
    <t>Saatly  town</t>
  </si>
  <si>
    <t>Sabirabad region</t>
  </si>
  <si>
    <t>Sabirabad  town</t>
  </si>
  <si>
    <t>Hajigabul region</t>
  </si>
  <si>
    <t>Hajigabul town</t>
  </si>
  <si>
    <t>Baligchy settlement</t>
  </si>
  <si>
    <t>Navahy settlement</t>
  </si>
  <si>
    <t>Muqhan settlement</t>
  </si>
  <si>
    <t>Padar settlement</t>
  </si>
  <si>
    <t>Shirvan  town</t>
  </si>
  <si>
    <t>Shirvan town</t>
  </si>
  <si>
    <t>Bayramly settlement</t>
  </si>
  <si>
    <t>Hajigahramanli settlement</t>
  </si>
  <si>
    <t>Yukhari Karabakh economic region - total</t>
  </si>
  <si>
    <t>Jebrayil region</t>
  </si>
  <si>
    <t>Jebrayil  town</t>
  </si>
  <si>
    <t>Gumlag  settlement</t>
  </si>
  <si>
    <t>Khalafli  settlement</t>
  </si>
  <si>
    <t>Khudaferin settlement</t>
  </si>
  <si>
    <t>Makhmudlu settlement</t>
  </si>
  <si>
    <t>Fuzuli region</t>
  </si>
  <si>
    <t>Fuzuli  town</t>
  </si>
  <si>
    <t>Horadiz town</t>
  </si>
  <si>
    <t>Gayidish-1 settlement</t>
  </si>
  <si>
    <t>Gayidish-2 settlement</t>
  </si>
  <si>
    <t>Gayidish-3 settlement</t>
  </si>
  <si>
    <t>Gayidish-4 settlement</t>
  </si>
  <si>
    <t>Gayidish-5 settlement</t>
  </si>
  <si>
    <t>Gayidish-6 settlement</t>
  </si>
  <si>
    <t>Gayidish-7settlement</t>
  </si>
  <si>
    <t>Gayidish-8 settlement</t>
  </si>
  <si>
    <t>Gayidish-9 settlement</t>
  </si>
  <si>
    <t>Gayidish-10 settlement</t>
  </si>
  <si>
    <t>Gayidish-11 settlement</t>
  </si>
  <si>
    <t>1 st Zobucuq settlement</t>
  </si>
  <si>
    <t>2 nd Zobucuq settlement</t>
  </si>
  <si>
    <t>3 rd Zobucuq settlement</t>
  </si>
  <si>
    <t>4 th Zobucuq settlement</t>
  </si>
  <si>
    <t>5 th Zobucuq settlement</t>
  </si>
  <si>
    <t>Agdam region</t>
  </si>
  <si>
    <t>Agdam  town</t>
  </si>
  <si>
    <t>Guzanly settlement</t>
  </si>
  <si>
    <t>1 st Quzanlu settlement</t>
  </si>
  <si>
    <t>1 st Alibeyly settlement</t>
  </si>
  <si>
    <t>2 nd Alibeyly settlement</t>
  </si>
  <si>
    <t>1 st Baharly settlement</t>
  </si>
  <si>
    <t>2 nd Baharly settlement</t>
  </si>
  <si>
    <t>Banovshalar settlement</t>
  </si>
  <si>
    <t>1 st Dordyol settlement</t>
  </si>
  <si>
    <t>2 nd Dordyol settlement</t>
  </si>
  <si>
    <t>Seferly settlement</t>
  </si>
  <si>
    <t>Acharly settlement</t>
  </si>
  <si>
    <t>Imamqulubeyly settlement</t>
  </si>
  <si>
    <t>Qasimbeyly settlement</t>
  </si>
  <si>
    <t>Tezekend settlement</t>
  </si>
  <si>
    <t>Tartar region</t>
  </si>
  <si>
    <t>Tartar  town</t>
  </si>
  <si>
    <t>Aqhdara  town</t>
  </si>
  <si>
    <t>Shikharkh settlement</t>
  </si>
  <si>
    <t>Khojaly region</t>
  </si>
  <si>
    <t>Khojaly  town</t>
  </si>
  <si>
    <t>Asgaran settlement</t>
  </si>
  <si>
    <t>Shusha region</t>
  </si>
  <si>
    <t>Shusha  town</t>
  </si>
  <si>
    <t>Turshsu settlement</t>
  </si>
  <si>
    <t>Khojavand region</t>
  </si>
  <si>
    <t>Khojavand  town</t>
  </si>
  <si>
    <t>Qirmizi Bazar settlement</t>
  </si>
  <si>
    <t>Habrut settlement</t>
  </si>
  <si>
    <t>Khankendi town</t>
  </si>
  <si>
    <t>Khankendi  town</t>
  </si>
  <si>
    <t>Karkijahan settlement</t>
  </si>
  <si>
    <t>Kalbajar-Lachin economic region - total</t>
  </si>
  <si>
    <t>Kalbajar region</t>
  </si>
  <si>
    <t>Kalbajar  town</t>
  </si>
  <si>
    <t>Lachin region</t>
  </si>
  <si>
    <t>Lachin  town</t>
  </si>
  <si>
    <t>Gayghi settlement</t>
  </si>
  <si>
    <t>Gubadly region</t>
  </si>
  <si>
    <t>Gubadly town</t>
  </si>
  <si>
    <t>Zangilan region</t>
  </si>
  <si>
    <t>Zangilan town</t>
  </si>
  <si>
    <t>Minjivan settlement</t>
  </si>
  <si>
    <t>Ag Oyug settlement</t>
  </si>
  <si>
    <t>Bartaz settlement</t>
  </si>
  <si>
    <t>Aghbend settlement</t>
  </si>
  <si>
    <t>Hekeri settlement</t>
  </si>
  <si>
    <t>Dakhlik  Shirvan economic region - total</t>
  </si>
  <si>
    <t>Gobustan region</t>
  </si>
  <si>
    <t>Gobustan  town</t>
  </si>
  <si>
    <t>Uzumchu settlement</t>
  </si>
  <si>
    <t>Ismayilly region</t>
  </si>
  <si>
    <t>Ismayilly town</t>
  </si>
  <si>
    <t>Lahij settlement</t>
  </si>
  <si>
    <t>Basgal settlement</t>
  </si>
  <si>
    <t>Aghsu region</t>
  </si>
  <si>
    <t>Aghsu  town</t>
  </si>
  <si>
    <t>Shamakhy region</t>
  </si>
  <si>
    <t>Shamakhy town</t>
  </si>
  <si>
    <t>Sabir settlement</t>
  </si>
  <si>
    <t>Yusif Mammadaliyev settlement</t>
  </si>
  <si>
    <t>Madrasa settlement</t>
  </si>
  <si>
    <t>Shahriyar settlement</t>
  </si>
  <si>
    <t>Ashkar settlement</t>
  </si>
  <si>
    <t>Nakhchivan Autonomous Republic - total</t>
  </si>
  <si>
    <t>Nakchivan town</t>
  </si>
  <si>
    <t>Nakhchivan town</t>
  </si>
  <si>
    <t>Sharur region</t>
  </si>
  <si>
    <t>Sharur town</t>
  </si>
  <si>
    <t>Babek region</t>
  </si>
  <si>
    <t>Babek  settlement</t>
  </si>
  <si>
    <t>Ordubad region</t>
  </si>
  <si>
    <t>Ordubad town</t>
  </si>
  <si>
    <t>Paraqachay  settlement</t>
  </si>
  <si>
    <t>Aghdere settlement</t>
  </si>
  <si>
    <t>Shakhriyar settlement</t>
  </si>
  <si>
    <t>Julfa region</t>
  </si>
  <si>
    <t>Julfa town</t>
  </si>
  <si>
    <t>Kengerli region</t>
  </si>
  <si>
    <t xml:space="preserve">Givrag settlement </t>
  </si>
  <si>
    <t>Shahbuz region</t>
  </si>
  <si>
    <t>Shahbuz  town</t>
  </si>
  <si>
    <t>Badamlisu settlement</t>
  </si>
  <si>
    <t>Sadarak region</t>
  </si>
  <si>
    <t>Heydarabad settlement</t>
  </si>
  <si>
    <t>Urban</t>
  </si>
  <si>
    <t>Rural</t>
  </si>
  <si>
    <t>Regional split from data</t>
  </si>
  <si>
    <t>Heating fuel</t>
  </si>
  <si>
    <t>Total polution by regions</t>
  </si>
  <si>
    <t>Share of residential stock</t>
  </si>
  <si>
    <t>Seperate</t>
  </si>
  <si>
    <t>Multi</t>
  </si>
  <si>
    <t>building type</t>
  </si>
  <si>
    <t>Building location</t>
  </si>
  <si>
    <t>Building location and type</t>
  </si>
  <si>
    <t>Efficiency split</t>
  </si>
  <si>
    <t>Low</t>
  </si>
  <si>
    <t>Medium</t>
  </si>
  <si>
    <t>High</t>
  </si>
  <si>
    <t>Oil</t>
  </si>
  <si>
    <t>AFA needs to recalculated according to National temperature developments</t>
  </si>
  <si>
    <t>Detatched</t>
  </si>
  <si>
    <t>Multi storey buldings</t>
  </si>
  <si>
    <t>Estimated split of energy consumption by multi and detach buidling stucture. Following ONTIMES statistics, the split has been estimated</t>
  </si>
  <si>
    <t>Data from ONTIMES efficiency of buildings (mio M2/PJ)</t>
  </si>
  <si>
    <t>mio M2 total</t>
  </si>
  <si>
    <t>Theoretical PJ heat service total</t>
  </si>
  <si>
    <t>Heating Structure for buildings</t>
  </si>
  <si>
    <t>Cooling Structure for buildings</t>
  </si>
  <si>
    <t>Heating</t>
  </si>
  <si>
    <t>Hot Water</t>
  </si>
  <si>
    <t>SNE</t>
  </si>
  <si>
    <t>DSE</t>
  </si>
  <si>
    <t>Type</t>
  </si>
  <si>
    <t>Building</t>
  </si>
  <si>
    <t>Area</t>
  </si>
  <si>
    <t>Technology</t>
  </si>
  <si>
    <t>Existing buildings</t>
  </si>
  <si>
    <t>New buildings</t>
  </si>
  <si>
    <t>mio M2 Detached, Urban</t>
  </si>
  <si>
    <t>mio M2 Multi, Urban</t>
  </si>
  <si>
    <t>mio M2 Detached, Rural</t>
  </si>
  <si>
    <t>mio M2 Multi, Rural</t>
  </si>
  <si>
    <t>XX</t>
  </si>
  <si>
    <t>Theoretically PJ cooling service total</t>
  </si>
  <si>
    <t>Annual avaiability</t>
  </si>
  <si>
    <t>*SubSector</t>
  </si>
  <si>
    <t>*Building type</t>
  </si>
  <si>
    <t>Multi storey</t>
  </si>
  <si>
    <t>Share heat service</t>
  </si>
  <si>
    <t>Share Cooling service</t>
  </si>
  <si>
    <t>Check</t>
  </si>
  <si>
    <t>Statistical values, these are rounded to reduce numerical issues in the modelling</t>
  </si>
  <si>
    <t>Energy efficiency in new buildings</t>
  </si>
  <si>
    <t>Multi Storey</t>
  </si>
  <si>
    <t>M2/PJ</t>
  </si>
  <si>
    <t>Data from the ONTIMES model. Norway region</t>
  </si>
  <si>
    <t>Technology with age specific parameters to buildings</t>
  </si>
  <si>
    <t>Sector name</t>
  </si>
  <si>
    <t>NGA</t>
  </si>
  <si>
    <t>LPG</t>
  </si>
  <si>
    <t>DSL</t>
  </si>
  <si>
    <t>GSL</t>
  </si>
  <si>
    <t>WPE</t>
  </si>
  <si>
    <t>FIW</t>
  </si>
  <si>
    <t>SOL</t>
  </si>
  <si>
    <t>ELCH</t>
  </si>
  <si>
    <t>ELCA</t>
  </si>
  <si>
    <t>HCE</t>
  </si>
  <si>
    <t>HDE</t>
  </si>
  <si>
    <t>SNG</t>
  </si>
  <si>
    <t>DSB</t>
  </si>
  <si>
    <t>Long names</t>
  </si>
  <si>
    <t>Xhanger DH</t>
  </si>
  <si>
    <t>Savings</t>
  </si>
  <si>
    <t>Names</t>
  </si>
  <si>
    <t>Demand</t>
  </si>
  <si>
    <t>Residential</t>
  </si>
  <si>
    <t>Water Hot</t>
  </si>
  <si>
    <t>Food (cooking)</t>
  </si>
  <si>
    <t>Natural Gas</t>
  </si>
  <si>
    <t>Gasoline</t>
  </si>
  <si>
    <t>Wood pellets</t>
  </si>
  <si>
    <t>Fire wood</t>
  </si>
  <si>
    <t>Hydrogen</t>
  </si>
  <si>
    <t>Solar</t>
  </si>
  <si>
    <t>Electricity Heating</t>
  </si>
  <si>
    <t>Electricity Cooling</t>
  </si>
  <si>
    <t>Electricity Appliances</t>
  </si>
  <si>
    <t>District heating Central</t>
  </si>
  <si>
    <t>District heating Decentral</t>
  </si>
  <si>
    <t>Synthetic Natural Gas</t>
  </si>
  <si>
    <t>Renewable Diesel</t>
  </si>
  <si>
    <t>Application</t>
  </si>
  <si>
    <t>Food (Cooking)</t>
  </si>
  <si>
    <t>Existing</t>
  </si>
  <si>
    <t>Not read</t>
  </si>
  <si>
    <t>Sector</t>
  </si>
  <si>
    <t>Appliances&amp;Cooking</t>
  </si>
  <si>
    <t>Topology for processes and commodities used for Other residential energy contumpiton</t>
  </si>
  <si>
    <t>Topology for processes and commodities used for airconditioning</t>
  </si>
  <si>
    <t>Regional split</t>
  </si>
  <si>
    <t>Data manipulation</t>
  </si>
  <si>
    <t>Energy balance</t>
  </si>
  <si>
    <t>Data from sources manipulated into structures usefull for the modelling structure</t>
  </si>
  <si>
    <t>Regional splits within the model</t>
  </si>
  <si>
    <t>Sources used within this workbook - Raw data input</t>
  </si>
  <si>
    <t>Energy balance of the residential sector - Raw data input</t>
  </si>
  <si>
    <t>HETCP</t>
  </si>
  <si>
    <t>ELCLOW</t>
  </si>
  <si>
    <t>RESHSAV</t>
  </si>
  <si>
    <t>Residenatial spatial heat savings</t>
  </si>
  <si>
    <t>HSE</t>
  </si>
  <si>
    <t>District heating SubUrban</t>
  </si>
  <si>
    <t>Calibration factor</t>
  </si>
  <si>
    <t>*Calibration factor</t>
  </si>
  <si>
    <t>not available</t>
  </si>
  <si>
    <t>Special value</t>
  </si>
  <si>
    <t>Germany (until 1990 former territory of the FRG)</t>
  </si>
  <si>
    <t>Biogases</t>
  </si>
  <si>
    <t>Primary solid biofuels</t>
  </si>
  <si>
    <t>Ambient heat (heat pumps)</t>
  </si>
  <si>
    <t>Solar thermal</t>
  </si>
  <si>
    <t>Renewables and biofuels</t>
  </si>
  <si>
    <t>Gas oil and diesel oil</t>
  </si>
  <si>
    <t>Oil and petroleum products</t>
  </si>
  <si>
    <t>Liquefied natural gas</t>
  </si>
  <si>
    <t>Solid fossil fuels, peat, peat products, oil shale and oil sands</t>
  </si>
  <si>
    <t/>
  </si>
  <si>
    <t>SIEC (Labels)</t>
  </si>
  <si>
    <t>GEO (Labels)</t>
  </si>
  <si>
    <t>Final consumption - other sectors - households - energy use - other end use</t>
  </si>
  <si>
    <t>Final consumption - other sectors - households - energy use - lighting and electrical appliances</t>
  </si>
  <si>
    <t>Final consumption - other sectors - households - energy use - cooking</t>
  </si>
  <si>
    <t>Final consumption - other sectors - households - energy use - water heating</t>
  </si>
  <si>
    <t>Final consumption - other sectors - households - energy use - space cooling</t>
  </si>
  <si>
    <t>Final consumption - other sectors - households - energy use - space heating</t>
  </si>
  <si>
    <t>Final consumption - other sectors - households - energy use</t>
  </si>
  <si>
    <t>NRG_BAL (Labels)</t>
  </si>
  <si>
    <t>2019</t>
  </si>
  <si>
    <t>2018</t>
  </si>
  <si>
    <t>2017</t>
  </si>
  <si>
    <t>2016</t>
  </si>
  <si>
    <t>2015</t>
  </si>
  <si>
    <t>2014</t>
  </si>
  <si>
    <t>2013</t>
  </si>
  <si>
    <t>2012</t>
  </si>
  <si>
    <t>2011</t>
  </si>
  <si>
    <t>2010</t>
  </si>
  <si>
    <t>TIME</t>
  </si>
  <si>
    <t>Terajoule</t>
  </si>
  <si>
    <t>Unit of measure</t>
  </si>
  <si>
    <t>Annual</t>
  </si>
  <si>
    <t>Time frequency</t>
  </si>
  <si>
    <t>Disaggregated final energy consumption in households - quantities [NRG_D_HHQ__custom_2305866]</t>
  </si>
  <si>
    <t>Data extracted on 17/03/2022 10059041 from [ESTAT]</t>
  </si>
  <si>
    <t xml:space="preserve">Dataset0 </t>
  </si>
  <si>
    <t xml:space="preserve">Last updated0 </t>
  </si>
  <si>
    <t>26/01/2022 23000</t>
  </si>
  <si>
    <t>Energy consumption for appliances and others in residential sector</t>
  </si>
  <si>
    <t>Oil products</t>
  </si>
  <si>
    <t>BGA</t>
  </si>
  <si>
    <t>Biogas</t>
  </si>
  <si>
    <t xml:space="preserve">Coal </t>
  </si>
  <si>
    <t>COA</t>
  </si>
  <si>
    <t>Coal</t>
  </si>
  <si>
    <t>wood (Wood pellets)</t>
  </si>
  <si>
    <t>ELCO</t>
  </si>
  <si>
    <t>Electricity Cooking</t>
  </si>
  <si>
    <t>oil</t>
  </si>
  <si>
    <t>HP</t>
  </si>
  <si>
    <t>Electricity Water Heating</t>
  </si>
  <si>
    <t>ELCW</t>
  </si>
  <si>
    <t>Elec</t>
  </si>
  <si>
    <t>wood</t>
  </si>
  <si>
    <t>https://www.researchgate.net/publication/343139385_Performance_and_Emission_Characteristics_of_Liquid_Biofuels_Cooking_Stoves</t>
  </si>
  <si>
    <t>DE1</t>
  </si>
  <si>
    <t>STOCK~DE1</t>
  </si>
  <si>
    <t>EFF~DE1</t>
  </si>
  <si>
    <t>STOCK~2015~DE1</t>
  </si>
  <si>
    <t>STOCK~2017~DE1</t>
  </si>
  <si>
    <t>ACTBND~LO~DE1</t>
  </si>
  <si>
    <t>ACTBND~LO~DE1~2015</t>
  </si>
  <si>
    <t>ACTBND~LO~DE1~2017</t>
  </si>
  <si>
    <t>ACTBND~LO~DE1~2100</t>
  </si>
  <si>
    <t>ACTBND~LO~DE1~0</t>
  </si>
  <si>
    <t>EFF~DE1~2015</t>
  </si>
  <si>
    <t>EFF~DE1~2018</t>
  </si>
  <si>
    <t>EFF~DE1~2019</t>
  </si>
  <si>
    <t>DEMAND~DE1</t>
  </si>
  <si>
    <t>https://www.oecd.org/els/family/HM1-1-Housing-stock-and-construction.pdf</t>
  </si>
  <si>
    <t>Seperate share</t>
  </si>
  <si>
    <t>Multi share</t>
  </si>
  <si>
    <t xml:space="preserve">Urban </t>
  </si>
  <si>
    <t>Absolut</t>
  </si>
  <si>
    <t>Procent</t>
  </si>
  <si>
    <t>https://www-genesis.destatis.de/genesis/online?operation=abruftabelleBearbeiten&amp;levelindex=1&amp;levelid=1648026465648&amp;auswahloperation=abruftabelleAuspraegungAuswaehlen&amp;auswahlverzeichnis=ordnungsstruktur&amp;auswahlziel=werteabruf&amp;code=31231-0001&amp;auswahltext=&amp;werteabruf=start#abreadcrumb</t>
  </si>
  <si>
    <t>Total residential housing area of Germany</t>
  </si>
  <si>
    <t>https://ec.europa.eu/energy/eu-buildings-factsheets_en</t>
  </si>
  <si>
    <t>https://www-genesis.destatis.de/genesis/online?operation=previous&amp;levelindex=2&amp;step=2&amp;titel=Result&amp;levelid=1648028643789&amp;acceptscookies=false#abreadcrumb</t>
  </si>
  <si>
    <t>Gammel data</t>
  </si>
  <si>
    <t>https://www-genesis.destatis.de/genesis/online?operation=abruftabelleBearbeiten&amp;levelindex=1&amp;levelid=1648029010076&amp;auswahloperation=abruftabelleAuspraegungAuswaehlen&amp;auswahlverzeichnis=ordnungsstruktur&amp;auswahlziel=werteabruf&amp;code=12411-0001&amp;auswahltext=&amp;werteabruf=start#abreadcrumb</t>
  </si>
  <si>
    <t>Share of fuel in subsector</t>
  </si>
  <si>
    <t>DE2</t>
  </si>
  <si>
    <t>DE3</t>
  </si>
  <si>
    <t>STOCK~DE2</t>
  </si>
  <si>
    <t>STOCK~DE3</t>
  </si>
  <si>
    <t>EFF~DE2</t>
  </si>
  <si>
    <t>EFF~DE3</t>
  </si>
  <si>
    <t>STOCK~2015~DE2</t>
  </si>
  <si>
    <t>STOCK~2015~DE3</t>
  </si>
  <si>
    <t>STOCK~2017~DE2</t>
  </si>
  <si>
    <t>STOCK~2017~DE3</t>
  </si>
  <si>
    <t>ACTBND~LO~DE2</t>
  </si>
  <si>
    <t>ACTBND~LO~DE3</t>
  </si>
  <si>
    <t>ACTBND~LO~DE2~2015</t>
  </si>
  <si>
    <t>ACTBND~LO~DE3~2015</t>
  </si>
  <si>
    <t>ACTBND~LO~DE2~2017</t>
  </si>
  <si>
    <t>ACTBND~LO~DE3~2017</t>
  </si>
  <si>
    <t>ACTBND~LO~DE2~2100</t>
  </si>
  <si>
    <t>ACTBND~LO~DE3~2100</t>
  </si>
  <si>
    <t>ACTBND~LO~DE2~0</t>
  </si>
  <si>
    <t>ACTBND~LO~DE3~0</t>
  </si>
  <si>
    <t>DEMAND~DE2</t>
  </si>
  <si>
    <t>DEMAND~DE3</t>
  </si>
  <si>
    <t>Antaget samme split for Rural som for DE</t>
  </si>
  <si>
    <t>*</t>
  </si>
  <si>
    <t>*DE2</t>
  </si>
  <si>
    <t>*DE3</t>
  </si>
  <si>
    <t>NGAD</t>
  </si>
  <si>
    <t>Natural gas, biogas and LNG</t>
  </si>
  <si>
    <t>From data</t>
  </si>
</sst>
</file>

<file path=xl/styles.xml><?xml version="1.0" encoding="utf-8"?>
<styleSheet xmlns="http://schemas.openxmlformats.org/spreadsheetml/2006/main" xmlns:mc="http://schemas.openxmlformats.org/markup-compatibility/2006" xmlns:x14ac="http://schemas.microsoft.com/office/spreadsheetml/2009/9/ac" mc:Ignorable="x14ac">
  <numFmts count="33">
    <numFmt numFmtId="41" formatCode="_ * #,##0_ ;_ * \-#,##0_ ;_ * &quot;-&quot;_ ;_ @_ "/>
    <numFmt numFmtId="43" formatCode="_ * #,##0.00_ ;_ * \-#,##0.00_ ;_ * &quot;-&quot;??_ ;_ @_ "/>
    <numFmt numFmtId="164" formatCode="_-* #,##0_-;\-* #,##0_-;_-* &quot;-&quot;_-;_-@_-"/>
    <numFmt numFmtId="165" formatCode="_-* #,##0.00_-;\-* #,##0.00_-;_-* &quot;-&quot;??_-;_-@_-"/>
    <numFmt numFmtId="166" formatCode="_-* #,##0.00\ _k_r_-;\-* #,##0.00\ _k_r_-;_-* &quot;-&quot;??\ _k_r_-;_-@_-"/>
    <numFmt numFmtId="167" formatCode="_-&quot;€&quot;\ * #,##0.00_-;\-&quot;€&quot;\ * #,##0.00_-;_-&quot;€&quot;\ * &quot;-&quot;??_-;_-@_-"/>
    <numFmt numFmtId="168" formatCode="0.0000000"/>
    <numFmt numFmtId="169" formatCode="#,##0;\-\ #,##0;_-\ &quot;- &quot;"/>
    <numFmt numFmtId="170" formatCode="_-[$€-2]\ * #,##0.00_-;\-[$€-2]\ * #,##0.00_-;_-[$€-2]\ * &quot;-&quot;??_-"/>
    <numFmt numFmtId="171" formatCode="_-* #,##0_-;\-* #,##0_-;_-* &quot;-&quot;??_-;_-@_-"/>
    <numFmt numFmtId="172" formatCode="_-* #,##0.0_-;\-* #,##0.0_-;_-* &quot;-&quot;??_-;_-@_-"/>
    <numFmt numFmtId="173" formatCode="0.000"/>
    <numFmt numFmtId="174" formatCode="_(* #,##0.0_);_(* \(#,##0.0\);_(* &quot;-&quot;??_);_(@_)"/>
    <numFmt numFmtId="175" formatCode="_([$€]* #,##0.00_);_([$€]* \(#,##0.00\);_([$€]* &quot;-&quot;??_);_(@_)"/>
    <numFmt numFmtId="176" formatCode="0.0;\-0.0;0"/>
    <numFmt numFmtId="177" formatCode="\Te\x\t"/>
    <numFmt numFmtId="178" formatCode="_-[$€-2]* #,##0.00_-;\-[$€-2]* #,##0.00_-;_-[$€-2]* &quot;-&quot;??_-"/>
    <numFmt numFmtId="179" formatCode="0_ ;\-0\ "/>
    <numFmt numFmtId="180" formatCode="_(* #,##0_);_(* \(#,##0\);_(* &quot;-&quot;??_);_(@_)"/>
    <numFmt numFmtId="181" formatCode="_(* #,##0.000_);_(* \(#,##0.000\);_(* &quot;-&quot;??_);_(@_)"/>
    <numFmt numFmtId="182" formatCode="0.00000"/>
    <numFmt numFmtId="183" formatCode="0.0"/>
    <numFmt numFmtId="184" formatCode="#,##0.0"/>
    <numFmt numFmtId="185" formatCode="#\ ###\ ###.0"/>
    <numFmt numFmtId="186" formatCode="#,##0.0;[Red]\-#,##0.0"/>
    <numFmt numFmtId="187" formatCode="#,##0.0;[Red]\-#,###.0"/>
    <numFmt numFmtId="188" formatCode="0.000000"/>
    <numFmt numFmtId="189" formatCode="_-* #,##0.0000_-;\-* #,##0.0000_-;_-* &quot;-&quot;??_-;_-@_-"/>
    <numFmt numFmtId="190" formatCode="_(* #,##0.0000_);_(* \(#,##0.0000\);_(* &quot;-&quot;??_);_(@_)"/>
    <numFmt numFmtId="191" formatCode="#,##0.##########"/>
    <numFmt numFmtId="192" formatCode="#,##0.000"/>
    <numFmt numFmtId="193" formatCode="_-* #,##0.00\ _k_r_._-;\-* #,##0.00\ _k_r_._-;_-* &quot;-&quot;??\ _k_r_._-;_-@_-"/>
    <numFmt numFmtId="194" formatCode="#,##0.0000000000"/>
  </numFmts>
  <fonts count="125">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color indexed="9"/>
      <name val="Calibri"/>
      <family val="2"/>
    </font>
    <font>
      <sz val="10"/>
      <name val="Helv"/>
    </font>
    <font>
      <sz val="11"/>
      <color indexed="8"/>
      <name val="Calibri"/>
      <family val="2"/>
    </font>
    <font>
      <sz val="10"/>
      <color indexed="8"/>
      <name val="Calibri"/>
      <family val="2"/>
    </font>
    <font>
      <b/>
      <sz val="10"/>
      <color indexed="10"/>
      <name val="Arial"/>
      <family val="2"/>
    </font>
    <font>
      <sz val="10"/>
      <color indexed="10"/>
      <name val="Arial"/>
      <family val="2"/>
    </font>
    <font>
      <b/>
      <sz val="11"/>
      <name val="Calibri"/>
      <family val="2"/>
    </font>
    <font>
      <sz val="11"/>
      <color theme="1"/>
      <name val="Calibri"/>
      <family val="2"/>
      <scheme val="minor"/>
    </font>
    <font>
      <sz val="10"/>
      <color rgb="FF9C0006"/>
      <name val="Calibri"/>
      <family val="2"/>
    </font>
    <font>
      <u/>
      <sz val="11"/>
      <color theme="10"/>
      <name val="Calibri"/>
      <family val="2"/>
      <scheme val="minor"/>
    </font>
    <font>
      <sz val="11"/>
      <color theme="1"/>
      <name val="Calibri"/>
      <family val="2"/>
    </font>
    <font>
      <sz val="10"/>
      <color theme="1"/>
      <name val="Calibri"/>
      <family val="2"/>
    </font>
    <font>
      <sz val="12"/>
      <name val="Times New Roman"/>
      <family val="1"/>
    </font>
    <font>
      <b/>
      <sz val="12"/>
      <name val="Times New Roman"/>
      <family val="1"/>
    </font>
    <font>
      <b/>
      <sz val="11"/>
      <color rgb="FF000000"/>
      <name val="Calibri"/>
      <family val="2"/>
    </font>
    <font>
      <b/>
      <sz val="11"/>
      <color rgb="FFFA7D00"/>
      <name val="Calibri"/>
      <family val="2"/>
      <scheme val="minor"/>
    </font>
    <font>
      <b/>
      <sz val="11"/>
      <color theme="1"/>
      <name val="Calibri"/>
      <family val="2"/>
      <scheme val="minor"/>
    </font>
    <font>
      <b/>
      <sz val="14"/>
      <color rgb="FFFF0000"/>
      <name val="Calibri"/>
      <family val="2"/>
      <scheme val="minor"/>
    </font>
    <font>
      <sz val="10"/>
      <color rgb="FF0000FF"/>
      <name val="Calibri"/>
      <family val="2"/>
    </font>
    <font>
      <sz val="9"/>
      <name val="Geneva"/>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i/>
      <sz val="10"/>
      <name val="Calibri"/>
      <family val="2"/>
    </font>
    <font>
      <sz val="10"/>
      <color rgb="FFFFFF00"/>
      <name val="Arial"/>
      <family val="2"/>
    </font>
    <font>
      <b/>
      <sz val="11"/>
      <color theme="0"/>
      <name val="Calibri"/>
      <family val="2"/>
      <scheme val="minor"/>
    </font>
    <font>
      <sz val="11"/>
      <color theme="0"/>
      <name val="Calibri"/>
      <family val="2"/>
      <scheme val="minor"/>
    </font>
    <font>
      <sz val="10"/>
      <color rgb="FF006100"/>
      <name val="Calibri"/>
      <family val="2"/>
    </font>
    <font>
      <u/>
      <sz val="10"/>
      <color theme="10"/>
      <name val="Calibri"/>
      <family val="2"/>
    </font>
    <font>
      <u/>
      <sz val="11"/>
      <color theme="10"/>
      <name val="Calibri"/>
      <family val="2"/>
    </font>
    <font>
      <sz val="10"/>
      <color rgb="FF9C6500"/>
      <name val="Calibri"/>
      <family val="2"/>
    </font>
    <font>
      <b/>
      <sz val="12"/>
      <name val="Arial"/>
      <family val="2"/>
    </font>
    <font>
      <sz val="8"/>
      <color indexed="9"/>
      <name val="Arial"/>
      <family val="2"/>
    </font>
    <font>
      <sz val="11"/>
      <color rgb="FF000000"/>
      <name val="Calibri"/>
      <family val="2"/>
    </font>
    <font>
      <b/>
      <sz val="14"/>
      <color rgb="FF000000"/>
      <name val="Calibri"/>
      <family val="2"/>
    </font>
    <font>
      <sz val="8"/>
      <color rgb="FF000000"/>
      <name val="Tahoma"/>
      <family val="2"/>
    </font>
    <font>
      <sz val="8"/>
      <name val="Tahoma"/>
      <family val="2"/>
    </font>
    <font>
      <sz val="10"/>
      <color rgb="FFFF0000"/>
      <name val="Arial"/>
      <family val="2"/>
    </font>
    <font>
      <b/>
      <sz val="11"/>
      <name val="Arial"/>
      <family val="2"/>
    </font>
    <font>
      <b/>
      <sz val="10"/>
      <color rgb="FF0070C0"/>
      <name val="Arial"/>
      <family val="2"/>
    </font>
    <font>
      <sz val="11"/>
      <name val="Calibri"/>
      <family val="2"/>
      <scheme val="minor"/>
    </font>
    <font>
      <b/>
      <sz val="11"/>
      <name val="Calibri"/>
      <family val="2"/>
      <scheme val="minor"/>
    </font>
    <font>
      <b/>
      <sz val="14"/>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0"/>
      <name val="Calibri"/>
      <family val="2"/>
      <scheme val="minor"/>
    </font>
    <font>
      <sz val="8"/>
      <name val="Calibri"/>
      <family val="2"/>
      <scheme val="minor"/>
    </font>
    <font>
      <sz val="10"/>
      <color theme="5" tint="-0.249977111117893"/>
      <name val="Calibri"/>
      <family val="2"/>
      <scheme val="minor"/>
    </font>
    <font>
      <sz val="10"/>
      <color theme="1" tint="0.14999847407452621"/>
      <name val="Calibri"/>
      <family val="2"/>
      <scheme val="minor"/>
    </font>
    <font>
      <sz val="10"/>
      <color rgb="FFFF0000"/>
      <name val="Calibri"/>
      <family val="2"/>
      <scheme val="minor"/>
    </font>
    <font>
      <sz val="10"/>
      <color rgb="FF00B050"/>
      <name val="Calibri"/>
      <family val="2"/>
      <scheme val="minor"/>
    </font>
    <font>
      <sz val="10"/>
      <color theme="3" tint="0.39997558519241921"/>
      <name val="Calibri"/>
      <family val="2"/>
      <scheme val="minor"/>
    </font>
    <font>
      <b/>
      <sz val="10"/>
      <color theme="9" tint="-0.249977111117893"/>
      <name val="Arial"/>
      <family val="2"/>
    </font>
    <font>
      <sz val="11"/>
      <color theme="1"/>
      <name val="Calibri"/>
      <family val="2"/>
      <charset val="204"/>
      <scheme val="minor"/>
    </font>
    <font>
      <sz val="11"/>
      <name val="Times New Roman"/>
      <family val="1"/>
      <charset val="204"/>
    </font>
    <font>
      <b/>
      <sz val="11"/>
      <name val="Times New Roman"/>
      <family val="1"/>
      <charset val="204"/>
    </font>
    <font>
      <b/>
      <sz val="11"/>
      <name val="Times New Roman"/>
      <family val="1"/>
    </font>
    <font>
      <sz val="11"/>
      <name val="Times New Roman"/>
      <family val="1"/>
    </font>
    <font>
      <b/>
      <vertAlign val="superscript"/>
      <sz val="11"/>
      <name val="Times New Roman"/>
      <family val="1"/>
    </font>
    <font>
      <vertAlign val="superscript"/>
      <sz val="11"/>
      <name val="Times New Roman"/>
      <family val="1"/>
    </font>
    <font>
      <b/>
      <sz val="12"/>
      <name val="Times New Roman"/>
      <family val="1"/>
      <charset val="204"/>
    </font>
    <font>
      <i/>
      <sz val="12"/>
      <name val="Times New Roman"/>
      <family val="1"/>
      <charset val="204"/>
    </font>
    <font>
      <b/>
      <i/>
      <sz val="12"/>
      <name val="Times New Roman"/>
      <family val="1"/>
      <charset val="204"/>
    </font>
    <font>
      <sz val="12"/>
      <name val="Times New Roman"/>
      <family val="1"/>
      <charset val="204"/>
    </font>
    <font>
      <b/>
      <sz val="11"/>
      <color theme="1"/>
      <name val="Times New Roman"/>
      <family val="1"/>
      <charset val="204"/>
    </font>
    <font>
      <sz val="11"/>
      <color theme="1"/>
      <name val="Times New Roman"/>
      <family val="1"/>
      <charset val="204"/>
    </font>
    <font>
      <b/>
      <sz val="11"/>
      <color rgb="FF000000"/>
      <name val="Times New Roman"/>
      <family val="1"/>
      <charset val="204"/>
    </font>
    <font>
      <b/>
      <sz val="11"/>
      <color theme="1" tint="0.34998626667073579"/>
      <name val="Calibri"/>
      <family val="2"/>
      <scheme val="minor"/>
    </font>
    <font>
      <sz val="10"/>
      <color theme="1" tint="0.34998626667073579"/>
      <name val="Arial"/>
      <family val="2"/>
    </font>
    <font>
      <b/>
      <sz val="16"/>
      <name val="Arial"/>
      <family val="2"/>
    </font>
    <font>
      <b/>
      <sz val="16"/>
      <name val="Calibri"/>
      <family val="2"/>
      <scheme val="minor"/>
    </font>
    <font>
      <b/>
      <sz val="14"/>
      <name val="Arial"/>
      <family val="2"/>
    </font>
    <font>
      <b/>
      <sz val="10"/>
      <color rgb="FFFF0000"/>
      <name val="Arial"/>
      <family val="2"/>
    </font>
    <font>
      <sz val="8"/>
      <color rgb="FFFF0000"/>
      <name val="Calibri"/>
      <family val="2"/>
    </font>
    <font>
      <sz val="11"/>
      <color indexed="8"/>
      <name val="Calibri"/>
      <family val="2"/>
      <scheme val="minor"/>
    </font>
    <font>
      <sz val="9"/>
      <name val="Arial"/>
      <family val="2"/>
    </font>
    <font>
      <b/>
      <sz val="9"/>
      <name val="Arial"/>
      <family val="2"/>
    </font>
    <font>
      <b/>
      <sz val="9"/>
      <color indexed="9"/>
      <name val="Arial"/>
      <family val="2"/>
    </font>
    <font>
      <sz val="8"/>
      <name val="Arial"/>
      <family val="2"/>
    </font>
    <font>
      <u/>
      <sz val="10"/>
      <color theme="10"/>
      <name val="Arial"/>
      <family val="2"/>
    </font>
  </fonts>
  <fills count="9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51"/>
        <bgColor indexed="64"/>
      </patternFill>
    </fill>
    <fill>
      <patternFill patternType="solid">
        <fgColor indexed="31"/>
        <bgColor indexed="64"/>
      </patternFill>
    </fill>
    <fill>
      <patternFill patternType="solid">
        <fgColor indexed="13"/>
        <bgColor indexed="64"/>
      </patternFill>
    </fill>
    <fill>
      <patternFill patternType="solid">
        <fgColor indexed="50"/>
        <bgColor indexed="64"/>
      </patternFill>
    </fill>
    <fill>
      <patternFill patternType="solid">
        <fgColor indexed="36"/>
        <bgColor indexed="64"/>
      </patternFill>
    </fill>
    <fill>
      <patternFill patternType="solid">
        <fgColor indexed="23"/>
        <bgColor indexed="64"/>
      </patternFill>
    </fill>
    <fill>
      <patternFill patternType="solid">
        <fgColor indexed="12"/>
        <bgColor indexed="64"/>
      </patternFill>
    </fill>
    <fill>
      <patternFill patternType="solid">
        <fgColor indexed="49"/>
        <bgColor indexed="64"/>
      </patternFill>
    </fill>
    <fill>
      <patternFill patternType="solid">
        <fgColor indexed="11"/>
        <bgColor indexed="64"/>
      </patternFill>
    </fill>
    <fill>
      <patternFill patternType="solid">
        <fgColor indexed="44"/>
        <bgColor indexed="64"/>
      </patternFill>
    </fill>
    <fill>
      <patternFill patternType="solid">
        <fgColor rgb="FFFFC7CE"/>
      </patternFill>
    </fill>
    <fill>
      <patternFill patternType="solid">
        <fgColor rgb="FFFFFF00"/>
        <bgColor indexed="64"/>
      </patternFill>
    </fill>
    <fill>
      <patternFill patternType="solid">
        <fgColor rgb="FFF2F2F2"/>
      </patternFill>
    </fill>
    <fill>
      <patternFill patternType="solid">
        <fgColor theme="0"/>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theme="5" tint="0.59999389629810485"/>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3"/>
        <bgColor indexed="64"/>
      </patternFill>
    </fill>
    <fill>
      <patternFill patternType="solid">
        <fgColor indexed="6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00B0F0"/>
        <bgColor indexed="64"/>
      </patternFill>
    </fill>
    <fill>
      <patternFill patternType="solid">
        <fgColor rgb="FFFF0000"/>
        <bgColor indexed="64"/>
      </patternFill>
    </fill>
  </fills>
  <borders count="130">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ck">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thick">
        <color auto="1"/>
      </right>
      <top/>
      <bottom/>
      <diagonal/>
    </border>
    <border>
      <left style="medium">
        <color indexed="64"/>
      </left>
      <right style="thin">
        <color indexed="64"/>
      </right>
      <top style="medium">
        <color indexed="64"/>
      </top>
      <bottom style="thin">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medium">
        <color indexed="64"/>
      </bottom>
      <diagonal/>
    </border>
    <border>
      <left style="thin">
        <color auto="1"/>
      </left>
      <right/>
      <top style="thick">
        <color indexed="64"/>
      </top>
      <bottom style="medium">
        <color indexed="64"/>
      </bottom>
      <diagonal/>
    </border>
    <border>
      <left/>
      <right/>
      <top style="thick">
        <color indexed="64"/>
      </top>
      <bottom style="medium">
        <color indexed="64"/>
      </bottom>
      <diagonal/>
    </border>
    <border>
      <left/>
      <right style="thick">
        <color auto="1"/>
      </right>
      <top style="thick">
        <color indexed="64"/>
      </top>
      <bottom style="medium">
        <color indexed="64"/>
      </bottom>
      <diagonal/>
    </border>
    <border>
      <left style="thick">
        <color indexed="64"/>
      </left>
      <right style="thin">
        <color indexed="64"/>
      </right>
      <top style="medium">
        <color indexed="64"/>
      </top>
      <bottom/>
      <diagonal/>
    </border>
    <border>
      <left style="thin">
        <color indexed="64"/>
      </left>
      <right/>
      <top style="medium">
        <color indexed="64"/>
      </top>
      <bottom/>
      <diagonal/>
    </border>
    <border>
      <left/>
      <right style="thick">
        <color indexed="64"/>
      </right>
      <top style="medium">
        <color indexed="64"/>
      </top>
      <bottom/>
      <diagonal/>
    </border>
    <border>
      <left style="thick">
        <color indexed="64"/>
      </left>
      <right style="thin">
        <color indexed="64"/>
      </right>
      <top/>
      <bottom style="medium">
        <color indexed="64"/>
      </bottom>
      <diagonal/>
    </border>
    <border>
      <left style="thin">
        <color indexed="64"/>
      </left>
      <right/>
      <top/>
      <bottom style="medium">
        <color indexed="64"/>
      </bottom>
      <diagonal/>
    </border>
    <border>
      <left/>
      <right style="thick">
        <color indexed="64"/>
      </right>
      <top/>
      <bottom style="medium">
        <color indexed="64"/>
      </bottom>
      <diagonal/>
    </border>
    <border>
      <left style="medium">
        <color indexed="64"/>
      </left>
      <right/>
      <top/>
      <bottom style="thick">
        <color indexed="64"/>
      </bottom>
      <diagonal/>
    </border>
    <border>
      <left style="medium">
        <color indexed="64"/>
      </left>
      <right/>
      <top/>
      <bottom style="medium">
        <color indexed="64"/>
      </bottom>
      <diagonal/>
    </border>
    <border>
      <left/>
      <right/>
      <top style="medium">
        <color auto="1"/>
      </top>
      <bottom/>
      <diagonal/>
    </border>
    <border>
      <left/>
      <right/>
      <top style="thin">
        <color indexed="64"/>
      </top>
      <bottom/>
      <diagonal/>
    </border>
    <border>
      <left/>
      <right/>
      <top/>
      <bottom style="medium">
        <color auto="1"/>
      </bottom>
      <diagonal/>
    </border>
    <border>
      <left style="medium">
        <color auto="1"/>
      </left>
      <right/>
      <top style="medium">
        <color auto="1"/>
      </top>
      <bottom/>
      <diagonal/>
    </border>
    <border>
      <left style="thin">
        <color auto="1"/>
      </left>
      <right/>
      <top style="medium">
        <color auto="1"/>
      </top>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top/>
      <bottom style="medium">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right/>
      <top style="thin">
        <color indexed="64"/>
      </top>
      <bottom style="thin">
        <color indexed="64"/>
      </bottom>
      <diagonal/>
    </border>
    <border>
      <left/>
      <right style="medium">
        <color indexed="64"/>
      </right>
      <top style="medium">
        <color auto="1"/>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theme="1"/>
      </top>
      <bottom/>
      <diagonal/>
    </border>
    <border>
      <left/>
      <right/>
      <top/>
      <bottom style="medium">
        <color theme="1"/>
      </bottom>
      <diagonal/>
    </border>
    <border>
      <left/>
      <right/>
      <top/>
      <bottom style="thin">
        <color theme="1"/>
      </bottom>
      <diagonal/>
    </border>
    <border>
      <left/>
      <right/>
      <top style="thin">
        <color theme="1"/>
      </top>
      <bottom/>
      <diagonal/>
    </border>
    <border>
      <left style="thin">
        <color indexed="64"/>
      </left>
      <right/>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theme="1"/>
      </top>
      <bottom/>
      <diagonal/>
    </border>
    <border>
      <left/>
      <right style="thin">
        <color indexed="64"/>
      </right>
      <top style="thin">
        <color indexed="64"/>
      </top>
      <bottom style="thin">
        <color indexed="64"/>
      </bottom>
      <diagonal/>
    </border>
    <border>
      <left/>
      <right style="thin">
        <color indexed="64"/>
      </right>
      <top/>
      <bottom style="medium">
        <color theme="1"/>
      </bottom>
      <diagonal/>
    </border>
    <border>
      <left/>
      <right style="thin">
        <color indexed="64"/>
      </right>
      <top style="medium">
        <color theme="1"/>
      </top>
      <bottom/>
      <diagonal/>
    </border>
    <border>
      <left/>
      <right style="thin">
        <color indexed="64"/>
      </right>
      <top/>
      <bottom style="thin">
        <color theme="1"/>
      </bottom>
      <diagonal/>
    </border>
    <border>
      <left/>
      <right style="thin">
        <color indexed="64"/>
      </right>
      <top style="thin">
        <color theme="1"/>
      </top>
      <bottom/>
      <diagonal/>
    </border>
    <border>
      <left/>
      <right style="thin">
        <color indexed="64"/>
      </right>
      <top/>
      <bottom style="medium">
        <color auto="1"/>
      </bottom>
      <diagonal/>
    </border>
    <border>
      <left style="thin">
        <color indexed="64"/>
      </left>
      <right/>
      <top/>
      <bottom style="thin">
        <color theme="1"/>
      </bottom>
      <diagonal/>
    </border>
    <border>
      <left style="thin">
        <color indexed="64"/>
      </left>
      <right/>
      <top style="thin">
        <color theme="1"/>
      </top>
      <bottom/>
      <diagonal/>
    </border>
    <border>
      <left/>
      <right/>
      <top/>
      <bottom style="medium">
        <color auto="1"/>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B0B0B0"/>
      </left>
      <right style="thin">
        <color rgb="FFB0B0B0"/>
      </right>
      <top style="thin">
        <color rgb="FFB0B0B0"/>
      </top>
      <bottom style="thin">
        <color rgb="FFB0B0B0"/>
      </bottom>
      <diagonal/>
    </border>
    <border>
      <left style="medium">
        <color rgb="FFD7E1F0"/>
      </left>
      <right style="medium">
        <color rgb="FFD7E1F0"/>
      </right>
      <top/>
      <bottom style="medium">
        <color rgb="FFD7E1F0"/>
      </bottom>
      <diagonal/>
    </border>
    <border>
      <left style="thin">
        <color rgb="FFB0B0B0"/>
      </left>
      <right style="thin">
        <color rgb="FFB0B0B0"/>
      </right>
      <top/>
      <bottom/>
      <diagonal/>
    </border>
  </borders>
  <cellStyleXfs count="4352">
    <xf numFmtId="0" fontId="0" fillId="0" borderId="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8" fillId="0" borderId="0" applyNumberFormat="0" applyFont="0" applyFill="0" applyBorder="0" applyProtection="0">
      <alignment horizontal="left" vertical="center" indent="5"/>
    </xf>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4" fontId="37" fillId="20" borderId="1">
      <alignment horizontal="right" vertical="center"/>
    </xf>
    <xf numFmtId="4" fontId="37" fillId="20" borderId="1">
      <alignment horizontal="right" vertical="center"/>
    </xf>
    <xf numFmtId="0" fontId="49" fillId="39" borderId="0" applyNumberFormat="0" applyBorder="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3" fillId="0" borderId="3" applyNumberFormat="0" applyFill="0" applyAlignment="0" applyProtection="0"/>
    <xf numFmtId="0" fontId="14" fillId="22" borderId="4" applyNumberFormat="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43" fontId="7"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0" fontId="42" fillId="0" borderId="0"/>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170" fontId="7"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75" fontId="8"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0" fontId="8" fillId="0" borderId="0" applyFont="0" applyFill="0" applyBorder="0" applyAlignment="0" applyProtection="0"/>
    <xf numFmtId="170" fontId="8"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70"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0" fontId="42" fillId="0" borderId="0"/>
    <xf numFmtId="0" fontId="50"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4" fontId="38" fillId="0" borderId="0" applyBorder="0">
      <alignment horizontal="right" vertical="center"/>
    </xf>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43" fontId="8"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0" fontId="17" fillId="23" borderId="0" applyNumberFormat="0" applyBorder="0" applyAlignment="0" applyProtection="0"/>
    <xf numFmtId="0" fontId="8" fillId="0" borderId="0"/>
    <xf numFmtId="0" fontId="8" fillId="0" borderId="0"/>
    <xf numFmtId="0" fontId="42" fillId="0" borderId="0"/>
    <xf numFmtId="0" fontId="48" fillId="0" borderId="0"/>
    <xf numFmtId="0" fontId="8" fillId="0" borderId="0"/>
    <xf numFmtId="0" fontId="48" fillId="0" borderId="0"/>
    <xf numFmtId="0" fontId="48" fillId="0" borderId="0"/>
    <xf numFmtId="0" fontId="48" fillId="0" borderId="0"/>
    <xf numFmtId="0" fontId="51" fillId="0" borderId="0"/>
    <xf numFmtId="0" fontId="52" fillId="0" borderId="0"/>
    <xf numFmtId="0" fontId="48" fillId="0" borderId="0"/>
    <xf numFmtId="0" fontId="52" fillId="0" borderId="0"/>
    <xf numFmtId="0" fontId="35" fillId="0" borderId="0"/>
    <xf numFmtId="0" fontId="8" fillId="0" borderId="0"/>
    <xf numFmtId="4" fontId="38" fillId="0" borderId="1" applyFill="0" applyBorder="0" applyProtection="0">
      <alignment horizontal="right" vertical="center"/>
    </xf>
    <xf numFmtId="4" fontId="38" fillId="0" borderId="1" applyFill="0" applyBorder="0" applyProtection="0">
      <alignment horizontal="right" vertical="center"/>
    </xf>
    <xf numFmtId="0" fontId="39" fillId="0" borderId="0" applyNumberFormat="0" applyFill="0" applyBorder="0" applyProtection="0">
      <alignment horizontal="left" vertical="center"/>
    </xf>
    <xf numFmtId="0" fontId="8" fillId="24" borderId="0" applyNumberFormat="0" applyFont="0" applyBorder="0" applyAlignment="0" applyProtection="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10" fillId="0" borderId="0"/>
    <xf numFmtId="0" fontId="10"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36" fillId="0" borderId="0"/>
    <xf numFmtId="0" fontId="7"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40"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169" fontId="7"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42" fillId="0" borderId="0"/>
    <xf numFmtId="9" fontId="8"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43"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0" fontId="8" fillId="0" borderId="0"/>
    <xf numFmtId="0" fontId="19"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2" fillId="0" borderId="6" applyNumberFormat="0" applyFill="0" applyAlignment="0" applyProtection="0"/>
    <xf numFmtId="0" fontId="23" fillId="0" borderId="7"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4" fillId="0" borderId="0" applyNumberFormat="0" applyFill="0" applyBorder="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6" fillId="3" borderId="0" applyNumberFormat="0" applyBorder="0" applyAlignment="0" applyProtection="0"/>
    <xf numFmtId="0" fontId="27" fillId="4" borderId="0" applyNumberFormat="0" applyBorder="0" applyAlignment="0" applyProtection="0"/>
    <xf numFmtId="4" fontId="38" fillId="0" borderId="0"/>
    <xf numFmtId="0" fontId="6" fillId="0" borderId="0"/>
    <xf numFmtId="178" fontId="7" fillId="0" borderId="0"/>
    <xf numFmtId="178" fontId="7" fillId="0" borderId="0"/>
    <xf numFmtId="3" fontId="7" fillId="42" borderId="56" applyFont="0" applyFill="0" applyBorder="0" applyAlignment="0" applyProtection="0"/>
    <xf numFmtId="3" fontId="7" fillId="42" borderId="56" applyFont="0" applyFill="0" applyBorder="0" applyAlignment="0" applyProtection="0"/>
    <xf numFmtId="0" fontId="7" fillId="0" borderId="0" applyNumberFormat="0" applyFont="0" applyFill="0" applyBorder="0" applyProtection="0">
      <alignment horizontal="left" vertical="center" indent="5"/>
    </xf>
    <xf numFmtId="0" fontId="49" fillId="39" borderId="0" applyNumberFormat="0" applyBorder="0" applyAlignment="0" applyProtection="0"/>
    <xf numFmtId="3" fontId="59" fillId="43" borderId="56" applyNumberFormat="0" applyBorder="0" applyAlignment="0" applyProtection="0"/>
    <xf numFmtId="0" fontId="56" fillId="41" borderId="56" applyNumberFormat="0" applyAlignment="0" applyProtection="0"/>
    <xf numFmtId="0" fontId="29" fillId="42" borderId="56" applyNumberFormat="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35"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35"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5"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78" fontId="7" fillId="0" borderId="0" applyFont="0" applyFill="0" applyBorder="0" applyAlignment="0" applyProtection="0"/>
    <xf numFmtId="178"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0" fontId="15" fillId="7" borderId="57" applyNumberFormat="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50" fillId="0" borderId="0" applyNumberFormat="0" applyFill="0" applyBorder="0" applyAlignment="0" applyProtection="0"/>
    <xf numFmtId="179" fontId="61" fillId="44" borderId="0" applyNumberFormat="0" applyBorder="0" applyAlignment="0" applyProtection="0">
      <alignment horizontal="center" vertical="top" wrapText="1"/>
    </xf>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0" fontId="7" fillId="0" borderId="0"/>
    <xf numFmtId="0" fontId="6" fillId="0" borderId="0"/>
    <xf numFmtId="0" fontId="7" fillId="0" borderId="0"/>
    <xf numFmtId="0" fontId="7" fillId="0" borderId="0"/>
    <xf numFmtId="0" fontId="6" fillId="0" borderId="0"/>
    <xf numFmtId="0" fontId="42" fillId="0" borderId="0"/>
    <xf numFmtId="0" fontId="7" fillId="0" borderId="0"/>
    <xf numFmtId="0" fontId="7" fillId="0" borderId="0"/>
    <xf numFmtId="0" fontId="7" fillId="0" borderId="0"/>
    <xf numFmtId="0" fontId="6" fillId="0" borderId="0"/>
    <xf numFmtId="0" fontId="7" fillId="0" borderId="0"/>
    <xf numFmtId="0" fontId="6" fillId="0" borderId="0"/>
    <xf numFmtId="0" fontId="6" fillId="0" borderId="0"/>
    <xf numFmtId="0" fontId="7" fillId="0" borderId="0"/>
    <xf numFmtId="0" fontId="7" fillId="0" borderId="0"/>
    <xf numFmtId="0" fontId="52" fillId="0" borderId="0"/>
    <xf numFmtId="0" fontId="52" fillId="0" borderId="0"/>
    <xf numFmtId="0" fontId="52" fillId="0" borderId="0"/>
    <xf numFmtId="0" fontId="6" fillId="0" borderId="0"/>
    <xf numFmtId="0" fontId="7" fillId="0" borderId="0"/>
    <xf numFmtId="0" fontId="6" fillId="0" borderId="0"/>
    <xf numFmtId="0" fontId="52" fillId="0" borderId="0"/>
    <xf numFmtId="0" fontId="6" fillId="0" borderId="0"/>
    <xf numFmtId="0" fontId="6" fillId="0" borderId="0"/>
    <xf numFmtId="0" fontId="7" fillId="24" borderId="0" applyNumberFormat="0" applyFon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25" borderId="58" applyNumberFormat="0" applyFont="0" applyAlignment="0" applyProtection="0"/>
    <xf numFmtId="0" fontId="7" fillId="25" borderId="58" applyNumberFormat="0" applyFont="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0" fontId="18" fillId="21" borderId="59" applyNumberFormat="0" applyAlignment="0" applyProtection="0"/>
    <xf numFmtId="0" fontId="62" fillId="45" borderId="0" applyNumberFormat="0" applyAlignment="0" applyProtection="0"/>
    <xf numFmtId="0" fontId="63" fillId="46" borderId="0" applyNumberFormat="0" applyAlignment="0" applyProtection="0"/>
    <xf numFmtId="0" fontId="64" fillId="47" borderId="0" applyNumberFormat="0" applyAlignment="0" applyProtection="0"/>
    <xf numFmtId="179" fontId="47" fillId="48" borderId="0" applyNumberFormat="0" applyFill="0" applyBorder="0" applyAlignment="0">
      <alignment horizontal="center"/>
    </xf>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5" fillId="41" borderId="56" applyNumberFormat="0" applyFill="0" applyBorder="0" applyAlignment="0" applyProtection="0"/>
    <xf numFmtId="0" fontId="66" fillId="41" borderId="56" applyFill="0" applyBorder="0" applyAlignment="0" applyProtection="0"/>
    <xf numFmtId="0" fontId="5" fillId="0" borderId="0"/>
    <xf numFmtId="166" fontId="7" fillId="0" borderId="0" applyFont="0" applyFill="0" applyBorder="0" applyAlignment="0" applyProtection="0"/>
    <xf numFmtId="0" fontId="4" fillId="0" borderId="0"/>
    <xf numFmtId="0" fontId="4" fillId="56" borderId="0" applyNumberFormat="0" applyBorder="0" applyAlignment="0" applyProtection="0"/>
    <xf numFmtId="0" fontId="4" fillId="56"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69" fillId="58" borderId="0" applyNumberFormat="0" applyBorder="0" applyAlignment="0" applyProtection="0"/>
    <xf numFmtId="0" fontId="69" fillId="62" borderId="0" applyNumberFormat="0" applyBorder="0" applyAlignment="0" applyProtection="0"/>
    <xf numFmtId="0" fontId="69" fillId="66" borderId="0" applyNumberFormat="0" applyBorder="0" applyAlignment="0" applyProtection="0"/>
    <xf numFmtId="0" fontId="69" fillId="70" borderId="0" applyNumberFormat="0" applyBorder="0" applyAlignment="0" applyProtection="0"/>
    <xf numFmtId="0" fontId="69" fillId="74" borderId="0" applyNumberFormat="0" applyBorder="0" applyAlignment="0" applyProtection="0"/>
    <xf numFmtId="0" fontId="69" fillId="78" borderId="0" applyNumberFormat="0" applyBorder="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43" fontId="3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4" fillId="0" borderId="0" applyFont="0" applyFill="0" applyBorder="0" applyAlignment="0" applyProtection="0"/>
    <xf numFmtId="43" fontId="7" fillId="0" borderId="0" applyFont="0" applyFill="0" applyBorder="0" applyAlignment="0" applyProtection="0"/>
    <xf numFmtId="43" fontId="4" fillId="0" borderId="0" applyFont="0" applyFill="0" applyBorder="0" applyAlignment="0" applyProtection="0"/>
    <xf numFmtId="0" fontId="38" fillId="0" borderId="61">
      <alignment horizontal="left" vertical="center" wrapText="1" indent="2"/>
    </xf>
    <xf numFmtId="0" fontId="38" fillId="0" borderId="61">
      <alignment horizontal="left" vertical="center" wrapText="1" indent="2"/>
    </xf>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75"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0" fontId="70" fillId="51" borderId="0" applyNumberFormat="0" applyBorder="0" applyAlignment="0" applyProtection="0"/>
    <xf numFmtId="0" fontId="71" fillId="0" borderId="0" applyNumberFormat="0" applyFill="0" applyBorder="0" applyAlignment="0" applyProtection="0"/>
    <xf numFmtId="0" fontId="50" fillId="0" borderId="0" applyNumberFormat="0" applyFill="0" applyBorder="0" applyAlignment="0" applyProtection="0"/>
    <xf numFmtId="0" fontId="72" fillId="0" borderId="0" applyNumberFormat="0" applyFill="0" applyBorder="0" applyAlignment="0" applyProtection="0">
      <alignment vertical="top"/>
      <protection locked="0"/>
    </xf>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43" fontId="42" fillId="0" borderId="0" applyFont="0" applyFill="0" applyBorder="0" applyAlignment="0" applyProtection="0"/>
    <xf numFmtId="0" fontId="68" fillId="53" borderId="62" applyNumberFormat="0" applyAlignment="0" applyProtection="0"/>
    <xf numFmtId="0" fontId="69" fillId="55" borderId="0" applyNumberFormat="0" applyBorder="0" applyAlignment="0" applyProtection="0"/>
    <xf numFmtId="0" fontId="69" fillId="59" borderId="0" applyNumberFormat="0" applyBorder="0" applyAlignment="0" applyProtection="0"/>
    <xf numFmtId="0" fontId="69" fillId="63" borderId="0" applyNumberFormat="0" applyBorder="0" applyAlignment="0" applyProtection="0"/>
    <xf numFmtId="0" fontId="69" fillId="67" borderId="0" applyNumberFormat="0" applyBorder="0" applyAlignment="0" applyProtection="0"/>
    <xf numFmtId="0" fontId="69" fillId="71" borderId="0" applyNumberFormat="0" applyBorder="0" applyAlignment="0" applyProtection="0"/>
    <xf numFmtId="0" fontId="69" fillId="75" borderId="0" applyNumberFormat="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0" fontId="73" fillId="52" borderId="0" applyNumberFormat="0" applyBorder="0" applyAlignment="0" applyProtection="0"/>
    <xf numFmtId="0" fontId="52" fillId="0" borderId="0"/>
    <xf numFmtId="0" fontId="4" fillId="0" borderId="0"/>
    <xf numFmtId="0" fontId="7" fillId="0" borderId="0"/>
    <xf numFmtId="0" fontId="7" fillId="0" borderId="0"/>
    <xf numFmtId="0" fontId="4" fillId="0" borderId="0"/>
    <xf numFmtId="0" fontId="7" fillId="0" borderId="0"/>
    <xf numFmtId="0" fontId="4" fillId="0" borderId="0"/>
    <xf numFmtId="0" fontId="7" fillId="0" borderId="0"/>
    <xf numFmtId="0" fontId="7" fillId="0" borderId="0"/>
    <xf numFmtId="0" fontId="7" fillId="0" borderId="0"/>
    <xf numFmtId="0" fontId="7" fillId="0" borderId="0"/>
    <xf numFmtId="0" fontId="4"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7" fillId="0" borderId="0"/>
    <xf numFmtId="0" fontId="52" fillId="0" borderId="0"/>
    <xf numFmtId="0" fontId="4" fillId="0" borderId="0"/>
    <xf numFmtId="0" fontId="4" fillId="0" borderId="0"/>
    <xf numFmtId="0" fontId="7" fillId="0" borderId="0"/>
    <xf numFmtId="0" fontId="7" fillId="0" borderId="0"/>
    <xf numFmtId="0" fontId="7"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51" fillId="0" borderId="0"/>
    <xf numFmtId="0" fontId="51" fillId="0" borderId="0"/>
    <xf numFmtId="0" fontId="7" fillId="0" borderId="0"/>
    <xf numFmtId="0" fontId="7" fillId="0" borderId="0"/>
    <xf numFmtId="0" fontId="7" fillId="0" borderId="0"/>
    <xf numFmtId="0" fontId="7" fillId="0" borderId="0"/>
    <xf numFmtId="0" fontId="7" fillId="0" borderId="0"/>
    <xf numFmtId="0" fontId="52" fillId="0" borderId="0"/>
    <xf numFmtId="0" fontId="52" fillId="0" borderId="0"/>
    <xf numFmtId="0" fontId="52" fillId="0" borderId="0"/>
    <xf numFmtId="0" fontId="5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35" fillId="0" borderId="0"/>
    <xf numFmtId="0" fontId="4" fillId="0" borderId="0"/>
    <xf numFmtId="0" fontId="4" fillId="0" borderId="0"/>
    <xf numFmtId="0" fontId="4" fillId="0" borderId="0"/>
    <xf numFmtId="0" fontId="52" fillId="0" borderId="0"/>
    <xf numFmtId="4" fontId="38" fillId="0" borderId="60" applyFill="0" applyBorder="0" applyProtection="0">
      <alignment horizontal="right" vertical="center"/>
    </xf>
    <xf numFmtId="4" fontId="38" fillId="0" borderId="60" applyFill="0" applyBorder="0" applyProtection="0">
      <alignment horizontal="right" vertical="center"/>
    </xf>
    <xf numFmtId="4" fontId="38" fillId="0" borderId="60" applyFill="0" applyBorder="0" applyProtection="0">
      <alignment horizontal="right" vertical="center"/>
    </xf>
    <xf numFmtId="0" fontId="10" fillId="0" borderId="0"/>
    <xf numFmtId="0" fontId="10" fillId="0" borderId="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22" fillId="0" borderId="69" applyNumberFormat="0" applyFill="0" applyAlignment="0" applyProtection="0"/>
    <xf numFmtId="0" fontId="22" fillId="0" borderId="69" applyNumberFormat="0" applyFill="0" applyAlignment="0" applyProtection="0"/>
    <xf numFmtId="0" fontId="23" fillId="0" borderId="70" applyNumberFormat="0" applyFill="0" applyAlignment="0" applyProtection="0"/>
    <xf numFmtId="0" fontId="23" fillId="0" borderId="70"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9" fillId="48" borderId="72">
      <alignment vertical="top" wrapText="1"/>
    </xf>
    <xf numFmtId="0" fontId="3" fillId="0" borderId="0"/>
    <xf numFmtId="0" fontId="76" fillId="0" borderId="0" applyNumberFormat="0" applyBorder="0" applyAlignment="0"/>
    <xf numFmtId="43" fontId="3" fillId="0" borderId="0" applyFont="0" applyFill="0" applyBorder="0" applyAlignment="0" applyProtection="0"/>
    <xf numFmtId="9" fontId="3" fillId="0" borderId="0" applyFont="0" applyFill="0" applyBorder="0" applyAlignment="0" applyProtection="0"/>
    <xf numFmtId="0" fontId="79" fillId="48" borderId="72">
      <alignment horizontal="center" vertical="center"/>
    </xf>
    <xf numFmtId="0" fontId="79" fillId="0" borderId="72">
      <alignment horizontal="left" vertical="center" wrapText="1"/>
    </xf>
    <xf numFmtId="0" fontId="98" fillId="0" borderId="0"/>
    <xf numFmtId="0" fontId="35" fillId="0" borderId="0"/>
    <xf numFmtId="0" fontId="119" fillId="0" borderId="0"/>
    <xf numFmtId="0" fontId="124" fillId="0" borderId="0" applyNumberFormat="0" applyFill="0" applyBorder="0" applyAlignment="0" applyProtection="0"/>
  </cellStyleXfs>
  <cellXfs count="706">
    <xf numFmtId="0" fontId="0" fillId="0" borderId="0" xfId="0"/>
    <xf numFmtId="0" fontId="0" fillId="0" borderId="0" xfId="0" applyBorder="1"/>
    <xf numFmtId="0" fontId="9" fillId="0" borderId="0" xfId="0" applyFont="1"/>
    <xf numFmtId="0" fontId="0" fillId="0" borderId="0" xfId="0" applyFill="1" applyBorder="1"/>
    <xf numFmtId="0" fontId="0" fillId="0" borderId="0" xfId="0" applyBorder="1" applyAlignment="1">
      <alignment horizontal="left"/>
    </xf>
    <xf numFmtId="0" fontId="9"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2" fontId="0" fillId="0" borderId="0" xfId="0" applyNumberFormat="1"/>
    <xf numFmtId="0" fontId="0" fillId="0" borderId="0" xfId="0" applyAlignment="1">
      <alignment wrapText="1"/>
    </xf>
    <xf numFmtId="0" fontId="8" fillId="0" borderId="0" xfId="0" applyFont="1"/>
    <xf numFmtId="0" fontId="29" fillId="27" borderId="13" xfId="0" applyFont="1" applyFill="1" applyBorder="1" applyAlignment="1">
      <alignment horizontal="left" vertical="center" wrapText="1"/>
    </xf>
    <xf numFmtId="0" fontId="29" fillId="0" borderId="0" xfId="0" applyFont="1" applyFill="1"/>
    <xf numFmtId="0" fontId="0" fillId="28" borderId="0" xfId="0" applyFill="1"/>
    <xf numFmtId="0" fontId="29" fillId="27" borderId="14" xfId="0" applyFont="1" applyFill="1" applyBorder="1" applyAlignment="1">
      <alignment horizontal="left" vertical="center" wrapText="1"/>
    </xf>
    <xf numFmtId="0" fontId="29" fillId="27" borderId="13" xfId="0" applyFont="1" applyFill="1" applyBorder="1" applyAlignment="1">
      <alignment horizontal="center" vertical="center" wrapText="1"/>
    </xf>
    <xf numFmtId="0" fontId="30" fillId="29" borderId="12" xfId="0" applyFont="1" applyFill="1" applyBorder="1" applyAlignment="1">
      <alignment horizontal="left" vertical="center" wrapText="1"/>
    </xf>
    <xf numFmtId="0" fontId="30" fillId="29" borderId="12" xfId="0" applyFont="1" applyFill="1" applyBorder="1" applyAlignment="1">
      <alignment horizontal="right" vertical="center" wrapText="1"/>
    </xf>
    <xf numFmtId="0" fontId="30" fillId="29" borderId="15" xfId="0" applyFont="1" applyFill="1" applyBorder="1" applyAlignment="1">
      <alignment horizontal="right" vertical="center" wrapText="1"/>
    </xf>
    <xf numFmtId="0" fontId="30" fillId="29" borderId="12" xfId="0" applyFont="1" applyFill="1" applyBorder="1" applyAlignment="1">
      <alignment horizontal="center" vertical="center" wrapText="1"/>
    </xf>
    <xf numFmtId="0" fontId="0" fillId="0" borderId="16" xfId="0" applyBorder="1"/>
    <xf numFmtId="0" fontId="0" fillId="0" borderId="17" xfId="0" applyBorder="1"/>
    <xf numFmtId="2" fontId="0" fillId="29" borderId="0" xfId="0" applyNumberFormat="1" applyFill="1"/>
    <xf numFmtId="0" fontId="0" fillId="0" borderId="0" xfId="0" applyAlignment="1">
      <alignment horizontal="right"/>
    </xf>
    <xf numFmtId="0" fontId="29" fillId="27" borderId="18" xfId="0" applyFont="1" applyFill="1" applyBorder="1" applyAlignment="1">
      <alignment horizontal="left" vertical="center" wrapText="1"/>
    </xf>
    <xf numFmtId="0" fontId="0" fillId="0" borderId="17" xfId="0" applyFill="1" applyBorder="1"/>
    <xf numFmtId="0" fontId="8" fillId="0" borderId="0" xfId="0" applyFont="1" applyBorder="1"/>
    <xf numFmtId="0" fontId="0" fillId="0" borderId="22" xfId="0" applyBorder="1"/>
    <xf numFmtId="0" fontId="0" fillId="0" borderId="20" xfId="0" applyBorder="1"/>
    <xf numFmtId="0" fontId="0" fillId="0" borderId="16" xfId="0" applyFill="1" applyBorder="1"/>
    <xf numFmtId="0" fontId="0" fillId="0" borderId="19" xfId="0" applyBorder="1"/>
    <xf numFmtId="0" fontId="27" fillId="0" borderId="24" xfId="1813" applyFill="1" applyBorder="1"/>
    <xf numFmtId="0" fontId="27" fillId="0" borderId="21" xfId="1813" applyFill="1" applyBorder="1"/>
    <xf numFmtId="0" fontId="0" fillId="0" borderId="0" xfId="0" applyFill="1" applyBorder="1" applyAlignment="1">
      <alignment horizontal="left"/>
    </xf>
    <xf numFmtId="0" fontId="0" fillId="0" borderId="24" xfId="0" applyFill="1" applyBorder="1"/>
    <xf numFmtId="0" fontId="0" fillId="0" borderId="21" xfId="0" applyFill="1" applyBorder="1"/>
    <xf numFmtId="0" fontId="0" fillId="0" borderId="20" xfId="0" applyFill="1" applyBorder="1"/>
    <xf numFmtId="0" fontId="0" fillId="0" borderId="17" xfId="0" applyFill="1" applyBorder="1" applyAlignment="1">
      <alignment horizontal="left"/>
    </xf>
    <xf numFmtId="0" fontId="0" fillId="0" borderId="25" xfId="0" applyBorder="1"/>
    <xf numFmtId="0" fontId="0" fillId="0" borderId="24" xfId="0" applyBorder="1"/>
    <xf numFmtId="0" fontId="0" fillId="30" borderId="22" xfId="0" applyFill="1" applyBorder="1"/>
    <xf numFmtId="0" fontId="0" fillId="34" borderId="22" xfId="0" applyFill="1" applyBorder="1"/>
    <xf numFmtId="0" fontId="0" fillId="32" borderId="22" xfId="0" applyFill="1" applyBorder="1"/>
    <xf numFmtId="0" fontId="0" fillId="31" borderId="22" xfId="0" applyFill="1" applyBorder="1"/>
    <xf numFmtId="0" fontId="0" fillId="29" borderId="22" xfId="0" applyFill="1" applyBorder="1"/>
    <xf numFmtId="0" fontId="0" fillId="28" borderId="22" xfId="0" applyFill="1" applyBorder="1"/>
    <xf numFmtId="0" fontId="45" fillId="0" borderId="0" xfId="0" applyFont="1"/>
    <xf numFmtId="0" fontId="46" fillId="0" borderId="0" xfId="0" applyFont="1"/>
    <xf numFmtId="43" fontId="35" fillId="0" borderId="0" xfId="38" applyFont="1" applyFill="1" applyBorder="1" applyAlignment="1">
      <alignment horizontal="left"/>
    </xf>
    <xf numFmtId="0" fontId="52" fillId="0" borderId="0" xfId="876"/>
    <xf numFmtId="0" fontId="44" fillId="0" borderId="0" xfId="876" applyFont="1"/>
    <xf numFmtId="0" fontId="41" fillId="35" borderId="0" xfId="876" applyFont="1" applyFill="1"/>
    <xf numFmtId="0" fontId="52" fillId="28" borderId="0" xfId="876" applyFill="1"/>
    <xf numFmtId="0" fontId="44" fillId="0" borderId="0" xfId="876" applyFont="1" applyFill="1"/>
    <xf numFmtId="0" fontId="44" fillId="0" borderId="0" xfId="876" applyFont="1" applyAlignment="1">
      <alignment horizontal="right"/>
    </xf>
    <xf numFmtId="0" fontId="41" fillId="0" borderId="0" xfId="876" applyFont="1" applyFill="1"/>
    <xf numFmtId="0" fontId="29" fillId="27" borderId="18" xfId="876" applyFont="1" applyFill="1" applyBorder="1" applyAlignment="1">
      <alignment horizontal="left" vertical="center" wrapText="1"/>
    </xf>
    <xf numFmtId="1" fontId="29" fillId="36" borderId="18" xfId="876" applyNumberFormat="1" applyFont="1" applyFill="1" applyBorder="1" applyAlignment="1">
      <alignment horizontal="right"/>
    </xf>
    <xf numFmtId="0" fontId="29" fillId="26" borderId="27" xfId="876" applyFont="1" applyFill="1" applyBorder="1" applyAlignment="1">
      <alignment horizontal="left" wrapText="1"/>
    </xf>
    <xf numFmtId="0" fontId="29" fillId="26" borderId="27" xfId="876" applyFont="1" applyFill="1" applyBorder="1" applyAlignment="1">
      <alignment horizontal="right" wrapText="1"/>
    </xf>
    <xf numFmtId="0" fontId="29" fillId="37" borderId="0" xfId="876" applyFont="1" applyFill="1"/>
    <xf numFmtId="176" fontId="29" fillId="37" borderId="0" xfId="876" applyNumberFormat="1" applyFont="1" applyFill="1"/>
    <xf numFmtId="177" fontId="9" fillId="0" borderId="0" xfId="0" applyNumberFormat="1" applyFont="1"/>
    <xf numFmtId="177" fontId="0" fillId="0" borderId="0" xfId="0" applyNumberFormat="1"/>
    <xf numFmtId="177" fontId="29" fillId="27" borderId="13" xfId="0" applyNumberFormat="1" applyFont="1" applyFill="1" applyBorder="1" applyAlignment="1">
      <alignment horizontal="left" vertical="center" wrapText="1"/>
    </xf>
    <xf numFmtId="177" fontId="30" fillId="26" borderId="12" xfId="0" quotePrefix="1" applyNumberFormat="1" applyFont="1" applyFill="1" applyBorder="1" applyAlignment="1">
      <alignment horizontal="left" vertical="top" wrapText="1"/>
    </xf>
    <xf numFmtId="177" fontId="0" fillId="0" borderId="0" xfId="38" applyNumberFormat="1" applyFont="1"/>
    <xf numFmtId="177" fontId="8" fillId="0" borderId="0" xfId="0" applyNumberFormat="1" applyFont="1" applyFill="1" applyBorder="1"/>
    <xf numFmtId="177" fontId="0" fillId="0" borderId="0" xfId="0" applyNumberFormat="1" applyFill="1"/>
    <xf numFmtId="177" fontId="0" fillId="0" borderId="17" xfId="0" applyNumberFormat="1" applyBorder="1"/>
    <xf numFmtId="177" fontId="8" fillId="0" borderId="17" xfId="0" applyNumberFormat="1" applyFont="1" applyFill="1" applyBorder="1"/>
    <xf numFmtId="177" fontId="0" fillId="0" borderId="17" xfId="0" applyNumberFormat="1" applyFill="1" applyBorder="1"/>
    <xf numFmtId="177" fontId="8" fillId="0" borderId="0" xfId="0" applyNumberFormat="1" applyFont="1"/>
    <xf numFmtId="177" fontId="35" fillId="0" borderId="0" xfId="0" applyNumberFormat="1" applyFont="1" applyBorder="1"/>
    <xf numFmtId="177" fontId="35" fillId="0" borderId="17" xfId="0" applyNumberFormat="1" applyFont="1" applyBorder="1"/>
    <xf numFmtId="177" fontId="8" fillId="0" borderId="0" xfId="0" applyNumberFormat="1" applyFont="1" applyBorder="1"/>
    <xf numFmtId="177" fontId="0" fillId="0" borderId="0" xfId="0" applyNumberFormat="1" applyBorder="1"/>
    <xf numFmtId="177" fontId="0" fillId="0" borderId="0" xfId="0" applyNumberFormat="1" applyFill="1" applyBorder="1"/>
    <xf numFmtId="177" fontId="35" fillId="0" borderId="0" xfId="0" applyNumberFormat="1" applyFont="1"/>
    <xf numFmtId="177" fontId="0" fillId="0" borderId="0" xfId="0" applyNumberFormat="1" applyFont="1" applyFill="1" applyBorder="1"/>
    <xf numFmtId="177" fontId="8" fillId="0" borderId="0" xfId="38" applyNumberFormat="1" applyFont="1"/>
    <xf numFmtId="177" fontId="8" fillId="0" borderId="0" xfId="38" applyNumberFormat="1" applyFont="1" applyBorder="1"/>
    <xf numFmtId="177" fontId="0" fillId="0" borderId="0" xfId="0" applyNumberFormat="1" applyBorder="1" applyAlignment="1">
      <alignment horizontal="left"/>
    </xf>
    <xf numFmtId="177" fontId="8" fillId="0" borderId="17" xfId="38" applyNumberFormat="1" applyFont="1" applyBorder="1"/>
    <xf numFmtId="177" fontId="8" fillId="0" borderId="0" xfId="0" applyNumberFormat="1" applyFont="1" applyFill="1"/>
    <xf numFmtId="177" fontId="8" fillId="0" borderId="0" xfId="38" applyNumberFormat="1" applyFont="1" applyFill="1"/>
    <xf numFmtId="177" fontId="8" fillId="0" borderId="0" xfId="38" applyNumberFormat="1" applyFont="1" applyFill="1" applyBorder="1"/>
    <xf numFmtId="177" fontId="8" fillId="0" borderId="17" xfId="38" applyNumberFormat="1" applyFont="1" applyFill="1" applyBorder="1"/>
    <xf numFmtId="177" fontId="0" fillId="0" borderId="0" xfId="0" applyNumberFormat="1" applyFont="1" applyFill="1"/>
    <xf numFmtId="0" fontId="34" fillId="0" borderId="0" xfId="877" applyFont="1"/>
    <xf numFmtId="177" fontId="34" fillId="0" borderId="0" xfId="877" applyNumberFormat="1" applyFont="1" applyFill="1" applyBorder="1"/>
    <xf numFmtId="0" fontId="35" fillId="0" borderId="0" xfId="877"/>
    <xf numFmtId="14" fontId="35" fillId="0" borderId="0" xfId="877" applyNumberFormat="1" applyFont="1" applyAlignment="1">
      <alignment horizontal="left"/>
    </xf>
    <xf numFmtId="177" fontId="35" fillId="0" borderId="0" xfId="877" applyNumberFormat="1" applyFont="1" applyFill="1" applyBorder="1" applyAlignment="1">
      <alignment horizontal="left"/>
    </xf>
    <xf numFmtId="0" fontId="35" fillId="0" borderId="0" xfId="877" applyFont="1" applyAlignment="1">
      <alignment horizontal="left"/>
    </xf>
    <xf numFmtId="177" fontId="35" fillId="0" borderId="0" xfId="877" applyNumberFormat="1" applyFill="1" applyBorder="1" applyAlignment="1">
      <alignment horizontal="left"/>
    </xf>
    <xf numFmtId="0" fontId="8" fillId="0" borderId="0" xfId="877" applyFont="1" applyFill="1" applyBorder="1" applyAlignment="1">
      <alignment horizontal="left"/>
    </xf>
    <xf numFmtId="14" fontId="35" fillId="0" borderId="0" xfId="877" applyNumberFormat="1" applyFill="1" applyAlignment="1">
      <alignment horizontal="left"/>
    </xf>
    <xf numFmtId="0" fontId="8" fillId="0" borderId="0" xfId="877" applyFont="1"/>
    <xf numFmtId="0" fontId="8" fillId="0" borderId="0" xfId="877" applyFont="1" applyAlignment="1">
      <alignment horizontal="left"/>
    </xf>
    <xf numFmtId="177" fontId="8" fillId="0" borderId="0" xfId="877" applyNumberFormat="1" applyFont="1" applyFill="1" applyBorder="1" applyAlignment="1">
      <alignment horizontal="left"/>
    </xf>
    <xf numFmtId="14" fontId="8" fillId="0" borderId="0" xfId="877" applyNumberFormat="1" applyFont="1" applyAlignment="1">
      <alignment horizontal="left"/>
    </xf>
    <xf numFmtId="0" fontId="29" fillId="30" borderId="18" xfId="0" applyFont="1" applyFill="1" applyBorder="1" applyAlignment="1">
      <alignment horizontal="left" vertical="center" wrapText="1"/>
    </xf>
    <xf numFmtId="168" fontId="0" fillId="30" borderId="0" xfId="0" applyNumberFormat="1" applyFill="1" applyAlignment="1">
      <alignment horizontal="left"/>
    </xf>
    <xf numFmtId="177" fontId="0" fillId="0" borderId="17" xfId="0" applyNumberFormat="1" applyFill="1" applyBorder="1" applyAlignment="1">
      <alignment horizontal="left"/>
    </xf>
    <xf numFmtId="0" fontId="7" fillId="0" borderId="0" xfId="0" applyFont="1"/>
    <xf numFmtId="1" fontId="0" fillId="0" borderId="0" xfId="0" applyNumberFormat="1" applyBorder="1"/>
    <xf numFmtId="0" fontId="53" fillId="0" borderId="38" xfId="0" applyFont="1" applyBorder="1" applyAlignment="1">
      <alignment horizontal="center"/>
    </xf>
    <xf numFmtId="0" fontId="54" fillId="0" borderId="39" xfId="0" applyFont="1" applyBorder="1" applyAlignment="1">
      <alignment horizontal="center" vertical="center" wrapText="1"/>
    </xf>
    <xf numFmtId="0" fontId="53" fillId="0" borderId="16" xfId="0" applyFont="1" applyBorder="1" applyAlignment="1">
      <alignment horizontal="left" vertical="center" wrapText="1"/>
    </xf>
    <xf numFmtId="0" fontId="53" fillId="0" borderId="0" xfId="0" applyFont="1" applyBorder="1" applyAlignment="1">
      <alignment horizontal="center" vertical="center" wrapText="1"/>
    </xf>
    <xf numFmtId="0" fontId="53" fillId="0" borderId="31" xfId="0" applyFont="1" applyBorder="1" applyAlignment="1">
      <alignment horizontal="center" vertical="center" wrapText="1"/>
    </xf>
    <xf numFmtId="0" fontId="53" fillId="0" borderId="35" xfId="0" applyFont="1" applyBorder="1" applyAlignment="1">
      <alignment horizontal="left" vertical="center" wrapText="1"/>
    </xf>
    <xf numFmtId="0" fontId="53" fillId="0" borderId="36" xfId="0" applyFont="1" applyBorder="1" applyAlignment="1">
      <alignment horizontal="center" vertical="center" wrapText="1"/>
    </xf>
    <xf numFmtId="0" fontId="53" fillId="0" borderId="37" xfId="0" applyFont="1" applyBorder="1" applyAlignment="1">
      <alignment horizontal="center" vertical="center" wrapText="1"/>
    </xf>
    <xf numFmtId="0" fontId="53" fillId="0" borderId="43" xfId="0" applyFont="1" applyBorder="1" applyAlignment="1">
      <alignment horizontal="left" vertical="center" wrapText="1"/>
    </xf>
    <xf numFmtId="0" fontId="53" fillId="0" borderId="26" xfId="0" applyFont="1" applyBorder="1" applyAlignment="1">
      <alignment horizontal="center" vertical="center" wrapText="1"/>
    </xf>
    <xf numFmtId="0" fontId="53" fillId="0" borderId="44" xfId="0" applyFont="1" applyBorder="1" applyAlignment="1">
      <alignment horizontal="center" vertical="center" wrapText="1"/>
    </xf>
    <xf numFmtId="0" fontId="53" fillId="0" borderId="46" xfId="0" applyFont="1" applyBorder="1" applyAlignment="1">
      <alignment horizontal="left" vertical="center" wrapText="1"/>
    </xf>
    <xf numFmtId="0" fontId="53" fillId="0" borderId="27" xfId="0" applyFont="1" applyBorder="1" applyAlignment="1">
      <alignment horizontal="center" vertical="center" wrapText="1"/>
    </xf>
    <xf numFmtId="0" fontId="53" fillId="0" borderId="47" xfId="0" applyFont="1" applyBorder="1" applyAlignment="1">
      <alignment horizontal="center" vertical="center" wrapText="1"/>
    </xf>
    <xf numFmtId="0" fontId="53" fillId="0" borderId="28" xfId="0" applyFont="1" applyBorder="1" applyAlignment="1">
      <alignment horizontal="center" vertical="center" wrapText="1"/>
    </xf>
    <xf numFmtId="0" fontId="53" fillId="0" borderId="30" xfId="0" applyFont="1" applyBorder="1" applyAlignment="1">
      <alignment horizontal="center" vertical="center" wrapText="1"/>
    </xf>
    <xf numFmtId="0" fontId="53" fillId="0" borderId="48" xfId="0" applyFont="1" applyBorder="1" applyAlignment="1">
      <alignment horizontal="center" vertical="center" wrapText="1"/>
    </xf>
    <xf numFmtId="0" fontId="53" fillId="0" borderId="49" xfId="0" applyFont="1" applyBorder="1" applyAlignment="1">
      <alignment horizontal="center" vertical="center" wrapText="1"/>
    </xf>
    <xf numFmtId="0" fontId="7" fillId="0" borderId="0" xfId="0" applyFont="1" applyFill="1"/>
    <xf numFmtId="0" fontId="7" fillId="0" borderId="0" xfId="0" applyFont="1" applyFill="1" applyBorder="1"/>
    <xf numFmtId="177" fontId="7" fillId="0" borderId="50" xfId="0" applyNumberFormat="1" applyFont="1" applyBorder="1"/>
    <xf numFmtId="177" fontId="0" fillId="0" borderId="52" xfId="0" applyNumberFormat="1" applyBorder="1"/>
    <xf numFmtId="177" fontId="30" fillId="26" borderId="51" xfId="0" applyNumberFormat="1" applyFont="1" applyFill="1" applyBorder="1" applyAlignment="1">
      <alignment horizontal="left" vertical="top" wrapText="1"/>
    </xf>
    <xf numFmtId="177" fontId="30" fillId="26" borderId="51" xfId="0" quotePrefix="1" applyNumberFormat="1" applyFont="1" applyFill="1" applyBorder="1" applyAlignment="1">
      <alignment horizontal="left" vertical="top" wrapText="1"/>
    </xf>
    <xf numFmtId="0" fontId="34" fillId="0" borderId="0" xfId="0" applyFont="1"/>
    <xf numFmtId="177" fontId="7" fillId="0" borderId="0" xfId="0" applyNumberFormat="1" applyFont="1" applyFill="1" applyBorder="1"/>
    <xf numFmtId="0" fontId="55" fillId="0" borderId="0" xfId="0" applyFont="1"/>
    <xf numFmtId="177" fontId="7" fillId="0" borderId="0" xfId="0" applyNumberFormat="1" applyFont="1" applyBorder="1"/>
    <xf numFmtId="177" fontId="7" fillId="0" borderId="0" xfId="38" applyNumberFormat="1" applyFont="1" applyFill="1" applyBorder="1"/>
    <xf numFmtId="0" fontId="58" fillId="0" borderId="0" xfId="1815" applyFont="1"/>
    <xf numFmtId="0" fontId="6" fillId="0" borderId="0" xfId="1815"/>
    <xf numFmtId="0" fontId="57" fillId="0" borderId="0" xfId="1815" applyFont="1"/>
    <xf numFmtId="0" fontId="57" fillId="0" borderId="55" xfId="1815" applyFont="1" applyBorder="1"/>
    <xf numFmtId="177" fontId="7" fillId="0" borderId="0" xfId="877" applyNumberFormat="1" applyFont="1" applyFill="1" applyBorder="1" applyAlignment="1">
      <alignment horizontal="left"/>
    </xf>
    <xf numFmtId="0" fontId="57" fillId="49" borderId="0" xfId="1815" applyFont="1" applyFill="1"/>
    <xf numFmtId="0" fontId="67" fillId="33" borderId="0" xfId="0" applyFont="1" applyFill="1" applyAlignment="1">
      <alignment horizontal="center"/>
    </xf>
    <xf numFmtId="0" fontId="67" fillId="33" borderId="22" xfId="0" applyFont="1" applyFill="1" applyBorder="1"/>
    <xf numFmtId="14" fontId="7" fillId="0" borderId="0" xfId="877" applyNumberFormat="1" applyFont="1" applyAlignment="1">
      <alignment horizontal="left"/>
    </xf>
    <xf numFmtId="177" fontId="7" fillId="0" borderId="0" xfId="877" applyNumberFormat="1" applyFont="1" applyFill="1" applyBorder="1"/>
    <xf numFmtId="0" fontId="7" fillId="0" borderId="0" xfId="2584"/>
    <xf numFmtId="177" fontId="7" fillId="0" borderId="0" xfId="38" applyNumberFormat="1" applyFont="1" applyFill="1"/>
    <xf numFmtId="177" fontId="7" fillId="0" borderId="0" xfId="0" applyNumberFormat="1" applyFont="1"/>
    <xf numFmtId="0" fontId="7" fillId="0" borderId="0" xfId="877" applyFont="1" applyAlignment="1">
      <alignment horizontal="left"/>
    </xf>
    <xf numFmtId="177" fontId="7" fillId="0" borderId="0" xfId="38" applyNumberFormat="1" applyFont="1" applyFill="1" applyAlignment="1">
      <alignment horizontal="left"/>
    </xf>
    <xf numFmtId="177" fontId="7" fillId="0" borderId="0" xfId="0" applyNumberFormat="1" applyFont="1" applyFill="1" applyBorder="1" applyAlignment="1">
      <alignment horizontal="left"/>
    </xf>
    <xf numFmtId="177" fontId="7" fillId="0" borderId="0" xfId="0" applyNumberFormat="1" applyFont="1" applyAlignment="1">
      <alignment horizontal="left"/>
    </xf>
    <xf numFmtId="0" fontId="9" fillId="0" borderId="0" xfId="2584" applyFont="1" applyAlignment="1">
      <alignment horizontal="left"/>
    </xf>
    <xf numFmtId="0" fontId="7" fillId="0" borderId="0" xfId="2584" applyAlignment="1">
      <alignment horizontal="center"/>
    </xf>
    <xf numFmtId="0" fontId="7" fillId="0" borderId="0" xfId="2584" applyAlignment="1">
      <alignment horizontal="left"/>
    </xf>
    <xf numFmtId="0" fontId="9" fillId="0" borderId="0" xfId="2584" applyFont="1"/>
    <xf numFmtId="2" fontId="9" fillId="0" borderId="0" xfId="2584" applyNumberFormat="1" applyFont="1" applyAlignment="1">
      <alignment horizontal="left"/>
    </xf>
    <xf numFmtId="0" fontId="29" fillId="27" borderId="51" xfId="2584" applyFont="1" applyFill="1" applyBorder="1" applyAlignment="1">
      <alignment horizontal="left" vertical="center" wrapText="1"/>
    </xf>
    <xf numFmtId="0" fontId="7" fillId="0" borderId="50" xfId="2584" applyBorder="1"/>
    <xf numFmtId="0" fontId="30" fillId="26" borderId="64" xfId="2584" applyFont="1" applyFill="1" applyBorder="1" applyAlignment="1">
      <alignment horizontal="left" vertical="top" wrapText="1"/>
    </xf>
    <xf numFmtId="0" fontId="7" fillId="0" borderId="0" xfId="2584" applyBorder="1"/>
    <xf numFmtId="2" fontId="7" fillId="0" borderId="0" xfId="2584" applyNumberFormat="1" applyBorder="1" applyAlignment="1">
      <alignment horizontal="center"/>
    </xf>
    <xf numFmtId="0" fontId="7" fillId="0" borderId="55" xfId="2584" applyBorder="1" applyAlignment="1">
      <alignment horizontal="left"/>
    </xf>
    <xf numFmtId="0" fontId="7" fillId="0" borderId="51" xfId="2584" applyBorder="1"/>
    <xf numFmtId="0" fontId="7" fillId="0" borderId="51" xfId="2584" applyBorder="1" applyAlignment="1">
      <alignment horizontal="left"/>
    </xf>
    <xf numFmtId="2" fontId="7" fillId="0" borderId="51" xfId="2584" applyNumberFormat="1" applyBorder="1" applyAlignment="1">
      <alignment horizontal="center"/>
    </xf>
    <xf numFmtId="0" fontId="7" fillId="0" borderId="0" xfId="2584" applyFill="1" applyBorder="1"/>
    <xf numFmtId="43" fontId="7" fillId="0" borderId="0" xfId="2584" applyNumberFormat="1" applyBorder="1" applyAlignment="1">
      <alignment horizontal="center"/>
    </xf>
    <xf numFmtId="0" fontId="77" fillId="0" borderId="0" xfId="0" applyFont="1" applyFill="1" applyProtection="1"/>
    <xf numFmtId="0" fontId="0" fillId="0" borderId="0" xfId="0" applyFill="1" applyProtection="1"/>
    <xf numFmtId="0" fontId="55" fillId="0" borderId="0" xfId="0" applyFont="1" applyFill="1" applyProtection="1"/>
    <xf numFmtId="0" fontId="0" fillId="0" borderId="53" xfId="0" applyFill="1" applyBorder="1" applyProtection="1"/>
    <xf numFmtId="0" fontId="55" fillId="0" borderId="50" xfId="0" applyFont="1" applyFill="1" applyBorder="1" applyProtection="1"/>
    <xf numFmtId="0" fontId="0" fillId="0" borderId="50" xfId="0" applyFill="1" applyBorder="1" applyProtection="1"/>
    <xf numFmtId="0" fontId="0" fillId="0" borderId="29" xfId="0" applyFill="1" applyBorder="1" applyProtection="1"/>
    <xf numFmtId="0" fontId="55" fillId="0" borderId="73" xfId="0" applyFont="1" applyFill="1" applyBorder="1" applyProtection="1"/>
    <xf numFmtId="180" fontId="0" fillId="0" borderId="74" xfId="38" applyNumberFormat="1" applyFont="1" applyFill="1" applyBorder="1" applyProtection="1"/>
    <xf numFmtId="0" fontId="0" fillId="0" borderId="74" xfId="0" applyFill="1" applyBorder="1" applyProtection="1"/>
    <xf numFmtId="0" fontId="0" fillId="0" borderId="78" xfId="0" applyFill="1" applyBorder="1" applyAlignment="1" applyProtection="1"/>
    <xf numFmtId="0" fontId="55" fillId="0" borderId="79" xfId="0" applyFont="1" applyFill="1" applyBorder="1" applyProtection="1"/>
    <xf numFmtId="180" fontId="0" fillId="0" borderId="80" xfId="0" applyNumberFormat="1" applyFill="1" applyBorder="1" applyProtection="1"/>
    <xf numFmtId="0" fontId="0" fillId="0" borderId="80" xfId="0" applyFill="1" applyBorder="1" applyProtection="1"/>
    <xf numFmtId="0" fontId="0" fillId="0" borderId="81" xfId="0" applyFill="1" applyBorder="1" applyProtection="1"/>
    <xf numFmtId="14" fontId="7" fillId="0" borderId="0" xfId="877" applyNumberFormat="1" applyFont="1"/>
    <xf numFmtId="0" fontId="2" fillId="0" borderId="0" xfId="1815" applyFont="1"/>
    <xf numFmtId="0" fontId="0" fillId="0" borderId="83" xfId="0" applyBorder="1"/>
    <xf numFmtId="173" fontId="0" fillId="0" borderId="0" xfId="0" applyNumberFormat="1" applyFill="1"/>
    <xf numFmtId="177" fontId="35" fillId="0" borderId="0" xfId="0" applyNumberFormat="1" applyFont="1" applyFill="1" applyBorder="1"/>
    <xf numFmtId="0" fontId="7" fillId="0" borderId="0" xfId="2584" applyBorder="1" applyAlignment="1">
      <alignment horizontal="center"/>
    </xf>
    <xf numFmtId="0" fontId="7" fillId="0" borderId="0" xfId="2584" applyBorder="1" applyAlignment="1">
      <alignment horizontal="left"/>
    </xf>
    <xf numFmtId="0" fontId="34" fillId="0" borderId="0" xfId="0" applyFont="1" applyAlignment="1"/>
    <xf numFmtId="0" fontId="0" fillId="0" borderId="50" xfId="0" applyBorder="1"/>
    <xf numFmtId="0" fontId="0" fillId="0" borderId="54" xfId="0" applyBorder="1"/>
    <xf numFmtId="0" fontId="0" fillId="0" borderId="83" xfId="0" applyFill="1" applyBorder="1"/>
    <xf numFmtId="0" fontId="0" fillId="0" borderId="85" xfId="0" applyBorder="1"/>
    <xf numFmtId="0" fontId="29" fillId="27" borderId="18" xfId="0" applyFont="1" applyFill="1" applyBorder="1" applyAlignment="1">
      <alignment horizontal="center" vertical="center" wrapText="1"/>
    </xf>
    <xf numFmtId="0" fontId="29" fillId="0" borderId="0" xfId="2584" applyFont="1" applyFill="1" applyBorder="1" applyAlignment="1">
      <alignment horizontal="left" vertical="center" wrapText="1"/>
    </xf>
    <xf numFmtId="0" fontId="7" fillId="0" borderId="0" xfId="2584" applyFill="1"/>
    <xf numFmtId="0" fontId="30" fillId="0" borderId="0" xfId="2584" applyFont="1" applyFill="1" applyBorder="1" applyAlignment="1">
      <alignment horizontal="left" vertical="top" wrapText="1"/>
    </xf>
    <xf numFmtId="174" fontId="7" fillId="0" borderId="0" xfId="38" applyNumberFormat="1"/>
    <xf numFmtId="43" fontId="7" fillId="0" borderId="16" xfId="38" applyNumberFormat="1" applyBorder="1"/>
    <xf numFmtId="43" fontId="7" fillId="0" borderId="0" xfId="38" applyNumberFormat="1" applyBorder="1"/>
    <xf numFmtId="0" fontId="29" fillId="29" borderId="51" xfId="2584" applyFont="1" applyFill="1" applyBorder="1" applyAlignment="1">
      <alignment horizontal="center" vertical="center" wrapText="1"/>
    </xf>
    <xf numFmtId="0" fontId="29" fillId="30" borderId="51" xfId="2584" applyFont="1" applyFill="1" applyBorder="1" applyAlignment="1">
      <alignment horizontal="center" vertical="center" wrapText="1"/>
    </xf>
    <xf numFmtId="0" fontId="30" fillId="26" borderId="64" xfId="2584" applyFont="1" applyFill="1" applyBorder="1" applyAlignment="1">
      <alignment horizontal="center" vertical="top" wrapText="1"/>
    </xf>
    <xf numFmtId="0" fontId="34" fillId="0" borderId="0" xfId="0" applyFont="1" applyFill="1" applyBorder="1" applyAlignment="1"/>
    <xf numFmtId="0" fontId="7" fillId="0" borderId="84" xfId="2584" applyBorder="1"/>
    <xf numFmtId="0" fontId="7" fillId="0" borderId="84" xfId="2584" applyBorder="1" applyAlignment="1">
      <alignment horizontal="left"/>
    </xf>
    <xf numFmtId="2" fontId="7" fillId="0" borderId="84" xfId="2584" applyNumberFormat="1" applyBorder="1" applyAlignment="1">
      <alignment horizontal="center"/>
    </xf>
    <xf numFmtId="0" fontId="7" fillId="0" borderId="83" xfId="2584" applyBorder="1"/>
    <xf numFmtId="0" fontId="7" fillId="0" borderId="83" xfId="2584" applyBorder="1" applyAlignment="1">
      <alignment horizontal="left"/>
    </xf>
    <xf numFmtId="2" fontId="7" fillId="0" borderId="83" xfId="2584" applyNumberFormat="1" applyBorder="1" applyAlignment="1">
      <alignment horizontal="center"/>
    </xf>
    <xf numFmtId="0" fontId="7" fillId="0" borderId="83" xfId="2584" applyFill="1" applyBorder="1"/>
    <xf numFmtId="0" fontId="7" fillId="0" borderId="0" xfId="2584" applyFont="1" applyBorder="1"/>
    <xf numFmtId="0" fontId="7" fillId="40" borderId="82" xfId="2584" applyFill="1" applyBorder="1" applyAlignment="1">
      <alignment horizontal="center"/>
    </xf>
    <xf numFmtId="0" fontId="7" fillId="40" borderId="84" xfId="2584" applyFill="1" applyBorder="1" applyAlignment="1">
      <alignment horizontal="center"/>
    </xf>
    <xf numFmtId="0" fontId="7" fillId="0" borderId="16" xfId="2584" applyFont="1" applyBorder="1"/>
    <xf numFmtId="43" fontId="7" fillId="0" borderId="83" xfId="38" applyNumberFormat="1" applyBorder="1"/>
    <xf numFmtId="1" fontId="0" fillId="0" borderId="0" xfId="0" applyNumberFormat="1"/>
    <xf numFmtId="166" fontId="0" fillId="0" borderId="0" xfId="0" applyNumberFormat="1"/>
    <xf numFmtId="0" fontId="81" fillId="0" borderId="0" xfId="2584" applyFont="1"/>
    <xf numFmtId="180" fontId="81" fillId="0" borderId="0" xfId="38" applyNumberFormat="1" applyFont="1"/>
    <xf numFmtId="0" fontId="34" fillId="0" borderId="0" xfId="2584" applyFont="1" applyAlignment="1">
      <alignment horizontal="left"/>
    </xf>
    <xf numFmtId="174" fontId="34" fillId="0" borderId="0" xfId="2584" applyNumberFormat="1" applyFont="1" applyAlignment="1">
      <alignment horizontal="center"/>
    </xf>
    <xf numFmtId="43" fontId="83" fillId="0" borderId="0" xfId="38" applyNumberFormat="1" applyFont="1" applyFill="1" applyBorder="1" applyAlignment="1">
      <alignment horizontal="center"/>
    </xf>
    <xf numFmtId="0" fontId="86" fillId="0" borderId="0" xfId="0" applyFont="1"/>
    <xf numFmtId="0" fontId="87" fillId="0" borderId="0" xfId="0" applyFont="1" applyAlignment="1">
      <alignment horizontal="left"/>
    </xf>
    <xf numFmtId="0" fontId="88" fillId="0" borderId="0" xfId="0" applyFont="1" applyAlignment="1">
      <alignment horizontal="left"/>
    </xf>
    <xf numFmtId="0" fontId="86" fillId="0" borderId="0" xfId="0" applyFont="1" applyAlignment="1">
      <alignment horizontal="left"/>
    </xf>
    <xf numFmtId="2" fontId="89" fillId="0" borderId="0" xfId="0" applyNumberFormat="1" applyFont="1" applyAlignment="1">
      <alignment horizontal="center"/>
    </xf>
    <xf numFmtId="0" fontId="86" fillId="0" borderId="0" xfId="0" applyFont="1" applyAlignment="1">
      <alignment horizontal="center"/>
    </xf>
    <xf numFmtId="0" fontId="86" fillId="0" borderId="0" xfId="0" applyFont="1" applyFill="1"/>
    <xf numFmtId="2" fontId="87" fillId="0" borderId="0" xfId="0" applyNumberFormat="1" applyFont="1" applyAlignment="1">
      <alignment horizontal="left"/>
    </xf>
    <xf numFmtId="0" fontId="86" fillId="0" borderId="0" xfId="0" applyFont="1" applyBorder="1" applyAlignment="1">
      <alignment horizontal="center"/>
    </xf>
    <xf numFmtId="0" fontId="90" fillId="0" borderId="0" xfId="0" applyFont="1" applyBorder="1" applyAlignment="1">
      <alignment horizontal="center"/>
    </xf>
    <xf numFmtId="0" fontId="86" fillId="0" borderId="0" xfId="0" applyFont="1" applyFill="1" applyBorder="1"/>
    <xf numFmtId="0" fontId="86" fillId="27" borderId="13" xfId="0" applyFont="1" applyFill="1" applyBorder="1" applyAlignment="1">
      <alignment horizontal="left" vertical="center" wrapText="1"/>
    </xf>
    <xf numFmtId="0" fontId="86" fillId="29" borderId="13" xfId="0" applyFont="1" applyFill="1" applyBorder="1" applyAlignment="1">
      <alignment horizontal="left" vertical="center" wrapText="1"/>
    </xf>
    <xf numFmtId="0" fontId="86" fillId="30" borderId="13" xfId="0" applyFont="1" applyFill="1" applyBorder="1" applyAlignment="1">
      <alignment horizontal="left" vertical="center" wrapText="1"/>
    </xf>
    <xf numFmtId="0" fontId="86" fillId="0" borderId="0" xfId="0" applyFont="1" applyBorder="1"/>
    <xf numFmtId="0" fontId="91" fillId="26" borderId="12" xfId="0" applyFont="1" applyFill="1" applyBorder="1" applyAlignment="1">
      <alignment horizontal="left" vertical="top" wrapText="1"/>
    </xf>
    <xf numFmtId="0" fontId="91" fillId="26" borderId="64" xfId="0" applyFont="1" applyFill="1" applyBorder="1" applyAlignment="1">
      <alignment horizontal="left" vertical="top" wrapText="1"/>
    </xf>
    <xf numFmtId="173" fontId="86" fillId="0" borderId="0" xfId="0" applyNumberFormat="1" applyFont="1" applyAlignment="1">
      <alignment horizontal="center"/>
    </xf>
    <xf numFmtId="171" fontId="86" fillId="0" borderId="0" xfId="0" applyNumberFormat="1" applyFont="1" applyAlignment="1">
      <alignment horizontal="left"/>
    </xf>
    <xf numFmtId="0" fontId="92" fillId="0" borderId="0" xfId="0" applyFont="1"/>
    <xf numFmtId="2" fontId="86" fillId="0" borderId="0" xfId="38" applyNumberFormat="1" applyFont="1" applyBorder="1"/>
    <xf numFmtId="181" fontId="86" fillId="0" borderId="0" xfId="0" applyNumberFormat="1" applyFont="1" applyFill="1" applyBorder="1"/>
    <xf numFmtId="43" fontId="86" fillId="0" borderId="0" xfId="38" applyFont="1" applyFill="1" applyBorder="1"/>
    <xf numFmtId="174" fontId="86" fillId="0" borderId="0" xfId="38" applyNumberFormat="1" applyFont="1" applyBorder="1" applyAlignment="1">
      <alignment horizontal="left"/>
    </xf>
    <xf numFmtId="43" fontId="93" fillId="0" borderId="0" xfId="38" applyFont="1" applyBorder="1"/>
    <xf numFmtId="0" fontId="94" fillId="0" borderId="0" xfId="0" applyFont="1"/>
    <xf numFmtId="0" fontId="95" fillId="0" borderId="0" xfId="0" applyFont="1"/>
    <xf numFmtId="0" fontId="92" fillId="0" borderId="0" xfId="0" applyFont="1" applyFill="1"/>
    <xf numFmtId="0" fontId="86" fillId="0" borderId="17" xfId="0" applyFont="1" applyFill="1" applyBorder="1"/>
    <xf numFmtId="0" fontId="86" fillId="0" borderId="17" xfId="0" applyFont="1" applyBorder="1" applyAlignment="1">
      <alignment horizontal="left"/>
    </xf>
    <xf numFmtId="173" fontId="86" fillId="0" borderId="17" xfId="0" applyNumberFormat="1" applyFont="1" applyBorder="1" applyAlignment="1">
      <alignment horizontal="center"/>
    </xf>
    <xf numFmtId="171" fontId="86" fillId="0" borderId="17" xfId="0" applyNumberFormat="1" applyFont="1" applyBorder="1" applyAlignment="1">
      <alignment horizontal="left"/>
    </xf>
    <xf numFmtId="0" fontId="86" fillId="0" borderId="0" xfId="0" applyFont="1" applyBorder="1" applyAlignment="1">
      <alignment horizontal="left"/>
    </xf>
    <xf numFmtId="182" fontId="94" fillId="0" borderId="0" xfId="38" applyNumberFormat="1" applyFont="1"/>
    <xf numFmtId="0" fontId="86" fillId="0" borderId="0" xfId="0" applyFont="1" applyFill="1" applyBorder="1" applyAlignment="1">
      <alignment horizontal="left"/>
    </xf>
    <xf numFmtId="43" fontId="86" fillId="0" borderId="0" xfId="38" applyFont="1" applyBorder="1"/>
    <xf numFmtId="172" fontId="84" fillId="0" borderId="0" xfId="0" applyNumberFormat="1" applyFont="1" applyAlignment="1">
      <alignment horizontal="right"/>
    </xf>
    <xf numFmtId="43" fontId="85" fillId="0" borderId="0" xfId="38" applyNumberFormat="1" applyFont="1" applyFill="1" applyBorder="1" applyAlignment="1"/>
    <xf numFmtId="2" fontId="86" fillId="0" borderId="0" xfId="0" applyNumberFormat="1" applyFont="1" applyFill="1" applyAlignment="1">
      <alignment horizontal="center"/>
    </xf>
    <xf numFmtId="0" fontId="86" fillId="0" borderId="91" xfId="0" applyFont="1" applyBorder="1" applyAlignment="1">
      <alignment horizontal="center" vertical="center"/>
    </xf>
    <xf numFmtId="0" fontId="86" fillId="0" borderId="92" xfId="0" applyFont="1" applyBorder="1" applyAlignment="1">
      <alignment horizontal="center" vertical="center"/>
    </xf>
    <xf numFmtId="165" fontId="86" fillId="0" borderId="0" xfId="0" applyNumberFormat="1" applyFont="1"/>
    <xf numFmtId="177" fontId="86" fillId="0" borderId="0" xfId="2590" applyNumberFormat="1" applyFont="1" applyFill="1"/>
    <xf numFmtId="43" fontId="96" fillId="0" borderId="0" xfId="38" applyFont="1" applyBorder="1"/>
    <xf numFmtId="2" fontId="88" fillId="0" borderId="0" xfId="0" applyNumberFormat="1" applyFont="1" applyAlignment="1">
      <alignment horizontal="center"/>
    </xf>
    <xf numFmtId="0" fontId="86" fillId="0" borderId="84" xfId="0" applyFont="1" applyBorder="1" applyAlignment="1">
      <alignment horizontal="center" vertical="center"/>
    </xf>
    <xf numFmtId="0" fontId="86" fillId="0" borderId="82" xfId="0" applyFont="1" applyBorder="1" applyAlignment="1">
      <alignment horizontal="center" vertical="center"/>
    </xf>
    <xf numFmtId="0" fontId="86" fillId="0" borderId="94" xfId="0" applyFont="1" applyBorder="1" applyAlignment="1">
      <alignment horizontal="center" vertical="center"/>
    </xf>
    <xf numFmtId="0" fontId="86" fillId="0" borderId="97" xfId="0" applyFont="1" applyBorder="1" applyAlignment="1">
      <alignment horizontal="center" vertical="center"/>
    </xf>
    <xf numFmtId="43" fontId="93" fillId="0" borderId="93" xfId="38" applyFont="1" applyBorder="1"/>
    <xf numFmtId="43" fontId="93" fillId="0" borderId="95" xfId="38" applyFont="1" applyBorder="1"/>
    <xf numFmtId="43" fontId="93" fillId="0" borderId="96" xfId="38" applyFont="1" applyBorder="1"/>
    <xf numFmtId="172" fontId="80" fillId="0" borderId="50" xfId="0" applyNumberFormat="1" applyFont="1" applyBorder="1"/>
    <xf numFmtId="172" fontId="80" fillId="0" borderId="0" xfId="0" applyNumberFormat="1" applyFont="1" applyBorder="1"/>
    <xf numFmtId="172" fontId="80" fillId="0" borderId="83" xfId="0" applyNumberFormat="1" applyFont="1" applyBorder="1"/>
    <xf numFmtId="180" fontId="82" fillId="0" borderId="0" xfId="38" applyNumberFormat="1" applyFont="1" applyAlignment="1">
      <alignment horizontal="right"/>
    </xf>
    <xf numFmtId="43" fontId="82" fillId="0" borderId="0" xfId="0" applyNumberFormat="1" applyFont="1"/>
    <xf numFmtId="0" fontId="82" fillId="0" borderId="0" xfId="0" applyFont="1"/>
    <xf numFmtId="0" fontId="82" fillId="0" borderId="0" xfId="0" applyFont="1" applyAlignment="1">
      <alignment horizontal="right"/>
    </xf>
    <xf numFmtId="0" fontId="82" fillId="0" borderId="0" xfId="0" applyFont="1" applyAlignment="1">
      <alignment horizontal="right" vertical="center"/>
    </xf>
    <xf numFmtId="0" fontId="97" fillId="0" borderId="0" xfId="0" applyFont="1" applyAlignment="1">
      <alignment horizontal="right"/>
    </xf>
    <xf numFmtId="0" fontId="97" fillId="0" borderId="0" xfId="0" applyFont="1" applyAlignment="1">
      <alignment horizontal="right" vertical="center"/>
    </xf>
    <xf numFmtId="43" fontId="97" fillId="0" borderId="0" xfId="38" applyFont="1" applyAlignment="1">
      <alignment horizontal="right"/>
    </xf>
    <xf numFmtId="172" fontId="34" fillId="0" borderId="0" xfId="0" applyNumberFormat="1" applyFont="1"/>
    <xf numFmtId="14" fontId="35" fillId="0" borderId="0" xfId="877" applyNumberFormat="1" applyAlignment="1">
      <alignment horizontal="left"/>
    </xf>
    <xf numFmtId="177" fontId="35" fillId="0" borderId="0" xfId="877" applyNumberFormat="1" applyAlignment="1">
      <alignment horizontal="left"/>
    </xf>
    <xf numFmtId="177" fontId="34" fillId="0" borderId="0" xfId="877" applyNumberFormat="1" applyFont="1"/>
    <xf numFmtId="177" fontId="7" fillId="0" borderId="0" xfId="877" applyNumberFormat="1" applyFont="1"/>
    <xf numFmtId="165" fontId="86" fillId="0" borderId="0" xfId="0" applyNumberFormat="1" applyFont="1" applyFill="1"/>
    <xf numFmtId="177" fontId="29" fillId="27" borderId="0" xfId="0" applyNumberFormat="1" applyFont="1" applyFill="1" applyBorder="1" applyAlignment="1">
      <alignment horizontal="left" vertical="center" wrapText="1"/>
    </xf>
    <xf numFmtId="174" fontId="86" fillId="0" borderId="83" xfId="38" applyNumberFormat="1" applyFont="1" applyBorder="1" applyAlignment="1">
      <alignment horizontal="left"/>
    </xf>
    <xf numFmtId="0" fontId="29" fillId="27" borderId="0" xfId="2584" applyFont="1" applyFill="1" applyBorder="1" applyAlignment="1">
      <alignment horizontal="left" vertical="center" wrapText="1"/>
    </xf>
    <xf numFmtId="0" fontId="30" fillId="26" borderId="0" xfId="2584" applyFont="1" applyFill="1" applyBorder="1" applyAlignment="1">
      <alignment horizontal="left" vertical="top" wrapText="1"/>
    </xf>
    <xf numFmtId="0" fontId="99" fillId="0" borderId="0" xfId="4348" applyFont="1"/>
    <xf numFmtId="0" fontId="100" fillId="0" borderId="0" xfId="4348" applyFont="1"/>
    <xf numFmtId="0" fontId="100" fillId="0" borderId="0" xfId="4348" applyFont="1" applyAlignment="1">
      <alignment horizontal="center" wrapText="1"/>
    </xf>
    <xf numFmtId="0" fontId="99" fillId="0" borderId="98" xfId="4348" applyFont="1" applyBorder="1" applyAlignment="1">
      <alignment horizontal="center" vertical="center"/>
    </xf>
    <xf numFmtId="0" fontId="100" fillId="0" borderId="99" xfId="4348" applyFont="1" applyBorder="1" applyAlignment="1">
      <alignment horizontal="center" vertical="center"/>
    </xf>
    <xf numFmtId="0" fontId="100" fillId="0" borderId="99" xfId="4348" applyFont="1" applyBorder="1" applyAlignment="1">
      <alignment horizontal="center" vertical="center" wrapText="1"/>
    </xf>
    <xf numFmtId="0" fontId="100" fillId="0" borderId="100" xfId="4348" applyFont="1" applyBorder="1" applyAlignment="1">
      <alignment horizontal="center" vertical="center" wrapText="1"/>
    </xf>
    <xf numFmtId="0" fontId="100" fillId="0" borderId="101" xfId="4348" applyFont="1" applyBorder="1" applyAlignment="1">
      <alignment horizontal="center" vertical="center" wrapText="1"/>
    </xf>
    <xf numFmtId="0" fontId="99" fillId="0" borderId="0" xfId="4348" applyFont="1" applyAlignment="1">
      <alignment horizontal="right"/>
    </xf>
    <xf numFmtId="0" fontId="99" fillId="0" borderId="102" xfId="4348" applyFont="1" applyBorder="1" applyAlignment="1">
      <alignment vertical="center"/>
    </xf>
    <xf numFmtId="184" fontId="99" fillId="0" borderId="103" xfId="4348" applyNumberFormat="1" applyFont="1" applyBorder="1" applyAlignment="1">
      <alignment horizontal="right"/>
    </xf>
    <xf numFmtId="0" fontId="99" fillId="0" borderId="103" xfId="4348" applyFont="1" applyBorder="1" applyAlignment="1">
      <alignment horizontal="right"/>
    </xf>
    <xf numFmtId="0" fontId="99" fillId="0" borderId="104" xfId="4348" applyFont="1" applyBorder="1" applyAlignment="1">
      <alignment horizontal="right"/>
    </xf>
    <xf numFmtId="0" fontId="99" fillId="0" borderId="78" xfId="4348" applyFont="1" applyBorder="1" applyAlignment="1">
      <alignment horizontal="right"/>
    </xf>
    <xf numFmtId="0" fontId="99" fillId="0" borderId="73" xfId="4348" applyFont="1" applyBorder="1"/>
    <xf numFmtId="184" fontId="99" fillId="0" borderId="74" xfId="4348" applyNumberFormat="1" applyFont="1" applyBorder="1" applyAlignment="1">
      <alignment horizontal="right"/>
    </xf>
    <xf numFmtId="0" fontId="99" fillId="0" borderId="74" xfId="4348" applyFont="1" applyBorder="1" applyAlignment="1">
      <alignment horizontal="right"/>
    </xf>
    <xf numFmtId="184" fontId="99" fillId="0" borderId="74" xfId="4348" applyNumberFormat="1" applyFont="1" applyBorder="1" applyAlignment="1">
      <alignment horizontal="right" wrapText="1"/>
    </xf>
    <xf numFmtId="184" fontId="99" fillId="0" borderId="74" xfId="4348" applyNumberFormat="1" applyFont="1" applyBorder="1"/>
    <xf numFmtId="184" fontId="99" fillId="0" borderId="104" xfId="4348" applyNumberFormat="1" applyFont="1" applyBorder="1" applyAlignment="1">
      <alignment horizontal="right"/>
    </xf>
    <xf numFmtId="184" fontId="99" fillId="0" borderId="78" xfId="4348" applyNumberFormat="1" applyFont="1" applyBorder="1" applyAlignment="1">
      <alignment horizontal="right"/>
    </xf>
    <xf numFmtId="184" fontId="99" fillId="0" borderId="104" xfId="4348" applyNumberFormat="1" applyFont="1" applyBorder="1"/>
    <xf numFmtId="184" fontId="99" fillId="0" borderId="78" xfId="4348" applyNumberFormat="1" applyFont="1" applyBorder="1"/>
    <xf numFmtId="0" fontId="99" fillId="0" borderId="73" xfId="4348" applyFont="1" applyBorder="1" applyAlignment="1">
      <alignment wrapText="1"/>
    </xf>
    <xf numFmtId="183" fontId="99" fillId="0" borderId="73" xfId="4348" applyNumberFormat="1" applyFont="1" applyBorder="1"/>
    <xf numFmtId="185" fontId="99" fillId="0" borderId="74" xfId="4348" applyNumberFormat="1" applyFont="1" applyBorder="1" applyAlignment="1">
      <alignment horizontal="right"/>
    </xf>
    <xf numFmtId="0" fontId="99" fillId="0" borderId="105" xfId="4349" applyFont="1" applyBorder="1"/>
    <xf numFmtId="0" fontId="99" fillId="0" borderId="106" xfId="4348" applyFont="1" applyBorder="1" applyAlignment="1">
      <alignment horizontal="right"/>
    </xf>
    <xf numFmtId="0" fontId="99" fillId="0" borderId="80" xfId="4348" applyFont="1" applyBorder="1" applyAlignment="1">
      <alignment horizontal="right"/>
    </xf>
    <xf numFmtId="0" fontId="99" fillId="0" borderId="107" xfId="4348" applyFont="1" applyBorder="1"/>
    <xf numFmtId="183" fontId="99" fillId="0" borderId="0" xfId="4348" applyNumberFormat="1" applyFont="1" applyAlignment="1">
      <alignment horizontal="right"/>
    </xf>
    <xf numFmtId="0" fontId="0" fillId="0" borderId="0" xfId="0" applyAlignment="1">
      <alignment vertical="center"/>
    </xf>
    <xf numFmtId="9" fontId="0" fillId="0" borderId="0" xfId="0" applyNumberFormat="1" applyAlignment="1">
      <alignment vertical="center"/>
    </xf>
    <xf numFmtId="9" fontId="0" fillId="0" borderId="0" xfId="0" applyNumberFormat="1"/>
    <xf numFmtId="0" fontId="80" fillId="0" borderId="0" xfId="0" applyFont="1"/>
    <xf numFmtId="0" fontId="7" fillId="0" borderId="0" xfId="0" applyFont="1" applyAlignment="1">
      <alignment vertical="center"/>
    </xf>
    <xf numFmtId="10" fontId="0" fillId="0" borderId="0" xfId="0" applyNumberFormat="1"/>
    <xf numFmtId="0" fontId="102" fillId="0" borderId="0" xfId="0" applyFont="1"/>
    <xf numFmtId="0" fontId="101" fillId="0" borderId="80" xfId="0" applyFont="1" applyBorder="1" applyAlignment="1">
      <alignment horizontal="center" vertical="center" wrapText="1"/>
    </xf>
    <xf numFmtId="0" fontId="101" fillId="0" borderId="81" xfId="0" applyFont="1" applyBorder="1" applyAlignment="1">
      <alignment horizontal="center" vertical="center" wrapText="1"/>
    </xf>
    <xf numFmtId="0" fontId="101" fillId="0" borderId="102" xfId="0" applyFont="1" applyBorder="1"/>
    <xf numFmtId="183" fontId="101" fillId="0" borderId="103" xfId="0" applyNumberFormat="1" applyFont="1" applyBorder="1" applyAlignment="1">
      <alignment horizontal="right" vertical="center" wrapText="1"/>
    </xf>
    <xf numFmtId="183" fontId="101" fillId="0" borderId="77" xfId="0" applyNumberFormat="1" applyFont="1" applyBorder="1" applyAlignment="1">
      <alignment horizontal="right" vertical="center" wrapText="1"/>
    </xf>
    <xf numFmtId="0" fontId="101" fillId="0" borderId="73" xfId="0" applyFont="1" applyBorder="1"/>
    <xf numFmtId="183" fontId="101" fillId="0" borderId="74" xfId="0" applyNumberFormat="1" applyFont="1" applyBorder="1" applyAlignment="1">
      <alignment horizontal="right" vertical="center" wrapText="1"/>
    </xf>
    <xf numFmtId="183" fontId="101" fillId="0" borderId="78" xfId="0" applyNumberFormat="1" applyFont="1" applyBorder="1" applyAlignment="1">
      <alignment horizontal="right" vertical="center" wrapText="1"/>
    </xf>
    <xf numFmtId="0" fontId="101" fillId="0" borderId="73" xfId="0" applyFont="1" applyBorder="1" applyAlignment="1">
      <alignment horizontal="left" indent="1"/>
    </xf>
    <xf numFmtId="183" fontId="101" fillId="0" borderId="74" xfId="0" applyNumberFormat="1" applyFont="1" applyBorder="1" applyAlignment="1">
      <alignment horizontal="right" wrapText="1"/>
    </xf>
    <xf numFmtId="183" fontId="101" fillId="0" borderId="78" xfId="0" applyNumberFormat="1" applyFont="1" applyBorder="1" applyAlignment="1">
      <alignment horizontal="right" wrapText="1"/>
    </xf>
    <xf numFmtId="0" fontId="102" fillId="0" borderId="73" xfId="0" applyFont="1" applyBorder="1" applyAlignment="1">
      <alignment horizontal="left" indent="2"/>
    </xf>
    <xf numFmtId="0" fontId="102" fillId="0" borderId="74" xfId="0" applyFont="1" applyBorder="1" applyAlignment="1">
      <alignment horizontal="right" vertical="center" wrapText="1"/>
    </xf>
    <xf numFmtId="0" fontId="102" fillId="0" borderId="78" xfId="0" applyFont="1" applyBorder="1" applyAlignment="1">
      <alignment horizontal="right" vertical="center" wrapText="1"/>
    </xf>
    <xf numFmtId="183" fontId="102" fillId="0" borderId="74" xfId="0" applyNumberFormat="1" applyFont="1" applyBorder="1" applyAlignment="1">
      <alignment horizontal="right" vertical="center" wrapText="1"/>
    </xf>
    <xf numFmtId="183" fontId="102" fillId="0" borderId="78" xfId="0" applyNumberFormat="1" applyFont="1" applyBorder="1" applyAlignment="1">
      <alignment horizontal="right" vertical="center" wrapText="1"/>
    </xf>
    <xf numFmtId="0" fontId="102" fillId="0" borderId="79" xfId="0" applyFont="1" applyBorder="1" applyAlignment="1">
      <alignment horizontal="left" indent="2"/>
    </xf>
    <xf numFmtId="183" fontId="102" fillId="0" borderId="80" xfId="0" applyNumberFormat="1" applyFont="1" applyBorder="1" applyAlignment="1">
      <alignment horizontal="right" vertical="center" wrapText="1"/>
    </xf>
    <xf numFmtId="183" fontId="102" fillId="0" borderId="81" xfId="0" applyNumberFormat="1" applyFont="1" applyBorder="1" applyAlignment="1">
      <alignment horizontal="right" vertical="center" wrapText="1"/>
    </xf>
    <xf numFmtId="0" fontId="74" fillId="0" borderId="0" xfId="0" applyFont="1"/>
    <xf numFmtId="184" fontId="99" fillId="0" borderId="0" xfId="4348" applyNumberFormat="1" applyFont="1"/>
    <xf numFmtId="4" fontId="99" fillId="0" borderId="0" xfId="4348" applyNumberFormat="1" applyFont="1"/>
    <xf numFmtId="0" fontId="54" fillId="0" borderId="0" xfId="4348" applyFont="1"/>
    <xf numFmtId="4" fontId="7" fillId="0" borderId="0" xfId="0" applyNumberFormat="1" applyFont="1"/>
    <xf numFmtId="184" fontId="7" fillId="0" borderId="0" xfId="0" applyNumberFormat="1" applyFont="1"/>
    <xf numFmtId="0" fontId="99" fillId="0" borderId="110" xfId="4349" applyFont="1" applyFill="1" applyBorder="1"/>
    <xf numFmtId="184" fontId="0" fillId="0" borderId="0" xfId="0" applyNumberFormat="1"/>
    <xf numFmtId="0" fontId="53" fillId="0" borderId="0" xfId="4349" applyFont="1"/>
    <xf numFmtId="183" fontId="53" fillId="0" borderId="0" xfId="4349" applyNumberFormat="1" applyFont="1"/>
    <xf numFmtId="0" fontId="105" fillId="0" borderId="114" xfId="0" applyFont="1" applyBorder="1" applyAlignment="1">
      <alignment horizontal="center" vertical="center" wrapText="1"/>
    </xf>
    <xf numFmtId="0" fontId="105" fillId="0" borderId="75" xfId="0" applyFont="1" applyBorder="1" applyAlignment="1">
      <alignment horizontal="center" vertical="center" wrapText="1"/>
    </xf>
    <xf numFmtId="0" fontId="105" fillId="0" borderId="32" xfId="0" applyFont="1" applyBorder="1"/>
    <xf numFmtId="186" fontId="100" fillId="0" borderId="111" xfId="0" applyNumberFormat="1" applyFont="1" applyBorder="1" applyAlignment="1">
      <alignment horizontal="right"/>
    </xf>
    <xf numFmtId="186" fontId="100" fillId="0" borderId="112" xfId="0" applyNumberFormat="1" applyFont="1" applyBorder="1" applyAlignment="1">
      <alignment horizontal="right"/>
    </xf>
    <xf numFmtId="0" fontId="105" fillId="0" borderId="73" xfId="0" applyFont="1" applyBorder="1"/>
    <xf numFmtId="186" fontId="99" fillId="0" borderId="74" xfId="0" applyNumberFormat="1" applyFont="1" applyBorder="1" applyAlignment="1">
      <alignment horizontal="right"/>
    </xf>
    <xf numFmtId="186" fontId="100" fillId="0" borderId="74" xfId="0" applyNumberFormat="1" applyFont="1" applyBorder="1" applyAlignment="1">
      <alignment horizontal="right"/>
    </xf>
    <xf numFmtId="186" fontId="100" fillId="0" borderId="78" xfId="0" applyNumberFormat="1" applyFont="1" applyBorder="1" applyAlignment="1">
      <alignment horizontal="right"/>
    </xf>
    <xf numFmtId="0" fontId="100" fillId="0" borderId="74" xfId="0" applyFont="1" applyBorder="1" applyAlignment="1">
      <alignment horizontal="right"/>
    </xf>
    <xf numFmtId="0" fontId="100" fillId="0" borderId="78" xfId="0" applyFont="1" applyBorder="1" applyAlignment="1">
      <alignment horizontal="right"/>
    </xf>
    <xf numFmtId="0" fontId="106" fillId="0" borderId="73" xfId="0" applyFont="1" applyBorder="1" applyAlignment="1">
      <alignment horizontal="center"/>
    </xf>
    <xf numFmtId="186" fontId="99" fillId="0" borderId="78" xfId="0" applyNumberFormat="1" applyFont="1" applyBorder="1" applyAlignment="1">
      <alignment horizontal="right"/>
    </xf>
    <xf numFmtId="0" fontId="108" fillId="0" borderId="73" xfId="0" applyFont="1" applyBorder="1" applyAlignment="1">
      <alignment horizontal="left" indent="1"/>
    </xf>
    <xf numFmtId="183" fontId="109" fillId="0" borderId="74" xfId="0" applyNumberFormat="1" applyFont="1" applyBorder="1" applyAlignment="1">
      <alignment horizontal="right"/>
    </xf>
    <xf numFmtId="183" fontId="110" fillId="0" borderId="74" xfId="0" applyNumberFormat="1" applyFont="1" applyBorder="1" applyAlignment="1">
      <alignment horizontal="right"/>
    </xf>
    <xf numFmtId="183" fontId="110" fillId="0" borderId="74" xfId="0" applyNumberFormat="1" applyFont="1" applyBorder="1"/>
    <xf numFmtId="183" fontId="100" fillId="0" borderId="74" xfId="0" applyNumberFormat="1" applyFont="1" applyBorder="1" applyAlignment="1">
      <alignment horizontal="right"/>
    </xf>
    <xf numFmtId="183" fontId="99" fillId="0" borderId="74" xfId="0" applyNumberFormat="1" applyFont="1" applyBorder="1" applyAlignment="1">
      <alignment horizontal="right"/>
    </xf>
    <xf numFmtId="183" fontId="99" fillId="0" borderId="74" xfId="4349" applyNumberFormat="1" applyFont="1" applyBorder="1"/>
    <xf numFmtId="183" fontId="99" fillId="0" borderId="78" xfId="4349" applyNumberFormat="1" applyFont="1" applyBorder="1"/>
    <xf numFmtId="183" fontId="109" fillId="0" borderId="78" xfId="0" applyNumberFormat="1" applyFont="1" applyBorder="1" applyAlignment="1">
      <alignment horizontal="right"/>
    </xf>
    <xf numFmtId="183" fontId="110" fillId="0" borderId="78" xfId="0" applyNumberFormat="1" applyFont="1" applyBorder="1" applyAlignment="1">
      <alignment horizontal="right"/>
    </xf>
    <xf numFmtId="183" fontId="109" fillId="0" borderId="74" xfId="0" applyNumberFormat="1" applyFont="1" applyBorder="1"/>
    <xf numFmtId="183" fontId="111" fillId="0" borderId="78" xfId="0" applyNumberFormat="1" applyFont="1" applyBorder="1" applyAlignment="1">
      <alignment horizontal="right" wrapText="1"/>
    </xf>
    <xf numFmtId="0" fontId="99" fillId="0" borderId="74" xfId="4349" applyFont="1" applyBorder="1"/>
    <xf numFmtId="0" fontId="99" fillId="0" borderId="78" xfId="4349" applyFont="1" applyBorder="1"/>
    <xf numFmtId="183" fontId="99" fillId="0" borderId="78" xfId="0" applyNumberFormat="1" applyFont="1" applyBorder="1" applyAlignment="1">
      <alignment horizontal="right"/>
    </xf>
    <xf numFmtId="187" fontId="99" fillId="0" borderId="74" xfId="0" applyNumberFormat="1" applyFont="1" applyBorder="1"/>
    <xf numFmtId="186" fontId="99" fillId="0" borderId="74" xfId="0" applyNumberFormat="1" applyFont="1" applyBorder="1"/>
    <xf numFmtId="0" fontId="99" fillId="0" borderId="74" xfId="0" applyFont="1" applyBorder="1"/>
    <xf numFmtId="0" fontId="99" fillId="0" borderId="78" xfId="0" applyFont="1" applyBorder="1"/>
    <xf numFmtId="183" fontId="109" fillId="0" borderId="74" xfId="0" applyNumberFormat="1" applyFont="1" applyBorder="1" applyAlignment="1">
      <alignment horizontal="right" wrapText="1"/>
    </xf>
    <xf numFmtId="0" fontId="106" fillId="0" borderId="73" xfId="0" applyFont="1" applyBorder="1" applyAlignment="1">
      <alignment horizontal="left"/>
    </xf>
    <xf numFmtId="0" fontId="100" fillId="0" borderId="74" xfId="0" applyFont="1" applyBorder="1"/>
    <xf numFmtId="0" fontId="100" fillId="0" borderId="78" xfId="0" applyFont="1" applyBorder="1"/>
    <xf numFmtId="0" fontId="108" fillId="0" borderId="73" xfId="0" applyFont="1" applyBorder="1" applyAlignment="1">
      <alignment horizontal="left" indent="2"/>
    </xf>
    <xf numFmtId="0" fontId="53" fillId="0" borderId="74" xfId="4349" applyFont="1" applyBorder="1"/>
    <xf numFmtId="0" fontId="53" fillId="0" borderId="78" xfId="4349" applyFont="1" applyBorder="1"/>
    <xf numFmtId="0" fontId="54" fillId="0" borderId="74" xfId="4349" applyFont="1" applyBorder="1"/>
    <xf numFmtId="0" fontId="54" fillId="0" borderId="78" xfId="4349" applyFont="1" applyBorder="1"/>
    <xf numFmtId="0" fontId="99" fillId="0" borderId="78" xfId="0" applyFont="1" applyBorder="1" applyAlignment="1">
      <alignment horizontal="right"/>
    </xf>
    <xf numFmtId="0" fontId="100" fillId="0" borderId="74" xfId="4349" applyFont="1" applyBorder="1"/>
    <xf numFmtId="0" fontId="100" fillId="0" borderId="78" xfId="4349" applyFont="1" applyBorder="1"/>
    <xf numFmtId="183" fontId="109" fillId="0" borderId="74" xfId="0" applyNumberFormat="1" applyFont="1" applyBorder="1" applyAlignment="1">
      <alignment horizontal="right" vertical="center" wrapText="1"/>
    </xf>
    <xf numFmtId="183" fontId="111" fillId="0" borderId="78" xfId="0" applyNumberFormat="1" applyFont="1" applyBorder="1" applyAlignment="1">
      <alignment horizontal="right" vertical="center" wrapText="1"/>
    </xf>
    <xf numFmtId="183" fontId="110" fillId="0" borderId="78" xfId="0" applyNumberFormat="1" applyFont="1" applyBorder="1"/>
    <xf numFmtId="0" fontId="105" fillId="0" borderId="73" xfId="4349" applyFont="1" applyBorder="1"/>
    <xf numFmtId="0" fontId="108" fillId="0" borderId="79" xfId="0" applyFont="1" applyBorder="1" applyAlignment="1">
      <alignment horizontal="left" indent="1"/>
    </xf>
    <xf numFmtId="186" fontId="99" fillId="0" borderId="80" xfId="0" applyNumberFormat="1" applyFont="1" applyBorder="1" applyAlignment="1">
      <alignment horizontal="right"/>
    </xf>
    <xf numFmtId="186" fontId="99" fillId="0" borderId="81" xfId="0" applyNumberFormat="1" applyFont="1" applyBorder="1" applyAlignment="1">
      <alignment horizontal="right"/>
    </xf>
    <xf numFmtId="0" fontId="29" fillId="30" borderId="86" xfId="0" applyFont="1" applyFill="1" applyBorder="1" applyAlignment="1">
      <alignment horizontal="left" vertical="center" wrapText="1"/>
    </xf>
    <xf numFmtId="1" fontId="0" fillId="30" borderId="0" xfId="0" applyNumberFormat="1" applyFill="1" applyAlignment="1">
      <alignment horizontal="left"/>
    </xf>
    <xf numFmtId="2" fontId="99" fillId="0" borderId="0" xfId="4348" applyNumberFormat="1" applyFont="1"/>
    <xf numFmtId="0" fontId="0" fillId="0" borderId="0" xfId="0" applyAlignment="1"/>
    <xf numFmtId="0" fontId="86" fillId="27" borderId="84" xfId="0" applyFont="1" applyFill="1" applyBorder="1" applyAlignment="1">
      <alignment horizontal="left" vertical="center" wrapText="1"/>
    </xf>
    <xf numFmtId="0" fontId="86" fillId="0" borderId="83" xfId="0" applyFont="1" applyBorder="1" applyAlignment="1">
      <alignment horizontal="left"/>
    </xf>
    <xf numFmtId="0" fontId="86" fillId="0" borderId="65" xfId="0" applyFont="1" applyBorder="1"/>
    <xf numFmtId="0" fontId="86" fillId="0" borderId="65" xfId="0" applyFont="1" applyFill="1" applyBorder="1" applyAlignment="1">
      <alignment horizontal="left"/>
    </xf>
    <xf numFmtId="173" fontId="86" fillId="0" borderId="65" xfId="0" applyNumberFormat="1" applyFont="1" applyBorder="1" applyAlignment="1">
      <alignment horizontal="center"/>
    </xf>
    <xf numFmtId="171" fontId="86" fillId="0" borderId="65" xfId="0" applyNumberFormat="1" applyFont="1" applyBorder="1" applyAlignment="1">
      <alignment horizontal="left"/>
    </xf>
    <xf numFmtId="0" fontId="92" fillId="0" borderId="65" xfId="0" applyFont="1" applyBorder="1"/>
    <xf numFmtId="43" fontId="96" fillId="0" borderId="65" xfId="38" applyFont="1" applyBorder="1"/>
    <xf numFmtId="43" fontId="93" fillId="0" borderId="65" xfId="38" applyFont="1" applyBorder="1"/>
    <xf numFmtId="0" fontId="92" fillId="0" borderId="83" xfId="0" applyFont="1" applyBorder="1"/>
    <xf numFmtId="43" fontId="96" fillId="0" borderId="83" xfId="38" applyFont="1" applyBorder="1"/>
    <xf numFmtId="43" fontId="93" fillId="0" borderId="83" xfId="38" applyFont="1" applyBorder="1"/>
    <xf numFmtId="43" fontId="96" fillId="0" borderId="16" xfId="38" applyFont="1" applyBorder="1"/>
    <xf numFmtId="43" fontId="96" fillId="0" borderId="85" xfId="38" applyFont="1" applyBorder="1"/>
    <xf numFmtId="43" fontId="96" fillId="0" borderId="46" xfId="38" applyFont="1" applyBorder="1"/>
    <xf numFmtId="43" fontId="96" fillId="0" borderId="115" xfId="38" applyFont="1" applyBorder="1"/>
    <xf numFmtId="0" fontId="90" fillId="40" borderId="104" xfId="0" applyFont="1" applyFill="1" applyBorder="1" applyAlignment="1"/>
    <xf numFmtId="0" fontId="90" fillId="40" borderId="116" xfId="0" applyFont="1" applyFill="1" applyBorder="1" applyAlignment="1"/>
    <xf numFmtId="0" fontId="90" fillId="40" borderId="74" xfId="0" applyFont="1" applyFill="1" applyBorder="1" applyAlignment="1"/>
    <xf numFmtId="0" fontId="86" fillId="0" borderId="89" xfId="0" applyFont="1" applyBorder="1" applyAlignment="1">
      <alignment horizontal="center" vertical="center"/>
    </xf>
    <xf numFmtId="0" fontId="86" fillId="0" borderId="117" xfId="0" applyFont="1" applyBorder="1" applyAlignment="1">
      <alignment horizontal="center" vertical="center"/>
    </xf>
    <xf numFmtId="43" fontId="93" fillId="0" borderId="115" xfId="38" applyFont="1" applyBorder="1"/>
    <xf numFmtId="43" fontId="93" fillId="0" borderId="118" xfId="38" applyFont="1" applyBorder="1"/>
    <xf numFmtId="43" fontId="93" fillId="0" borderId="16" xfId="38" applyFont="1" applyBorder="1"/>
    <xf numFmtId="43" fontId="93" fillId="0" borderId="19" xfId="38" applyFont="1" applyBorder="1"/>
    <xf numFmtId="43" fontId="93" fillId="0" borderId="85" xfId="38" applyFont="1" applyBorder="1"/>
    <xf numFmtId="43" fontId="93" fillId="0" borderId="119" xfId="38" applyFont="1" applyBorder="1"/>
    <xf numFmtId="43" fontId="93" fillId="0" borderId="120" xfId="38" applyFont="1" applyBorder="1"/>
    <xf numFmtId="43" fontId="93" fillId="0" borderId="46" xfId="38" applyFont="1" applyBorder="1"/>
    <xf numFmtId="43" fontId="93" fillId="0" borderId="121" xfId="38" applyFont="1" applyBorder="1"/>
    <xf numFmtId="43" fontId="93" fillId="0" borderId="122" xfId="38" applyFont="1" applyBorder="1"/>
    <xf numFmtId="43" fontId="93" fillId="0" borderId="123" xfId="38" applyFont="1" applyBorder="1"/>
    <xf numFmtId="43" fontId="93" fillId="0" borderId="90" xfId="38" applyFont="1" applyBorder="1"/>
    <xf numFmtId="43" fontId="96" fillId="0" borderId="118" xfId="38" applyFont="1" applyBorder="1"/>
    <xf numFmtId="43" fontId="96" fillId="0" borderId="19" xfId="38" applyFont="1" applyBorder="1"/>
    <xf numFmtId="43" fontId="96" fillId="0" borderId="90" xfId="38" applyFont="1" applyBorder="1"/>
    <xf numFmtId="43" fontId="96" fillId="0" borderId="121" xfId="38" applyFont="1" applyBorder="1"/>
    <xf numFmtId="0" fontId="86" fillId="0" borderId="65" xfId="0" applyFont="1" applyBorder="1" applyAlignment="1">
      <alignment horizontal="center" vertical="center"/>
    </xf>
    <xf numFmtId="2" fontId="94" fillId="0" borderId="0" xfId="0" applyNumberFormat="1" applyFont="1"/>
    <xf numFmtId="43" fontId="112" fillId="0" borderId="50" xfId="38" applyNumberFormat="1" applyFont="1" applyFill="1" applyBorder="1" applyAlignment="1">
      <alignment horizontal="center"/>
    </xf>
    <xf numFmtId="43" fontId="112" fillId="0" borderId="0" xfId="38" applyNumberFormat="1" applyFont="1" applyFill="1" applyBorder="1" applyAlignment="1">
      <alignment horizontal="center"/>
    </xf>
    <xf numFmtId="43" fontId="112" fillId="0" borderId="83" xfId="38" applyNumberFormat="1" applyFont="1" applyFill="1" applyBorder="1" applyAlignment="1">
      <alignment horizontal="center"/>
    </xf>
    <xf numFmtId="43" fontId="112" fillId="0" borderId="65" xfId="38" applyNumberFormat="1" applyFont="1" applyFill="1" applyBorder="1" applyAlignment="1">
      <alignment horizontal="center"/>
    </xf>
    <xf numFmtId="43" fontId="7" fillId="0" borderId="0" xfId="2584" applyNumberFormat="1" applyBorder="1" applyAlignment="1">
      <alignment horizontal="left"/>
    </xf>
    <xf numFmtId="168" fontId="0" fillId="50" borderId="0" xfId="0" applyNumberFormat="1" applyFill="1" applyAlignment="1">
      <alignment horizontal="left"/>
    </xf>
    <xf numFmtId="1" fontId="0" fillId="50" borderId="0" xfId="0" applyNumberFormat="1" applyFill="1" applyAlignment="1">
      <alignment horizontal="left"/>
    </xf>
    <xf numFmtId="0" fontId="114" fillId="0" borderId="0" xfId="2584" applyFont="1"/>
    <xf numFmtId="0" fontId="7" fillId="0" borderId="83" xfId="2584" applyBorder="1" applyAlignment="1">
      <alignment horizontal="center"/>
    </xf>
    <xf numFmtId="43" fontId="7" fillId="0" borderId="83" xfId="2584" applyNumberFormat="1" applyBorder="1" applyAlignment="1">
      <alignment horizontal="center"/>
    </xf>
    <xf numFmtId="0" fontId="7" fillId="0" borderId="83" xfId="2584" applyBorder="1" applyAlignment="1">
      <alignment horizontal="right"/>
    </xf>
    <xf numFmtId="174" fontId="7" fillId="0" borderId="83" xfId="38" applyNumberFormat="1" applyBorder="1"/>
    <xf numFmtId="0" fontId="7" fillId="0" borderId="0" xfId="0" applyFont="1" applyBorder="1"/>
    <xf numFmtId="0" fontId="7" fillId="0" borderId="83" xfId="0" applyFont="1" applyBorder="1"/>
    <xf numFmtId="2" fontId="0" fillId="40" borderId="0" xfId="0" applyNumberFormat="1" applyFill="1"/>
    <xf numFmtId="0" fontId="0" fillId="40" borderId="0" xfId="0" applyFill="1"/>
    <xf numFmtId="184" fontId="99" fillId="40" borderId="103" xfId="4348" applyNumberFormat="1" applyFont="1" applyFill="1" applyBorder="1" applyAlignment="1">
      <alignment horizontal="right"/>
    </xf>
    <xf numFmtId="184" fontId="99" fillId="40" borderId="74" xfId="4348" applyNumberFormat="1" applyFont="1" applyFill="1" applyBorder="1" applyAlignment="1">
      <alignment horizontal="right"/>
    </xf>
    <xf numFmtId="184" fontId="99" fillId="40" borderId="74" xfId="4348" applyNumberFormat="1" applyFont="1" applyFill="1" applyBorder="1" applyAlignment="1">
      <alignment horizontal="right" wrapText="1"/>
    </xf>
    <xf numFmtId="184" fontId="99" fillId="40" borderId="74" xfId="4348" applyNumberFormat="1" applyFont="1" applyFill="1" applyBorder="1"/>
    <xf numFmtId="184" fontId="99" fillId="40" borderId="104" xfId="4348" applyNumberFormat="1" applyFont="1" applyFill="1" applyBorder="1"/>
    <xf numFmtId="184" fontId="99" fillId="40" borderId="78" xfId="4348" applyNumberFormat="1" applyFont="1" applyFill="1" applyBorder="1"/>
    <xf numFmtId="184" fontId="99" fillId="40" borderId="104" xfId="4348" applyNumberFormat="1" applyFont="1" applyFill="1" applyBorder="1" applyAlignment="1">
      <alignment horizontal="right"/>
    </xf>
    <xf numFmtId="184" fontId="99" fillId="40" borderId="78" xfId="4348" applyNumberFormat="1" applyFont="1" applyFill="1" applyBorder="1" applyAlignment="1">
      <alignment horizontal="right"/>
    </xf>
    <xf numFmtId="185" fontId="99" fillId="40" borderId="74" xfId="4348" applyNumberFormat="1" applyFont="1" applyFill="1" applyBorder="1" applyAlignment="1">
      <alignment horizontal="right"/>
    </xf>
    <xf numFmtId="0" fontId="99" fillId="40" borderId="106" xfId="4348" applyFont="1" applyFill="1" applyBorder="1" applyAlignment="1">
      <alignment horizontal="right"/>
    </xf>
    <xf numFmtId="0" fontId="99" fillId="40" borderId="80" xfId="4348" applyFont="1" applyFill="1" applyBorder="1" applyAlignment="1">
      <alignment horizontal="right"/>
    </xf>
    <xf numFmtId="0" fontId="99" fillId="40" borderId="107" xfId="4348" applyFont="1" applyFill="1" applyBorder="1"/>
    <xf numFmtId="177" fontId="0" fillId="0" borderId="83" xfId="0" applyNumberFormat="1" applyFill="1" applyBorder="1"/>
    <xf numFmtId="177" fontId="7" fillId="0" borderId="83" xfId="0" applyNumberFormat="1" applyFont="1" applyFill="1" applyBorder="1"/>
    <xf numFmtId="177" fontId="7" fillId="0" borderId="83" xfId="38" applyNumberFormat="1" applyFont="1" applyFill="1" applyBorder="1"/>
    <xf numFmtId="177" fontId="8" fillId="0" borderId="83" xfId="0" applyNumberFormat="1" applyFont="1" applyFill="1" applyBorder="1"/>
    <xf numFmtId="177" fontId="35" fillId="0" borderId="83" xfId="0" applyNumberFormat="1" applyFont="1" applyBorder="1"/>
    <xf numFmtId="177" fontId="8" fillId="0" borderId="83" xfId="38" applyNumberFormat="1" applyFont="1" applyBorder="1"/>
    <xf numFmtId="177" fontId="0" fillId="0" borderId="83" xfId="0" applyNumberFormat="1" applyBorder="1"/>
    <xf numFmtId="177" fontId="7" fillId="0" borderId="83" xfId="0" applyNumberFormat="1" applyFont="1" applyFill="1" applyBorder="1" applyAlignment="1">
      <alignment horizontal="left"/>
    </xf>
    <xf numFmtId="177" fontId="0" fillId="0" borderId="83" xfId="38" applyNumberFormat="1" applyFont="1" applyBorder="1"/>
    <xf numFmtId="177" fontId="0" fillId="0" borderId="83" xfId="0" applyNumberFormat="1" applyBorder="1" applyAlignment="1">
      <alignment horizontal="left"/>
    </xf>
    <xf numFmtId="0" fontId="0" fillId="81" borderId="0" xfId="0" applyFill="1"/>
    <xf numFmtId="1" fontId="0" fillId="81" borderId="0" xfId="0" applyNumberFormat="1" applyFill="1" applyAlignment="1">
      <alignment horizontal="left"/>
    </xf>
    <xf numFmtId="0" fontId="0" fillId="82" borderId="0" xfId="0" applyFill="1"/>
    <xf numFmtId="1" fontId="0" fillId="82" borderId="0" xfId="0" applyNumberFormat="1" applyFill="1" applyAlignment="1">
      <alignment horizontal="left"/>
    </xf>
    <xf numFmtId="0" fontId="0" fillId="83" borderId="0" xfId="0" applyFill="1"/>
    <xf numFmtId="1" fontId="0" fillId="83" borderId="0" xfId="0" applyNumberFormat="1" applyFill="1" applyAlignment="1">
      <alignment horizontal="left"/>
    </xf>
    <xf numFmtId="168" fontId="7" fillId="81" borderId="0" xfId="0" applyNumberFormat="1" applyFont="1" applyFill="1" applyAlignment="1">
      <alignment horizontal="left"/>
    </xf>
    <xf numFmtId="168" fontId="7" fillId="82" borderId="0" xfId="0" applyNumberFormat="1" applyFont="1" applyFill="1" applyAlignment="1">
      <alignment horizontal="left"/>
    </xf>
    <xf numFmtId="168" fontId="7" fillId="83" borderId="0" xfId="0" applyNumberFormat="1" applyFont="1" applyFill="1" applyAlignment="1">
      <alignment horizontal="left"/>
    </xf>
    <xf numFmtId="43" fontId="115" fillId="0" borderId="0" xfId="38" applyNumberFormat="1" applyFont="1" applyFill="1" applyBorder="1" applyAlignment="1">
      <alignment horizontal="center"/>
    </xf>
    <xf numFmtId="0" fontId="80" fillId="0" borderId="0" xfId="0" applyFont="1" applyFill="1" applyBorder="1"/>
    <xf numFmtId="0" fontId="7" fillId="27" borderId="0" xfId="0" applyFont="1" applyFill="1" applyBorder="1" applyAlignment="1">
      <alignment wrapText="1"/>
    </xf>
    <xf numFmtId="0" fontId="7" fillId="0" borderId="0" xfId="0" applyFont="1" applyFill="1" applyAlignment="1">
      <alignment wrapText="1"/>
    </xf>
    <xf numFmtId="0" fontId="7" fillId="0" borderId="83" xfId="0" applyFont="1" applyFill="1" applyBorder="1" applyAlignment="1">
      <alignment wrapText="1"/>
    </xf>
    <xf numFmtId="0" fontId="7" fillId="0" borderId="0" xfId="0" applyFont="1" applyFill="1" applyBorder="1" applyAlignment="1">
      <alignment wrapText="1"/>
    </xf>
    <xf numFmtId="0" fontId="0" fillId="0" borderId="0" xfId="0" applyFill="1" applyBorder="1" applyAlignment="1">
      <alignment wrapText="1"/>
    </xf>
    <xf numFmtId="0" fontId="0" fillId="0" borderId="0" xfId="0" applyBorder="1" applyAlignment="1">
      <alignment wrapText="1"/>
    </xf>
    <xf numFmtId="0" fontId="7" fillId="0" borderId="17" xfId="0" applyFont="1" applyFill="1" applyBorder="1" applyAlignment="1">
      <alignment wrapText="1"/>
    </xf>
    <xf numFmtId="0" fontId="94" fillId="0" borderId="0" xfId="0" applyFont="1" applyFill="1"/>
    <xf numFmtId="2" fontId="80" fillId="0" borderId="0" xfId="0" applyNumberFormat="1" applyFont="1"/>
    <xf numFmtId="10" fontId="0" fillId="40" borderId="0" xfId="0" applyNumberFormat="1" applyFill="1"/>
    <xf numFmtId="0" fontId="80" fillId="0" borderId="16" xfId="0" applyFont="1" applyBorder="1"/>
    <xf numFmtId="0" fontId="80" fillId="0" borderId="85" xfId="0" applyFont="1" applyBorder="1"/>
    <xf numFmtId="188" fontId="0" fillId="0" borderId="0" xfId="0" applyNumberFormat="1"/>
    <xf numFmtId="181" fontId="113" fillId="0" borderId="51" xfId="38" applyNumberFormat="1" applyFont="1" applyFill="1" applyBorder="1" applyAlignment="1">
      <alignment horizontal="center"/>
    </xf>
    <xf numFmtId="181" fontId="113" fillId="0" borderId="0" xfId="38" applyNumberFormat="1" applyFont="1" applyFill="1" applyBorder="1" applyAlignment="1">
      <alignment horizontal="center"/>
    </xf>
    <xf numFmtId="181" fontId="113" fillId="0" borderId="0" xfId="2584" applyNumberFormat="1" applyFont="1" applyFill="1" applyBorder="1" applyAlignment="1">
      <alignment horizontal="left"/>
    </xf>
    <xf numFmtId="180" fontId="113" fillId="0" borderId="51" xfId="38" applyNumberFormat="1" applyFont="1" applyFill="1" applyBorder="1" applyAlignment="1">
      <alignment horizontal="center"/>
    </xf>
    <xf numFmtId="180" fontId="113" fillId="0" borderId="0" xfId="38" applyNumberFormat="1" applyFont="1" applyFill="1" applyBorder="1" applyAlignment="1">
      <alignment horizontal="center"/>
    </xf>
    <xf numFmtId="180" fontId="113" fillId="0" borderId="0" xfId="2584" applyNumberFormat="1" applyFont="1" applyFill="1" applyBorder="1" applyAlignment="1">
      <alignment horizontal="left"/>
    </xf>
    <xf numFmtId="181" fontId="113" fillId="0" borderId="83" xfId="2584" applyNumberFormat="1" applyFont="1" applyFill="1" applyBorder="1" applyAlignment="1">
      <alignment horizontal="left"/>
    </xf>
    <xf numFmtId="43" fontId="35" fillId="0" borderId="83" xfId="38" applyFont="1" applyFill="1" applyBorder="1" applyAlignment="1">
      <alignment horizontal="left"/>
    </xf>
    <xf numFmtId="181" fontId="7" fillId="0" borderId="16" xfId="38" applyNumberFormat="1" applyBorder="1"/>
    <xf numFmtId="181" fontId="7" fillId="0" borderId="0" xfId="38" applyNumberFormat="1" applyBorder="1"/>
    <xf numFmtId="43" fontId="35" fillId="0" borderId="0" xfId="38" applyNumberFormat="1" applyFont="1" applyFill="1" applyBorder="1" applyAlignment="1">
      <alignment horizontal="left"/>
    </xf>
    <xf numFmtId="43" fontId="35" fillId="0" borderId="83" xfId="38" applyNumberFormat="1" applyFont="1" applyFill="1" applyBorder="1" applyAlignment="1">
      <alignment horizontal="left"/>
    </xf>
    <xf numFmtId="0" fontId="86" fillId="0" borderId="83" xfId="0" applyFont="1" applyFill="1" applyBorder="1"/>
    <xf numFmtId="0" fontId="86" fillId="0" borderId="124" xfId="0" applyFont="1" applyBorder="1"/>
    <xf numFmtId="0" fontId="86" fillId="0" borderId="65" xfId="0" applyFont="1" applyBorder="1" applyAlignment="1">
      <alignment horizontal="left"/>
    </xf>
    <xf numFmtId="0" fontId="86" fillId="0" borderId="124" xfId="0" applyFont="1" applyFill="1" applyBorder="1"/>
    <xf numFmtId="177" fontId="86" fillId="0" borderId="0" xfId="2590" applyNumberFormat="1" applyFont="1" applyFill="1" applyBorder="1"/>
    <xf numFmtId="4" fontId="99" fillId="40" borderId="74" xfId="4348" applyNumberFormat="1" applyFont="1" applyFill="1" applyBorder="1" applyAlignment="1">
      <alignment horizontal="right" wrapText="1"/>
    </xf>
    <xf numFmtId="177" fontId="0" fillId="0" borderId="83" xfId="0" applyNumberFormat="1" applyFont="1" applyFill="1" applyBorder="1"/>
    <xf numFmtId="177" fontId="35" fillId="0" borderId="83" xfId="0" applyNumberFormat="1" applyFont="1" applyFill="1" applyBorder="1"/>
    <xf numFmtId="0" fontId="116" fillId="0" borderId="0" xfId="0" applyFont="1"/>
    <xf numFmtId="177" fontId="7" fillId="0" borderId="50" xfId="0" applyNumberFormat="1" applyFont="1" applyFill="1" applyBorder="1"/>
    <xf numFmtId="0" fontId="7" fillId="0" borderId="50" xfId="0" applyFont="1" applyFill="1" applyBorder="1" applyAlignment="1">
      <alignment wrapText="1"/>
    </xf>
    <xf numFmtId="177" fontId="0" fillId="0" borderId="0" xfId="38" applyNumberFormat="1" applyFont="1" applyBorder="1"/>
    <xf numFmtId="177" fontId="7" fillId="0" borderId="52" xfId="0" applyNumberFormat="1" applyFont="1" applyFill="1" applyBorder="1"/>
    <xf numFmtId="177" fontId="7" fillId="0" borderId="52" xfId="0" applyNumberFormat="1" applyFont="1" applyBorder="1"/>
    <xf numFmtId="0" fontId="7" fillId="0" borderId="52" xfId="0" applyFont="1" applyFill="1" applyBorder="1" applyAlignment="1">
      <alignment wrapText="1"/>
    </xf>
    <xf numFmtId="177" fontId="7" fillId="0" borderId="17" xfId="0" applyNumberFormat="1" applyFont="1" applyFill="1" applyBorder="1"/>
    <xf numFmtId="177" fontId="7" fillId="0" borderId="17" xfId="0" applyNumberFormat="1" applyFont="1" applyBorder="1"/>
    <xf numFmtId="177" fontId="30" fillId="26" borderId="0" xfId="0" applyNumberFormat="1" applyFont="1" applyFill="1" applyBorder="1" applyAlignment="1">
      <alignment horizontal="left" vertical="top" wrapText="1"/>
    </xf>
    <xf numFmtId="177" fontId="29" fillId="0" borderId="0" xfId="0" applyNumberFormat="1" applyFont="1" applyFill="1" applyBorder="1" applyAlignment="1">
      <alignment horizontal="left" vertical="center" wrapText="1"/>
    </xf>
    <xf numFmtId="177" fontId="30" fillId="0" borderId="0" xfId="0" quotePrefix="1" applyNumberFormat="1" applyFont="1" applyFill="1" applyBorder="1" applyAlignment="1">
      <alignment horizontal="left" vertical="top" wrapText="1"/>
    </xf>
    <xf numFmtId="0" fontId="7" fillId="0" borderId="83" xfId="0" applyFont="1" applyFill="1" applyBorder="1"/>
    <xf numFmtId="0" fontId="86" fillId="0" borderId="65" xfId="0" applyFont="1" applyFill="1" applyBorder="1"/>
    <xf numFmtId="0" fontId="80" fillId="0" borderId="0" xfId="2584" applyFont="1" applyBorder="1" applyAlignment="1">
      <alignment horizontal="left"/>
    </xf>
    <xf numFmtId="0" fontId="80" fillId="0" borderId="83" xfId="2584" applyFont="1" applyBorder="1" applyAlignment="1">
      <alignment horizontal="left"/>
    </xf>
    <xf numFmtId="0" fontId="80" fillId="0" borderId="0" xfId="2584" applyFont="1" applyFill="1" applyBorder="1" applyAlignment="1">
      <alignment horizontal="left"/>
    </xf>
    <xf numFmtId="0" fontId="117" fillId="0" borderId="0" xfId="2584" applyFont="1" applyAlignment="1">
      <alignment horizontal="left"/>
    </xf>
    <xf numFmtId="0" fontId="80" fillId="0" borderId="0" xfId="2584" applyFont="1" applyAlignment="1">
      <alignment horizontal="left"/>
    </xf>
    <xf numFmtId="0" fontId="65" fillId="27" borderId="51" xfId="2584" applyFont="1" applyFill="1" applyBorder="1" applyAlignment="1">
      <alignment horizontal="left" vertical="center" wrapText="1"/>
    </xf>
    <xf numFmtId="0" fontId="118" fillId="26" borderId="64" xfId="2584" applyFont="1" applyFill="1" applyBorder="1" applyAlignment="1">
      <alignment horizontal="left" vertical="top" wrapText="1"/>
    </xf>
    <xf numFmtId="0" fontId="1" fillId="0" borderId="0" xfId="1815" applyFont="1"/>
    <xf numFmtId="0" fontId="57" fillId="50" borderId="0" xfId="1815" applyFont="1" applyFill="1"/>
    <xf numFmtId="0" fontId="57" fillId="84" borderId="0" xfId="1815" applyFont="1" applyFill="1"/>
    <xf numFmtId="0" fontId="57" fillId="85" borderId="0" xfId="1815" applyFont="1" applyFill="1"/>
    <xf numFmtId="165" fontId="0" fillId="0" borderId="0" xfId="0" applyNumberFormat="1"/>
    <xf numFmtId="189" fontId="0" fillId="0" borderId="0" xfId="0" applyNumberFormat="1"/>
    <xf numFmtId="190" fontId="93" fillId="0" borderId="0" xfId="38" applyNumberFormat="1" applyFont="1" applyBorder="1"/>
    <xf numFmtId="0" fontId="29" fillId="29" borderId="84" xfId="2584" applyFont="1" applyFill="1" applyBorder="1" applyAlignment="1">
      <alignment horizontal="center" vertical="center" wrapText="1"/>
    </xf>
    <xf numFmtId="174" fontId="94" fillId="0" borderId="0" xfId="38" applyNumberFormat="1" applyFont="1" applyBorder="1" applyAlignment="1">
      <alignment horizontal="left"/>
    </xf>
    <xf numFmtId="0" fontId="86" fillId="0" borderId="0" xfId="0" applyNumberFormat="1" applyFont="1" applyAlignment="1">
      <alignment horizontal="left"/>
    </xf>
    <xf numFmtId="0" fontId="86" fillId="0" borderId="0" xfId="0" applyNumberFormat="1" applyFont="1" applyBorder="1" applyAlignment="1">
      <alignment horizontal="left"/>
    </xf>
    <xf numFmtId="0" fontId="86" fillId="0" borderId="83" xfId="0" applyNumberFormat="1" applyFont="1" applyBorder="1" applyAlignment="1">
      <alignment horizontal="left"/>
    </xf>
    <xf numFmtId="0" fontId="86" fillId="0" borderId="0" xfId="0" applyNumberFormat="1" applyFont="1" applyFill="1" applyBorder="1" applyAlignment="1">
      <alignment horizontal="left"/>
    </xf>
    <xf numFmtId="173" fontId="0" fillId="0" borderId="0" xfId="0" applyNumberFormat="1"/>
    <xf numFmtId="184" fontId="99" fillId="0" borderId="88" xfId="0" applyNumberFormat="1" applyFont="1" applyBorder="1"/>
    <xf numFmtId="184" fontId="99" fillId="0" borderId="88" xfId="0" applyNumberFormat="1" applyFont="1" applyBorder="1" applyAlignment="1">
      <alignment horizontal="right"/>
    </xf>
    <xf numFmtId="0" fontId="100" fillId="0" borderId="125" xfId="0" applyFont="1" applyBorder="1" applyAlignment="1">
      <alignment horizontal="center" vertical="center" wrapText="1"/>
    </xf>
    <xf numFmtId="0" fontId="99" fillId="0" borderId="88" xfId="0" applyFont="1" applyBorder="1" applyAlignment="1">
      <alignment horizontal="right"/>
    </xf>
    <xf numFmtId="0" fontId="99" fillId="0" borderId="126" xfId="0" applyFont="1" applyBorder="1"/>
    <xf numFmtId="0" fontId="119" fillId="0" borderId="0" xfId="4350"/>
    <xf numFmtId="0" fontId="120" fillId="0" borderId="0" xfId="4350" applyFont="1" applyAlignment="1">
      <alignment horizontal="left" vertical="center"/>
    </xf>
    <xf numFmtId="0" fontId="121" fillId="0" borderId="0" xfId="4350" applyFont="1" applyAlignment="1">
      <alignment horizontal="left" vertical="center"/>
    </xf>
    <xf numFmtId="3" fontId="120" fillId="86" borderId="0" xfId="4350" applyNumberFormat="1" applyFont="1" applyFill="1" applyAlignment="1">
      <alignment horizontal="right" vertical="center" shrinkToFit="1"/>
    </xf>
    <xf numFmtId="191" fontId="120" fillId="86" borderId="0" xfId="4350" applyNumberFormat="1" applyFont="1" applyFill="1" applyAlignment="1">
      <alignment horizontal="right" vertical="center" shrinkToFit="1"/>
    </xf>
    <xf numFmtId="192" fontId="120" fillId="86" borderId="0" xfId="4350" applyNumberFormat="1" applyFont="1" applyFill="1" applyAlignment="1">
      <alignment horizontal="right" vertical="center" shrinkToFit="1"/>
    </xf>
    <xf numFmtId="0" fontId="121" fillId="87" borderId="127" xfId="4350" applyFont="1" applyFill="1" applyBorder="1" applyAlignment="1">
      <alignment horizontal="left" vertical="center"/>
    </xf>
    <xf numFmtId="191" fontId="120" fillId="0" borderId="0" xfId="4350" applyNumberFormat="1" applyFont="1" applyAlignment="1">
      <alignment horizontal="right" vertical="center" shrinkToFit="1"/>
    </xf>
    <xf numFmtId="192" fontId="120" fillId="0" borderId="0" xfId="4350" applyNumberFormat="1" applyFont="1" applyAlignment="1">
      <alignment horizontal="right" vertical="center" shrinkToFit="1"/>
    </xf>
    <xf numFmtId="3" fontId="120" fillId="0" borderId="0" xfId="4350" applyNumberFormat="1" applyFont="1" applyAlignment="1">
      <alignment horizontal="right" vertical="center" shrinkToFit="1"/>
    </xf>
    <xf numFmtId="0" fontId="119" fillId="88" borderId="0" xfId="4350" applyFill="1"/>
    <xf numFmtId="0" fontId="121" fillId="89" borderId="127" xfId="4350" applyFont="1" applyFill="1" applyBorder="1" applyAlignment="1">
      <alignment horizontal="left" vertical="center"/>
    </xf>
    <xf numFmtId="0" fontId="122" fillId="90" borderId="127" xfId="4350" applyFont="1" applyFill="1" applyBorder="1" applyAlignment="1">
      <alignment horizontal="left" vertical="center"/>
    </xf>
    <xf numFmtId="0" fontId="99" fillId="40" borderId="103" xfId="4348" applyNumberFormat="1" applyFont="1" applyFill="1" applyBorder="1" applyAlignment="1">
      <alignment horizontal="right"/>
    </xf>
    <xf numFmtId="3" fontId="99" fillId="40" borderId="103" xfId="4348" applyNumberFormat="1" applyFont="1" applyFill="1" applyBorder="1" applyAlignment="1">
      <alignment horizontal="right"/>
    </xf>
    <xf numFmtId="0" fontId="99" fillId="0" borderId="102" xfId="0" applyFont="1" applyBorder="1" applyAlignment="1">
      <alignment vertical="center"/>
    </xf>
    <xf numFmtId="0" fontId="99" fillId="0" borderId="73" xfId="0" applyFont="1" applyBorder="1"/>
    <xf numFmtId="0" fontId="99" fillId="0" borderId="73" xfId="0" applyFont="1" applyBorder="1" applyAlignment="1">
      <alignment wrapText="1"/>
    </xf>
    <xf numFmtId="0" fontId="99" fillId="0" borderId="105" xfId="0" applyFont="1" applyBorder="1"/>
    <xf numFmtId="0" fontId="86" fillId="49" borderId="0" xfId="0" applyFont="1" applyFill="1"/>
    <xf numFmtId="0" fontId="121" fillId="49" borderId="127" xfId="4350" applyFont="1" applyFill="1" applyBorder="1" applyAlignment="1">
      <alignment horizontal="left" vertical="center"/>
    </xf>
    <xf numFmtId="0" fontId="101" fillId="49" borderId="73" xfId="4348" applyFont="1" applyFill="1" applyBorder="1"/>
    <xf numFmtId="177" fontId="8" fillId="40" borderId="0" xfId="0" applyNumberFormat="1" applyFont="1" applyFill="1" applyBorder="1"/>
    <xf numFmtId="177" fontId="7" fillId="40" borderId="0" xfId="0" applyNumberFormat="1" applyFont="1" applyFill="1" applyBorder="1" applyAlignment="1">
      <alignment horizontal="left"/>
    </xf>
    <xf numFmtId="177" fontId="0" fillId="40" borderId="0" xfId="0" applyNumberFormat="1" applyFill="1" applyBorder="1"/>
    <xf numFmtId="0" fontId="0" fillId="40" borderId="0" xfId="0" applyFill="1" applyBorder="1" applyAlignment="1">
      <alignment wrapText="1"/>
    </xf>
    <xf numFmtId="3" fontId="0" fillId="0" borderId="0" xfId="0" applyNumberFormat="1"/>
    <xf numFmtId="3" fontId="99" fillId="40" borderId="74" xfId="4348" applyNumberFormat="1" applyFont="1" applyFill="1" applyBorder="1" applyAlignment="1">
      <alignment horizontal="right" wrapText="1"/>
    </xf>
    <xf numFmtId="3" fontId="99" fillId="40" borderId="74" xfId="4348" applyNumberFormat="1" applyFont="1" applyFill="1" applyBorder="1" applyAlignment="1">
      <alignment horizontal="right"/>
    </xf>
    <xf numFmtId="1" fontId="86" fillId="0" borderId="0" xfId="0" applyNumberFormat="1" applyFont="1"/>
    <xf numFmtId="177" fontId="0" fillId="91" borderId="0" xfId="0" applyNumberFormat="1" applyFill="1"/>
    <xf numFmtId="177" fontId="0" fillId="91" borderId="0" xfId="0" applyNumberFormat="1" applyFont="1" applyFill="1"/>
    <xf numFmtId="177" fontId="8" fillId="91" borderId="0" xfId="0" applyNumberFormat="1" applyFont="1" applyFill="1" applyBorder="1"/>
    <xf numFmtId="177" fontId="35" fillId="91" borderId="0" xfId="0" applyNumberFormat="1" applyFont="1" applyFill="1"/>
    <xf numFmtId="0" fontId="0" fillId="91" borderId="0" xfId="0" applyFill="1"/>
    <xf numFmtId="0" fontId="0" fillId="91" borderId="0" xfId="0" applyFill="1" applyBorder="1"/>
    <xf numFmtId="0" fontId="0" fillId="91" borderId="16" xfId="0" applyFill="1" applyBorder="1"/>
    <xf numFmtId="172" fontId="80" fillId="91" borderId="0" xfId="0" applyNumberFormat="1" applyFont="1" applyFill="1" applyBorder="1"/>
    <xf numFmtId="0" fontId="0" fillId="91" borderId="50" xfId="0" applyFill="1" applyBorder="1"/>
    <xf numFmtId="0" fontId="0" fillId="91" borderId="54" xfId="0" applyFill="1" applyBorder="1"/>
    <xf numFmtId="172" fontId="80" fillId="91" borderId="50" xfId="0" applyNumberFormat="1" applyFont="1" applyFill="1" applyBorder="1"/>
    <xf numFmtId="177" fontId="0" fillId="91" borderId="0" xfId="0" applyNumberFormat="1" applyFill="1" applyBorder="1"/>
    <xf numFmtId="177" fontId="7" fillId="91" borderId="0" xfId="0" applyNumberFormat="1" applyFont="1" applyFill="1" applyBorder="1"/>
    <xf numFmtId="177" fontId="0" fillId="91" borderId="0" xfId="0" applyNumberFormat="1" applyFill="1" applyBorder="1" applyAlignment="1">
      <alignment horizontal="left"/>
    </xf>
    <xf numFmtId="0" fontId="7" fillId="91" borderId="0" xfId="0" applyFont="1" applyFill="1" applyBorder="1"/>
    <xf numFmtId="0" fontId="7" fillId="91" borderId="0" xfId="0" applyFont="1" applyFill="1"/>
    <xf numFmtId="0" fontId="86" fillId="91" borderId="0" xfId="0" applyFont="1" applyFill="1" applyBorder="1" applyAlignment="1">
      <alignment horizontal="left"/>
    </xf>
    <xf numFmtId="177" fontId="8" fillId="91" borderId="0" xfId="38" applyNumberFormat="1" applyFont="1" applyFill="1"/>
    <xf numFmtId="0" fontId="86" fillId="91" borderId="0" xfId="0" applyFont="1" applyFill="1" applyAlignment="1">
      <alignment horizontal="left"/>
    </xf>
    <xf numFmtId="43" fontId="0" fillId="0" borderId="0" xfId="0" applyNumberFormat="1"/>
    <xf numFmtId="177" fontId="7" fillId="91" borderId="83" xfId="0" applyNumberFormat="1" applyFont="1" applyFill="1" applyBorder="1"/>
    <xf numFmtId="177" fontId="0" fillId="91" borderId="83" xfId="0" applyNumberFormat="1" applyFill="1" applyBorder="1"/>
    <xf numFmtId="177" fontId="35" fillId="91" borderId="83" xfId="0" applyNumberFormat="1" applyFont="1" applyFill="1" applyBorder="1"/>
    <xf numFmtId="177" fontId="0" fillId="91" borderId="83" xfId="0" applyNumberFormat="1" applyFill="1" applyBorder="1" applyAlignment="1">
      <alignment horizontal="left"/>
    </xf>
    <xf numFmtId="0" fontId="7" fillId="91" borderId="83" xfId="0" applyFont="1" applyFill="1" applyBorder="1"/>
    <xf numFmtId="0" fontId="0" fillId="91" borderId="83" xfId="0" applyFill="1" applyBorder="1"/>
    <xf numFmtId="0" fontId="86" fillId="91" borderId="83" xfId="0" applyFont="1" applyFill="1" applyBorder="1" applyAlignment="1">
      <alignment horizontal="left"/>
    </xf>
    <xf numFmtId="43" fontId="112" fillId="0" borderId="0" xfId="38" applyNumberFormat="1" applyFont="1" applyFill="1" applyBorder="1" applyAlignment="1">
      <alignment horizontal="right"/>
    </xf>
    <xf numFmtId="174" fontId="86" fillId="42" borderId="0" xfId="38" applyNumberFormat="1" applyFont="1" applyFill="1" applyBorder="1" applyAlignment="1">
      <alignment horizontal="left"/>
    </xf>
    <xf numFmtId="43" fontId="84" fillId="92" borderId="0" xfId="38" applyNumberFormat="1" applyFont="1" applyFill="1" applyBorder="1" applyAlignment="1">
      <alignment horizontal="right"/>
    </xf>
    <xf numFmtId="0" fontId="86" fillId="92" borderId="0" xfId="0" applyFont="1" applyFill="1" applyAlignment="1">
      <alignment horizontal="left"/>
    </xf>
    <xf numFmtId="10" fontId="7" fillId="40" borderId="0" xfId="0" applyNumberFormat="1" applyFont="1" applyFill="1"/>
    <xf numFmtId="0" fontId="0" fillId="0" borderId="128" xfId="0" applyBorder="1"/>
    <xf numFmtId="0" fontId="121" fillId="42" borderId="127" xfId="4350" applyFont="1" applyFill="1" applyBorder="1" applyAlignment="1">
      <alignment horizontal="left" vertical="center"/>
    </xf>
    <xf numFmtId="0" fontId="0" fillId="42" borderId="0" xfId="0" applyFill="1"/>
    <xf numFmtId="0" fontId="121" fillId="42" borderId="129" xfId="4350" applyFont="1" applyFill="1" applyBorder="1" applyAlignment="1">
      <alignment horizontal="left" vertical="center"/>
    </xf>
    <xf numFmtId="0" fontId="101" fillId="42" borderId="73" xfId="4348" applyFont="1" applyFill="1" applyBorder="1"/>
    <xf numFmtId="0" fontId="124" fillId="0" borderId="0" xfId="4351"/>
    <xf numFmtId="193" fontId="9" fillId="0" borderId="0" xfId="2584" applyNumberFormat="1" applyFont="1" applyAlignment="1">
      <alignment horizontal="left"/>
    </xf>
    <xf numFmtId="0" fontId="7" fillId="92" borderId="83" xfId="0" applyFont="1" applyFill="1" applyBorder="1"/>
    <xf numFmtId="193" fontId="86" fillId="0" borderId="0" xfId="0" applyNumberFormat="1" applyFont="1"/>
    <xf numFmtId="43" fontId="86" fillId="0" borderId="0" xfId="0" applyNumberFormat="1" applyFont="1"/>
    <xf numFmtId="194" fontId="119" fillId="0" borderId="0" xfId="4350" applyNumberFormat="1"/>
    <xf numFmtId="3" fontId="7" fillId="0" borderId="0" xfId="0" applyNumberFormat="1" applyFont="1"/>
    <xf numFmtId="43" fontId="86" fillId="0" borderId="0" xfId="0" applyNumberFormat="1" applyFont="1" applyFill="1"/>
    <xf numFmtId="4" fontId="86" fillId="0" borderId="0" xfId="0" applyNumberFormat="1" applyFont="1" applyFill="1"/>
    <xf numFmtId="0" fontId="7" fillId="0" borderId="0" xfId="0" applyFont="1" applyAlignment="1">
      <alignment horizontal="center"/>
    </xf>
    <xf numFmtId="0" fontId="0" fillId="0" borderId="0" xfId="0" applyAlignment="1">
      <alignment horizontal="center"/>
    </xf>
    <xf numFmtId="174" fontId="7" fillId="0" borderId="0" xfId="38" applyNumberFormat="1" applyAlignment="1">
      <alignment horizontal="center"/>
    </xf>
    <xf numFmtId="0" fontId="122" fillId="90" borderId="127" xfId="4350" applyFont="1" applyFill="1" applyBorder="1" applyAlignment="1">
      <alignment horizontal="right" vertical="center"/>
    </xf>
    <xf numFmtId="0" fontId="122" fillId="90" borderId="127" xfId="4350" applyFont="1" applyFill="1" applyBorder="1" applyAlignment="1">
      <alignment horizontal="center" vertical="center"/>
    </xf>
    <xf numFmtId="0" fontId="101" fillId="0" borderId="109" xfId="0" applyFont="1" applyBorder="1" applyAlignment="1">
      <alignment horizontal="center"/>
    </xf>
    <xf numFmtId="0" fontId="101" fillId="0" borderId="87" xfId="0" applyFont="1" applyBorder="1" applyAlignment="1">
      <alignment horizontal="center"/>
    </xf>
    <xf numFmtId="0" fontId="101" fillId="0" borderId="61" xfId="0" applyFont="1" applyBorder="1" applyAlignment="1">
      <alignment horizontal="left" vertical="justify"/>
    </xf>
    <xf numFmtId="0" fontId="101" fillId="0" borderId="86" xfId="0" applyFont="1" applyBorder="1" applyAlignment="1">
      <alignment horizontal="left" vertical="justify"/>
    </xf>
    <xf numFmtId="0" fontId="101" fillId="0" borderId="88" xfId="0" applyFont="1" applyBorder="1" applyAlignment="1">
      <alignment horizontal="left" vertical="justify"/>
    </xf>
    <xf numFmtId="0" fontId="0" fillId="0" borderId="0" xfId="0" applyAlignment="1">
      <alignment horizontal="center" wrapText="1"/>
    </xf>
    <xf numFmtId="0" fontId="105" fillId="0" borderId="0" xfId="0" applyFont="1" applyAlignment="1">
      <alignment horizontal="center" vertical="center" wrapText="1"/>
    </xf>
    <xf numFmtId="0" fontId="101" fillId="0" borderId="61" xfId="0" applyFont="1" applyBorder="1" applyAlignment="1">
      <alignment horizontal="left"/>
    </xf>
    <xf numFmtId="0" fontId="101" fillId="0" borderId="86" xfId="0" applyFont="1" applyBorder="1" applyAlignment="1">
      <alignment horizontal="left"/>
    </xf>
    <xf numFmtId="0" fontId="101" fillId="0" borderId="88" xfId="0" applyFont="1" applyBorder="1" applyAlignment="1">
      <alignment horizontal="left"/>
    </xf>
    <xf numFmtId="0" fontId="102" fillId="0" borderId="32" xfId="0" applyFont="1" applyBorder="1" applyAlignment="1">
      <alignment horizontal="center"/>
    </xf>
    <xf numFmtId="0" fontId="102" fillId="0" borderId="79" xfId="0" applyFont="1" applyBorder="1" applyAlignment="1">
      <alignment horizontal="center"/>
    </xf>
    <xf numFmtId="0" fontId="101" fillId="0" borderId="0" xfId="0" applyFont="1" applyAlignment="1">
      <alignment horizontal="center" wrapText="1"/>
    </xf>
    <xf numFmtId="0" fontId="101" fillId="0" borderId="108" xfId="0" applyFont="1" applyBorder="1" applyAlignment="1">
      <alignment horizontal="center" vertical="center" wrapText="1"/>
    </xf>
    <xf numFmtId="0" fontId="101" fillId="0" borderId="106" xfId="0" applyFont="1" applyBorder="1" applyAlignment="1">
      <alignment horizontal="center" vertical="center" wrapText="1"/>
    </xf>
    <xf numFmtId="0" fontId="106" fillId="0" borderId="0" xfId="0" applyFont="1" applyAlignment="1">
      <alignment horizontal="center" vertical="center" wrapText="1"/>
    </xf>
    <xf numFmtId="0" fontId="105" fillId="0" borderId="32" xfId="0" applyFont="1" applyBorder="1" applyAlignment="1">
      <alignment horizontal="center" vertical="center" wrapText="1"/>
    </xf>
    <xf numFmtId="0" fontId="105" fillId="0" borderId="113" xfId="0" applyFont="1" applyBorder="1" applyAlignment="1">
      <alignment horizontal="center" vertical="center" wrapText="1"/>
    </xf>
    <xf numFmtId="0" fontId="105" fillId="0" borderId="111" xfId="0" applyFont="1" applyBorder="1" applyAlignment="1">
      <alignment horizontal="center" vertical="center" wrapText="1"/>
    </xf>
    <xf numFmtId="0" fontId="105" fillId="0" borderId="114" xfId="0" quotePrefix="1" applyFont="1" applyBorder="1" applyAlignment="1">
      <alignment horizontal="center" vertical="center" wrapText="1"/>
    </xf>
    <xf numFmtId="0" fontId="107" fillId="0" borderId="111" xfId="0" applyFont="1" applyBorder="1" applyAlignment="1">
      <alignment horizontal="center" vertical="center" wrapText="1"/>
    </xf>
    <xf numFmtId="0" fontId="107" fillId="0" borderId="112" xfId="0" applyFont="1" applyBorder="1" applyAlignment="1">
      <alignment horizontal="center" vertical="center" wrapText="1"/>
    </xf>
    <xf numFmtId="0" fontId="100" fillId="0" borderId="0" xfId="4348" applyFont="1" applyAlignment="1">
      <alignment horizontal="center" vertical="center"/>
    </xf>
    <xf numFmtId="0" fontId="99" fillId="0" borderId="65" xfId="4348" applyFont="1" applyBorder="1" applyAlignment="1">
      <alignment horizontal="left"/>
    </xf>
    <xf numFmtId="0" fontId="54" fillId="0" borderId="23" xfId="0" applyFont="1" applyBorder="1" applyAlignment="1">
      <alignment horizontal="center" vertical="center" wrapText="1"/>
    </xf>
    <xf numFmtId="0" fontId="54" fillId="0" borderId="40" xfId="0" applyFont="1" applyBorder="1" applyAlignment="1">
      <alignment horizontal="center" vertical="center" wrapText="1"/>
    </xf>
    <xf numFmtId="0" fontId="54" fillId="0" borderId="41" xfId="0" applyFont="1" applyBorder="1" applyAlignment="1">
      <alignment horizontal="center" vertical="center" wrapText="1"/>
    </xf>
    <xf numFmtId="0" fontId="53" fillId="0" borderId="42" xfId="0" applyFont="1" applyBorder="1" applyAlignment="1">
      <alignment horizontal="center" vertical="center"/>
    </xf>
    <xf numFmtId="0" fontId="53" fillId="0" borderId="33" xfId="0" applyFont="1" applyBorder="1" applyAlignment="1">
      <alignment horizontal="center" vertical="center"/>
    </xf>
    <xf numFmtId="0" fontId="53" fillId="0" borderId="45" xfId="0" applyFont="1" applyBorder="1" applyAlignment="1">
      <alignment horizontal="center" vertical="center"/>
    </xf>
    <xf numFmtId="0" fontId="53" fillId="0" borderId="34" xfId="0" applyFont="1" applyBorder="1" applyAlignment="1">
      <alignment horizontal="center" vertical="center"/>
    </xf>
    <xf numFmtId="0" fontId="0" fillId="0" borderId="75" xfId="0" applyFill="1" applyBorder="1" applyAlignment="1" applyProtection="1">
      <alignment horizontal="center" vertical="center"/>
    </xf>
    <xf numFmtId="0" fontId="0" fillId="0" borderId="76" xfId="0" applyFill="1" applyBorder="1" applyAlignment="1" applyProtection="1">
      <alignment horizontal="center" vertical="center"/>
    </xf>
    <xf numFmtId="0" fontId="0" fillId="0" borderId="77" xfId="0" applyFill="1" applyBorder="1" applyAlignment="1" applyProtection="1">
      <alignment horizontal="center" vertical="center"/>
    </xf>
    <xf numFmtId="0" fontId="33" fillId="29" borderId="0" xfId="0" applyFont="1" applyFill="1" applyAlignment="1">
      <alignment horizontal="center"/>
    </xf>
    <xf numFmtId="0" fontId="33" fillId="0" borderId="0" xfId="0" applyFont="1" applyAlignment="1">
      <alignment horizontal="center"/>
    </xf>
    <xf numFmtId="0" fontId="33" fillId="38" borderId="0" xfId="0" applyFont="1" applyFill="1" applyAlignment="1">
      <alignment horizontal="center"/>
    </xf>
    <xf numFmtId="0" fontId="33" fillId="34" borderId="0" xfId="0" applyFont="1" applyFill="1" applyAlignment="1">
      <alignment horizontal="center"/>
    </xf>
    <xf numFmtId="0" fontId="33" fillId="32" borderId="0" xfId="0" applyFont="1" applyFill="1" applyAlignment="1">
      <alignment horizontal="center"/>
    </xf>
    <xf numFmtId="0" fontId="33" fillId="31" borderId="0" xfId="0" applyFont="1" applyFill="1" applyAlignment="1">
      <alignment horizontal="center"/>
    </xf>
    <xf numFmtId="0" fontId="67" fillId="33" borderId="0" xfId="0" applyFont="1" applyFill="1" applyBorder="1" applyAlignment="1">
      <alignment horizontal="center"/>
    </xf>
    <xf numFmtId="0" fontId="0" fillId="28" borderId="0" xfId="0" applyFill="1" applyAlignment="1">
      <alignment horizontal="center"/>
    </xf>
  </cellXfs>
  <cellStyles count="4352">
    <cellStyle name="_x000a_shell=progma 2" xfId="1816"/>
    <cellStyle name="_x000a_shell=progma 2 2" xfId="1817"/>
    <cellStyle name="1.000" xfId="1818"/>
    <cellStyle name="1.000 2" xfId="1819"/>
    <cellStyle name="20 % - Markeringsfarve1" xfId="3365"/>
    <cellStyle name="20 % - Markeringsfarve1 2" xfId="3366"/>
    <cellStyle name="20 % - Markeringsfarve2" xfId="3367"/>
    <cellStyle name="20 % - Markeringsfarve2 2" xfId="3368"/>
    <cellStyle name="20 % - Markeringsfarve3" xfId="3369"/>
    <cellStyle name="20 % - Markeringsfarve3 2" xfId="3370"/>
    <cellStyle name="20 % - Markeringsfarve4" xfId="3371"/>
    <cellStyle name="20 % - Markeringsfarve4 2" xfId="3372"/>
    <cellStyle name="20 % - Markeringsfarve5" xfId="3373"/>
    <cellStyle name="20 % - Markeringsfarve5 2" xfId="3374"/>
    <cellStyle name="20 % - Markeringsfarve6" xfId="3375"/>
    <cellStyle name="20 % - Markeringsfarve6 2" xfId="3376"/>
    <cellStyle name="20% - Colore 1" xfId="1"/>
    <cellStyle name="20% - Colore 1 2" xfId="3377"/>
    <cellStyle name="20% - Colore 2" xfId="2"/>
    <cellStyle name="20% - Colore 2 2" xfId="3378"/>
    <cellStyle name="20% - Colore 3" xfId="3"/>
    <cellStyle name="20% - Colore 3 2" xfId="3379"/>
    <cellStyle name="20% - Colore 4" xfId="4"/>
    <cellStyle name="20% - Colore 4 2" xfId="3380"/>
    <cellStyle name="20% - Colore 5" xfId="5"/>
    <cellStyle name="20% - Colore 5 2" xfId="3381"/>
    <cellStyle name="20% - Colore 6" xfId="6"/>
    <cellStyle name="20% - Colore 6 2" xfId="3382"/>
    <cellStyle name="40 % - Markeringsfarve1" xfId="3383"/>
    <cellStyle name="40 % - Markeringsfarve1 2" xfId="3384"/>
    <cellStyle name="40 % - Markeringsfarve2" xfId="3385"/>
    <cellStyle name="40 % - Markeringsfarve2 2" xfId="3386"/>
    <cellStyle name="40 % - Markeringsfarve3" xfId="3387"/>
    <cellStyle name="40 % - Markeringsfarve3 2" xfId="3388"/>
    <cellStyle name="40 % - Markeringsfarve4" xfId="3389"/>
    <cellStyle name="40 % - Markeringsfarve4 2" xfId="3390"/>
    <cellStyle name="40 % - Markeringsfarve5" xfId="3391"/>
    <cellStyle name="40 % - Markeringsfarve5 2" xfId="3392"/>
    <cellStyle name="40 % - Markeringsfarve6" xfId="3393"/>
    <cellStyle name="40 % - Markeringsfarve6 2" xfId="3394"/>
    <cellStyle name="40% - Colore 1" xfId="7"/>
    <cellStyle name="40% - Colore 1 2" xfId="3395"/>
    <cellStyle name="40% - Colore 2" xfId="8"/>
    <cellStyle name="40% - Colore 2 2" xfId="3396"/>
    <cellStyle name="40% - Colore 3" xfId="9"/>
    <cellStyle name="40% - Colore 3 2" xfId="3397"/>
    <cellStyle name="40% - Colore 4" xfId="10"/>
    <cellStyle name="40% - Colore 4 2" xfId="3398"/>
    <cellStyle name="40% - Colore 5" xfId="11"/>
    <cellStyle name="40% - Colore 5 2" xfId="3399"/>
    <cellStyle name="40% - Colore 6" xfId="12"/>
    <cellStyle name="40% - Colore 6 2" xfId="3400"/>
    <cellStyle name="5x indented GHG Textfiels" xfId="13"/>
    <cellStyle name="5x indented GHG Textfiels 2" xfId="1820"/>
    <cellStyle name="60 % - Markeringsfarve1" xfId="3401"/>
    <cellStyle name="60 % - Markeringsfarve2" xfId="3402"/>
    <cellStyle name="60 % - Markeringsfarve3" xfId="3403"/>
    <cellStyle name="60 % - Markeringsfarve4" xfId="3404"/>
    <cellStyle name="60 % - Markeringsfarve5" xfId="3405"/>
    <cellStyle name="60 % - Markeringsfarve6" xfId="3406"/>
    <cellStyle name="60% - Colore 1" xfId="14"/>
    <cellStyle name="60% - Colore 2" xfId="15"/>
    <cellStyle name="60% - Colore 3" xfId="16"/>
    <cellStyle name="60% - Colore 4" xfId="17"/>
    <cellStyle name="60% - Colore 5" xfId="18"/>
    <cellStyle name="60% - Colore 6" xfId="19"/>
    <cellStyle name="AggOrange_CRFReport-template" xfId="20"/>
    <cellStyle name="AggOrange9_CRFReport-template" xfId="21"/>
    <cellStyle name="Bad 2" xfId="22"/>
    <cellStyle name="Bad 3" xfId="1821"/>
    <cellStyle name="Bruger data" xfId="1822"/>
    <cellStyle name="Calcolo" xfId="23"/>
    <cellStyle name="Calcolo 2" xfId="24"/>
    <cellStyle name="Calcolo 2 2" xfId="3407"/>
    <cellStyle name="Calcolo 2 3" xfId="3408"/>
    <cellStyle name="Calcolo 3" xfId="25"/>
    <cellStyle name="Calcolo 3 2" xfId="3409"/>
    <cellStyle name="Calcolo 4" xfId="26"/>
    <cellStyle name="Calcolo 5" xfId="27"/>
    <cellStyle name="Calcolo 6" xfId="28"/>
    <cellStyle name="Calcolo 7" xfId="29"/>
    <cellStyle name="Calcolo 8" xfId="3410"/>
    <cellStyle name="Calculation 2" xfId="1823"/>
    <cellStyle name="Calculations" xfId="1824"/>
    <cellStyle name="Cella collegata" xfId="30"/>
    <cellStyle name="Cella da controllare" xfId="31"/>
    <cellStyle name="Colore 1" xfId="32"/>
    <cellStyle name="Colore 2" xfId="33"/>
    <cellStyle name="Colore 3" xfId="34"/>
    <cellStyle name="Colore 4" xfId="35"/>
    <cellStyle name="Colore 5" xfId="36"/>
    <cellStyle name="Colore 6" xfId="37"/>
    <cellStyle name="Comma 2" xfId="39"/>
    <cellStyle name="Comma 2 2" xfId="40"/>
    <cellStyle name="Comma 2 2 2" xfId="1825"/>
    <cellStyle name="Comma 2 2 2 2" xfId="1826"/>
    <cellStyle name="Comma 2 2 2 2 2" xfId="1827"/>
    <cellStyle name="Comma 2 2 2 3" xfId="1828"/>
    <cellStyle name="Comma 2 2 3" xfId="1829"/>
    <cellStyle name="Comma 2 3" xfId="41"/>
    <cellStyle name="Comma 2 3 2" xfId="42"/>
    <cellStyle name="Comma 2 3 2 2" xfId="1830"/>
    <cellStyle name="Comma 2 3 2 2 2" xfId="3411"/>
    <cellStyle name="Comma 2 3 3" xfId="43"/>
    <cellStyle name="Comma 2 3 3 2" xfId="1831"/>
    <cellStyle name="Comma 2 3 3 2 2" xfId="1832"/>
    <cellStyle name="Comma 2 3 3 3" xfId="1833"/>
    <cellStyle name="Comma 2 3 4" xfId="1834"/>
    <cellStyle name="Comma 2 3 4 2" xfId="1835"/>
    <cellStyle name="Comma 2 3 5" xfId="1836"/>
    <cellStyle name="Comma 2 3 6" xfId="3412"/>
    <cellStyle name="Comma 2 4" xfId="44"/>
    <cellStyle name="Comma 2 4 2" xfId="1837"/>
    <cellStyle name="Comma 2 5" xfId="1838"/>
    <cellStyle name="Comma 2 5 2" xfId="1839"/>
    <cellStyle name="Comma 2 6" xfId="1840"/>
    <cellStyle name="Comma 2 6 2" xfId="1841"/>
    <cellStyle name="Comma 2 7" xfId="1842"/>
    <cellStyle name="Comma 2 8" xfId="3413"/>
    <cellStyle name="Comma 3" xfId="45"/>
    <cellStyle name="Comma 3 2" xfId="1843"/>
    <cellStyle name="Comma 3 2 2" xfId="1844"/>
    <cellStyle name="Comma 3 2 2 2" xfId="1845"/>
    <cellStyle name="Comma 3 2 3" xfId="1846"/>
    <cellStyle name="Comma 3 3" xfId="1847"/>
    <cellStyle name="Comma 3 3 2" xfId="1848"/>
    <cellStyle name="Comma 3 3 2 2" xfId="1849"/>
    <cellStyle name="Comma 3 3 3" xfId="1850"/>
    <cellStyle name="Comma 3 4" xfId="1851"/>
    <cellStyle name="Comma 3 4 2" xfId="1852"/>
    <cellStyle name="Comma 3 5" xfId="1853"/>
    <cellStyle name="Comma 3 6" xfId="3414"/>
    <cellStyle name="Comma 4" xfId="46"/>
    <cellStyle name="Comma 4 2" xfId="1854"/>
    <cellStyle name="Comma 4 2 2" xfId="1855"/>
    <cellStyle name="Comma 4 2 2 2" xfId="1856"/>
    <cellStyle name="Comma 4 2 3" xfId="1857"/>
    <cellStyle name="Comma 4 2 4" xfId="3415"/>
    <cellStyle name="Comma 4 3" xfId="1858"/>
    <cellStyle name="Comma 4 3 2" xfId="1859"/>
    <cellStyle name="Comma 4 3 2 2" xfId="1860"/>
    <cellStyle name="Comma 4 3 3" xfId="1861"/>
    <cellStyle name="Comma 4 4" xfId="1862"/>
    <cellStyle name="Comma 4 4 2" xfId="1863"/>
    <cellStyle name="Comma 4 4 2 2" xfId="1864"/>
    <cellStyle name="Comma 4 4 3" xfId="1865"/>
    <cellStyle name="Comma 4 5" xfId="1866"/>
    <cellStyle name="Comma 4 5 2" xfId="1867"/>
    <cellStyle name="Comma 4 6" xfId="1868"/>
    <cellStyle name="Comma 4 7" xfId="3416"/>
    <cellStyle name="Comma 5" xfId="47"/>
    <cellStyle name="Comma 5 2" xfId="1869"/>
    <cellStyle name="Comma 5 2 2" xfId="1870"/>
    <cellStyle name="Comma 5 3" xfId="1871"/>
    <cellStyle name="Comma 5 4" xfId="3417"/>
    <cellStyle name="Comma 6" xfId="48"/>
    <cellStyle name="Comma 6 2" xfId="1872"/>
    <cellStyle name="Comma 6 2 2" xfId="1873"/>
    <cellStyle name="Comma 6 3" xfId="1874"/>
    <cellStyle name="Comma 6 4" xfId="3418"/>
    <cellStyle name="Comma 7" xfId="49"/>
    <cellStyle name="Comma 7 2" xfId="1875"/>
    <cellStyle name="Comma 7 2 2" xfId="1876"/>
    <cellStyle name="Comma 7 3" xfId="1877"/>
    <cellStyle name="Comma 8" xfId="3419"/>
    <cellStyle name="Comma 9" xfId="4344"/>
    <cellStyle name="Comma0 - Type3" xfId="50"/>
    <cellStyle name="Constant" xfId="4347"/>
    <cellStyle name="CustomizationCells" xfId="51"/>
    <cellStyle name="CustomizationCells 2" xfId="52"/>
    <cellStyle name="CustomizationCells 2 2" xfId="3420"/>
    <cellStyle name="CustomizationCells 3" xfId="53"/>
    <cellStyle name="CustomizationCells 4" xfId="54"/>
    <cellStyle name="CustomizationCells 5" xfId="55"/>
    <cellStyle name="CustomizationCells 6" xfId="56"/>
    <cellStyle name="CustomizationCells 7" xfId="3421"/>
    <cellStyle name="Euro" xfId="57"/>
    <cellStyle name="Euro 10" xfId="58"/>
    <cellStyle name="Euro 10 2" xfId="59"/>
    <cellStyle name="Euro 10 2 2" xfId="1878"/>
    <cellStyle name="Euro 10 3" xfId="60"/>
    <cellStyle name="Euro 10 3 2" xfId="61"/>
    <cellStyle name="Euro 10 3 2 2" xfId="3422"/>
    <cellStyle name="Euro 10 3 2 3" xfId="3423"/>
    <cellStyle name="Euro 10 3 3" xfId="62"/>
    <cellStyle name="Euro 10 3 3 2" xfId="1879"/>
    <cellStyle name="Euro 10 3 4" xfId="1880"/>
    <cellStyle name="Euro 10 4" xfId="63"/>
    <cellStyle name="Euro 10 4 2" xfId="1881"/>
    <cellStyle name="Euro 10 4 2 2" xfId="1882"/>
    <cellStyle name="Euro 10 4 3" xfId="1883"/>
    <cellStyle name="Euro 10 5" xfId="64"/>
    <cellStyle name="Euro 11" xfId="65"/>
    <cellStyle name="Euro 11 2" xfId="66"/>
    <cellStyle name="Euro 11 2 2" xfId="1884"/>
    <cellStyle name="Euro 11 3" xfId="67"/>
    <cellStyle name="Euro 11 3 2" xfId="68"/>
    <cellStyle name="Euro 11 3 2 2" xfId="3424"/>
    <cellStyle name="Euro 11 3 2 3" xfId="3425"/>
    <cellStyle name="Euro 11 3 3" xfId="69"/>
    <cellStyle name="Euro 11 3 3 2" xfId="1885"/>
    <cellStyle name="Euro 11 3 4" xfId="1886"/>
    <cellStyle name="Euro 11 4" xfId="70"/>
    <cellStyle name="Euro 11 4 2" xfId="1887"/>
    <cellStyle name="Euro 11 4 2 2" xfId="1888"/>
    <cellStyle name="Euro 11 4 3" xfId="1889"/>
    <cellStyle name="Euro 11 5" xfId="71"/>
    <cellStyle name="Euro 12" xfId="72"/>
    <cellStyle name="Euro 12 2" xfId="73"/>
    <cellStyle name="Euro 12 2 2" xfId="1890"/>
    <cellStyle name="Euro 12 3" xfId="74"/>
    <cellStyle name="Euro 12 3 2" xfId="75"/>
    <cellStyle name="Euro 12 3 2 2" xfId="3426"/>
    <cellStyle name="Euro 12 3 2 3" xfId="3427"/>
    <cellStyle name="Euro 12 3 3" xfId="76"/>
    <cellStyle name="Euro 12 3 3 2" xfId="1891"/>
    <cellStyle name="Euro 12 3 4" xfId="1892"/>
    <cellStyle name="Euro 12 4" xfId="77"/>
    <cellStyle name="Euro 12 4 2" xfId="1893"/>
    <cellStyle name="Euro 12 4 2 2" xfId="1894"/>
    <cellStyle name="Euro 12 4 3" xfId="1895"/>
    <cellStyle name="Euro 12 5" xfId="78"/>
    <cellStyle name="Euro 13" xfId="79"/>
    <cellStyle name="Euro 13 2" xfId="80"/>
    <cellStyle name="Euro 13 2 2" xfId="1896"/>
    <cellStyle name="Euro 13 3" xfId="81"/>
    <cellStyle name="Euro 13 3 2" xfId="82"/>
    <cellStyle name="Euro 13 3 2 2" xfId="3428"/>
    <cellStyle name="Euro 13 3 2 3" xfId="3429"/>
    <cellStyle name="Euro 13 3 3" xfId="83"/>
    <cellStyle name="Euro 13 3 3 2" xfId="1897"/>
    <cellStyle name="Euro 13 3 4" xfId="1898"/>
    <cellStyle name="Euro 13 4" xfId="84"/>
    <cellStyle name="Euro 13 4 2" xfId="1899"/>
    <cellStyle name="Euro 13 4 2 2" xfId="1900"/>
    <cellStyle name="Euro 13 4 3" xfId="1901"/>
    <cellStyle name="Euro 13 5" xfId="85"/>
    <cellStyle name="Euro 14" xfId="86"/>
    <cellStyle name="Euro 14 2" xfId="87"/>
    <cellStyle name="Euro 14 2 2" xfId="1902"/>
    <cellStyle name="Euro 14 3" xfId="88"/>
    <cellStyle name="Euro 14 3 2" xfId="89"/>
    <cellStyle name="Euro 14 3 2 2" xfId="3430"/>
    <cellStyle name="Euro 14 3 2 3" xfId="3431"/>
    <cellStyle name="Euro 14 3 3" xfId="90"/>
    <cellStyle name="Euro 14 3 3 2" xfId="1903"/>
    <cellStyle name="Euro 14 3 4" xfId="1904"/>
    <cellStyle name="Euro 14 4" xfId="91"/>
    <cellStyle name="Euro 14 4 2" xfId="1905"/>
    <cellStyle name="Euro 14 4 2 2" xfId="1906"/>
    <cellStyle name="Euro 14 4 3" xfId="1907"/>
    <cellStyle name="Euro 14 5" xfId="92"/>
    <cellStyle name="Euro 15" xfId="93"/>
    <cellStyle name="Euro 15 2" xfId="94"/>
    <cellStyle name="Euro 15 2 2" xfId="1908"/>
    <cellStyle name="Euro 15 3" xfId="95"/>
    <cellStyle name="Euro 15 3 2" xfId="96"/>
    <cellStyle name="Euro 15 3 2 2" xfId="3432"/>
    <cellStyle name="Euro 15 3 2 3" xfId="3433"/>
    <cellStyle name="Euro 15 3 3" xfId="97"/>
    <cellStyle name="Euro 15 3 3 2" xfId="1909"/>
    <cellStyle name="Euro 15 3 4" xfId="1910"/>
    <cellStyle name="Euro 15 4" xfId="98"/>
    <cellStyle name="Euro 15 4 2" xfId="1911"/>
    <cellStyle name="Euro 15 4 2 2" xfId="1912"/>
    <cellStyle name="Euro 15 4 3" xfId="1913"/>
    <cellStyle name="Euro 15 5" xfId="99"/>
    <cellStyle name="Euro 16" xfId="100"/>
    <cellStyle name="Euro 16 2" xfId="101"/>
    <cellStyle name="Euro 16 2 2" xfId="1914"/>
    <cellStyle name="Euro 16 3" xfId="102"/>
    <cellStyle name="Euro 16 3 2" xfId="103"/>
    <cellStyle name="Euro 16 3 2 2" xfId="3434"/>
    <cellStyle name="Euro 16 3 2 3" xfId="3435"/>
    <cellStyle name="Euro 16 3 3" xfId="104"/>
    <cellStyle name="Euro 16 3 3 2" xfId="1915"/>
    <cellStyle name="Euro 16 3 4" xfId="1916"/>
    <cellStyle name="Euro 16 4" xfId="105"/>
    <cellStyle name="Euro 16 4 2" xfId="1917"/>
    <cellStyle name="Euro 16 4 2 2" xfId="1918"/>
    <cellStyle name="Euro 16 4 3" xfId="1919"/>
    <cellStyle name="Euro 16 5" xfId="106"/>
    <cellStyle name="Euro 17" xfId="107"/>
    <cellStyle name="Euro 17 2" xfId="108"/>
    <cellStyle name="Euro 17 2 2" xfId="1920"/>
    <cellStyle name="Euro 17 3" xfId="109"/>
    <cellStyle name="Euro 17 3 2" xfId="110"/>
    <cellStyle name="Euro 17 3 2 2" xfId="3436"/>
    <cellStyle name="Euro 17 3 2 3" xfId="3437"/>
    <cellStyle name="Euro 17 3 3" xfId="111"/>
    <cellStyle name="Euro 17 3 3 2" xfId="1921"/>
    <cellStyle name="Euro 17 3 4" xfId="1922"/>
    <cellStyle name="Euro 17 4" xfId="112"/>
    <cellStyle name="Euro 17 4 2" xfId="1923"/>
    <cellStyle name="Euro 17 4 2 2" xfId="1924"/>
    <cellStyle name="Euro 17 4 3" xfId="1925"/>
    <cellStyle name="Euro 17 5" xfId="113"/>
    <cellStyle name="Euro 18" xfId="114"/>
    <cellStyle name="Euro 18 2" xfId="115"/>
    <cellStyle name="Euro 18 2 2" xfId="1926"/>
    <cellStyle name="Euro 18 3" xfId="116"/>
    <cellStyle name="Euro 18 3 2" xfId="117"/>
    <cellStyle name="Euro 18 3 2 2" xfId="3438"/>
    <cellStyle name="Euro 18 3 2 3" xfId="3439"/>
    <cellStyle name="Euro 18 3 3" xfId="118"/>
    <cellStyle name="Euro 18 3 3 2" xfId="1927"/>
    <cellStyle name="Euro 18 3 4" xfId="1928"/>
    <cellStyle name="Euro 18 4" xfId="119"/>
    <cellStyle name="Euro 18 4 2" xfId="1929"/>
    <cellStyle name="Euro 18 4 2 2" xfId="1930"/>
    <cellStyle name="Euro 18 4 3" xfId="1931"/>
    <cellStyle name="Euro 18 5" xfId="120"/>
    <cellStyle name="Euro 19" xfId="121"/>
    <cellStyle name="Euro 19 2" xfId="122"/>
    <cellStyle name="Euro 19 2 2" xfId="1932"/>
    <cellStyle name="Euro 19 3" xfId="123"/>
    <cellStyle name="Euro 19 3 2" xfId="124"/>
    <cellStyle name="Euro 19 3 2 2" xfId="3440"/>
    <cellStyle name="Euro 19 3 2 3" xfId="3441"/>
    <cellStyle name="Euro 19 3 3" xfId="125"/>
    <cellStyle name="Euro 19 3 3 2" xfId="1933"/>
    <cellStyle name="Euro 19 3 4" xfId="1934"/>
    <cellStyle name="Euro 19 4" xfId="126"/>
    <cellStyle name="Euro 19 4 2" xfId="1935"/>
    <cellStyle name="Euro 19 4 2 2" xfId="1936"/>
    <cellStyle name="Euro 19 4 3" xfId="1937"/>
    <cellStyle name="Euro 19 5" xfId="127"/>
    <cellStyle name="Euro 2" xfId="128"/>
    <cellStyle name="Euro 2 2" xfId="129"/>
    <cellStyle name="Euro 2 2 2" xfId="1938"/>
    <cellStyle name="Euro 2 3" xfId="130"/>
    <cellStyle name="Euro 2 3 2" xfId="131"/>
    <cellStyle name="Euro 2 3 2 2" xfId="3442"/>
    <cellStyle name="Euro 2 3 2 3" xfId="3443"/>
    <cellStyle name="Euro 2 3 3" xfId="132"/>
    <cellStyle name="Euro 2 3 3 2" xfId="1939"/>
    <cellStyle name="Euro 2 3 4" xfId="1940"/>
    <cellStyle name="Euro 2 4" xfId="133"/>
    <cellStyle name="Euro 2 4 2" xfId="1941"/>
    <cellStyle name="Euro 2 4 2 2" xfId="1942"/>
    <cellStyle name="Euro 2 4 3" xfId="1943"/>
    <cellStyle name="Euro 2 5" xfId="134"/>
    <cellStyle name="Euro 20" xfId="135"/>
    <cellStyle name="Euro 20 2" xfId="136"/>
    <cellStyle name="Euro 20 2 2" xfId="1944"/>
    <cellStyle name="Euro 20 3" xfId="137"/>
    <cellStyle name="Euro 20 3 2" xfId="138"/>
    <cellStyle name="Euro 20 3 2 2" xfId="3444"/>
    <cellStyle name="Euro 20 3 2 3" xfId="3445"/>
    <cellStyle name="Euro 20 3 3" xfId="139"/>
    <cellStyle name="Euro 20 3 3 2" xfId="1945"/>
    <cellStyle name="Euro 20 3 4" xfId="1946"/>
    <cellStyle name="Euro 20 4" xfId="140"/>
    <cellStyle name="Euro 20 4 2" xfId="1947"/>
    <cellStyle name="Euro 20 4 2 2" xfId="1948"/>
    <cellStyle name="Euro 20 4 3" xfId="1949"/>
    <cellStyle name="Euro 20 5" xfId="141"/>
    <cellStyle name="Euro 21" xfId="142"/>
    <cellStyle name="Euro 21 2" xfId="143"/>
    <cellStyle name="Euro 21 2 2" xfId="1950"/>
    <cellStyle name="Euro 21 3" xfId="144"/>
    <cellStyle name="Euro 21 3 2" xfId="145"/>
    <cellStyle name="Euro 21 3 2 2" xfId="3446"/>
    <cellStyle name="Euro 21 3 2 3" xfId="3447"/>
    <cellStyle name="Euro 21 3 3" xfId="146"/>
    <cellStyle name="Euro 21 3 3 2" xfId="1951"/>
    <cellStyle name="Euro 21 3 4" xfId="1952"/>
    <cellStyle name="Euro 21 4" xfId="147"/>
    <cellStyle name="Euro 21 4 2" xfId="1953"/>
    <cellStyle name="Euro 21 4 2 2" xfId="1954"/>
    <cellStyle name="Euro 21 4 3" xfId="1955"/>
    <cellStyle name="Euro 21 5" xfId="148"/>
    <cellStyle name="Euro 22" xfId="149"/>
    <cellStyle name="Euro 22 2" xfId="150"/>
    <cellStyle name="Euro 22 2 2" xfId="1956"/>
    <cellStyle name="Euro 22 3" xfId="151"/>
    <cellStyle name="Euro 22 3 2" xfId="152"/>
    <cellStyle name="Euro 22 3 2 2" xfId="3448"/>
    <cellStyle name="Euro 22 3 2 3" xfId="3449"/>
    <cellStyle name="Euro 22 3 3" xfId="153"/>
    <cellStyle name="Euro 22 3 3 2" xfId="1957"/>
    <cellStyle name="Euro 22 3 4" xfId="1958"/>
    <cellStyle name="Euro 22 4" xfId="154"/>
    <cellStyle name="Euro 22 4 2" xfId="1959"/>
    <cellStyle name="Euro 22 4 2 2" xfId="1960"/>
    <cellStyle name="Euro 22 4 3" xfId="1961"/>
    <cellStyle name="Euro 22 5" xfId="155"/>
    <cellStyle name="Euro 23" xfId="156"/>
    <cellStyle name="Euro 23 2" xfId="157"/>
    <cellStyle name="Euro 23 2 2" xfId="1962"/>
    <cellStyle name="Euro 23 3" xfId="158"/>
    <cellStyle name="Euro 23 3 2" xfId="159"/>
    <cellStyle name="Euro 23 3 2 2" xfId="3450"/>
    <cellStyle name="Euro 23 3 2 3" xfId="3451"/>
    <cellStyle name="Euro 23 3 3" xfId="160"/>
    <cellStyle name="Euro 23 3 3 2" xfId="1963"/>
    <cellStyle name="Euro 23 3 4" xfId="1964"/>
    <cellStyle name="Euro 23 4" xfId="161"/>
    <cellStyle name="Euro 23 4 2" xfId="1965"/>
    <cellStyle name="Euro 23 4 2 2" xfId="1966"/>
    <cellStyle name="Euro 23 4 3" xfId="1967"/>
    <cellStyle name="Euro 23 5" xfId="162"/>
    <cellStyle name="Euro 24" xfId="163"/>
    <cellStyle name="Euro 24 2" xfId="164"/>
    <cellStyle name="Euro 24 2 2" xfId="1968"/>
    <cellStyle name="Euro 24 3" xfId="165"/>
    <cellStyle name="Euro 24 3 2" xfId="166"/>
    <cellStyle name="Euro 24 3 2 2" xfId="3452"/>
    <cellStyle name="Euro 24 3 2 3" xfId="3453"/>
    <cellStyle name="Euro 24 3 3" xfId="167"/>
    <cellStyle name="Euro 24 3 3 2" xfId="1969"/>
    <cellStyle name="Euro 24 3 4" xfId="1970"/>
    <cellStyle name="Euro 24 4" xfId="168"/>
    <cellStyle name="Euro 24 4 2" xfId="1971"/>
    <cellStyle name="Euro 24 4 2 2" xfId="1972"/>
    <cellStyle name="Euro 24 4 3" xfId="1973"/>
    <cellStyle name="Euro 24 5" xfId="169"/>
    <cellStyle name="Euro 25" xfId="170"/>
    <cellStyle name="Euro 25 2" xfId="171"/>
    <cellStyle name="Euro 25 2 2" xfId="1974"/>
    <cellStyle name="Euro 25 3" xfId="172"/>
    <cellStyle name="Euro 25 3 2" xfId="173"/>
    <cellStyle name="Euro 25 3 2 2" xfId="3454"/>
    <cellStyle name="Euro 25 3 2 3" xfId="3455"/>
    <cellStyle name="Euro 25 3 3" xfId="174"/>
    <cellStyle name="Euro 25 3 3 2" xfId="1975"/>
    <cellStyle name="Euro 25 3 4" xfId="1976"/>
    <cellStyle name="Euro 25 4" xfId="175"/>
    <cellStyle name="Euro 25 4 2" xfId="1977"/>
    <cellStyle name="Euro 25 4 2 2" xfId="1978"/>
    <cellStyle name="Euro 25 4 3" xfId="1979"/>
    <cellStyle name="Euro 25 5" xfId="176"/>
    <cellStyle name="Euro 26" xfId="177"/>
    <cellStyle name="Euro 26 2" xfId="178"/>
    <cellStyle name="Euro 26 2 2" xfId="1980"/>
    <cellStyle name="Euro 26 3" xfId="179"/>
    <cellStyle name="Euro 26 3 2" xfId="180"/>
    <cellStyle name="Euro 26 3 2 2" xfId="3456"/>
    <cellStyle name="Euro 26 3 2 3" xfId="3457"/>
    <cellStyle name="Euro 26 3 3" xfId="181"/>
    <cellStyle name="Euro 26 3 3 2" xfId="1981"/>
    <cellStyle name="Euro 26 3 4" xfId="1982"/>
    <cellStyle name="Euro 26 4" xfId="182"/>
    <cellStyle name="Euro 26 4 2" xfId="1983"/>
    <cellStyle name="Euro 26 4 2 2" xfId="1984"/>
    <cellStyle name="Euro 26 4 3" xfId="1985"/>
    <cellStyle name="Euro 26 5" xfId="183"/>
    <cellStyle name="Euro 27" xfId="184"/>
    <cellStyle name="Euro 27 2" xfId="185"/>
    <cellStyle name="Euro 27 2 2" xfId="1986"/>
    <cellStyle name="Euro 27 3" xfId="186"/>
    <cellStyle name="Euro 27 3 2" xfId="187"/>
    <cellStyle name="Euro 27 3 2 2" xfId="3458"/>
    <cellStyle name="Euro 27 3 2 3" xfId="3459"/>
    <cellStyle name="Euro 27 3 3" xfId="188"/>
    <cellStyle name="Euro 27 3 3 2" xfId="1987"/>
    <cellStyle name="Euro 27 3 4" xfId="1988"/>
    <cellStyle name="Euro 27 4" xfId="189"/>
    <cellStyle name="Euro 27 4 2" xfId="1989"/>
    <cellStyle name="Euro 27 4 2 2" xfId="1990"/>
    <cellStyle name="Euro 27 4 3" xfId="1991"/>
    <cellStyle name="Euro 27 5" xfId="190"/>
    <cellStyle name="Euro 28" xfId="191"/>
    <cellStyle name="Euro 28 2" xfId="192"/>
    <cellStyle name="Euro 28 2 2" xfId="1992"/>
    <cellStyle name="Euro 28 3" xfId="193"/>
    <cellStyle name="Euro 28 3 2" xfId="194"/>
    <cellStyle name="Euro 28 3 2 2" xfId="3460"/>
    <cellStyle name="Euro 28 3 2 3" xfId="3461"/>
    <cellStyle name="Euro 28 3 3" xfId="195"/>
    <cellStyle name="Euro 28 3 3 2" xfId="1993"/>
    <cellStyle name="Euro 28 3 4" xfId="1994"/>
    <cellStyle name="Euro 28 4" xfId="196"/>
    <cellStyle name="Euro 28 4 2" xfId="1995"/>
    <cellStyle name="Euro 28 4 2 2" xfId="1996"/>
    <cellStyle name="Euro 28 4 3" xfId="1997"/>
    <cellStyle name="Euro 28 5" xfId="197"/>
    <cellStyle name="Euro 29" xfId="198"/>
    <cellStyle name="Euro 29 2" xfId="199"/>
    <cellStyle name="Euro 29 2 2" xfId="1998"/>
    <cellStyle name="Euro 29 3" xfId="200"/>
    <cellStyle name="Euro 29 3 2" xfId="201"/>
    <cellStyle name="Euro 29 3 2 2" xfId="3462"/>
    <cellStyle name="Euro 29 3 2 3" xfId="3463"/>
    <cellStyle name="Euro 29 3 3" xfId="202"/>
    <cellStyle name="Euro 29 3 3 2" xfId="1999"/>
    <cellStyle name="Euro 29 3 4" xfId="2000"/>
    <cellStyle name="Euro 29 4" xfId="203"/>
    <cellStyle name="Euro 29 4 2" xfId="2001"/>
    <cellStyle name="Euro 29 4 2 2" xfId="2002"/>
    <cellStyle name="Euro 29 4 3" xfId="2003"/>
    <cellStyle name="Euro 29 5" xfId="204"/>
    <cellStyle name="Euro 3" xfId="205"/>
    <cellStyle name="Euro 3 2" xfId="206"/>
    <cellStyle name="Euro 3 2 2" xfId="2004"/>
    <cellStyle name="Euro 3 3" xfId="207"/>
    <cellStyle name="Euro 3 3 2" xfId="208"/>
    <cellStyle name="Euro 3 3 2 2" xfId="3464"/>
    <cellStyle name="Euro 3 3 2 3" xfId="3465"/>
    <cellStyle name="Euro 3 3 3" xfId="209"/>
    <cellStyle name="Euro 3 3 3 2" xfId="2005"/>
    <cellStyle name="Euro 3 3 4" xfId="2006"/>
    <cellStyle name="Euro 3 4" xfId="210"/>
    <cellStyle name="Euro 3 4 2" xfId="2007"/>
    <cellStyle name="Euro 3 4 2 2" xfId="2008"/>
    <cellStyle name="Euro 3 4 3" xfId="2009"/>
    <cellStyle name="Euro 3 5" xfId="211"/>
    <cellStyle name="Euro 30" xfId="212"/>
    <cellStyle name="Euro 30 2" xfId="213"/>
    <cellStyle name="Euro 30 2 2" xfId="2010"/>
    <cellStyle name="Euro 30 3" xfId="214"/>
    <cellStyle name="Euro 30 3 2" xfId="215"/>
    <cellStyle name="Euro 30 3 2 2" xfId="3466"/>
    <cellStyle name="Euro 30 3 2 3" xfId="3467"/>
    <cellStyle name="Euro 30 3 3" xfId="216"/>
    <cellStyle name="Euro 30 3 3 2" xfId="2011"/>
    <cellStyle name="Euro 30 3 4" xfId="2012"/>
    <cellStyle name="Euro 30 4" xfId="217"/>
    <cellStyle name="Euro 30 4 2" xfId="2013"/>
    <cellStyle name="Euro 30 4 2 2" xfId="2014"/>
    <cellStyle name="Euro 30 4 3" xfId="2015"/>
    <cellStyle name="Euro 30 5" xfId="218"/>
    <cellStyle name="Euro 31" xfId="219"/>
    <cellStyle name="Euro 31 2" xfId="220"/>
    <cellStyle name="Euro 31 2 2" xfId="2016"/>
    <cellStyle name="Euro 31 3" xfId="221"/>
    <cellStyle name="Euro 31 3 2" xfId="222"/>
    <cellStyle name="Euro 31 3 2 2" xfId="3468"/>
    <cellStyle name="Euro 31 3 2 3" xfId="3469"/>
    <cellStyle name="Euro 31 3 3" xfId="223"/>
    <cellStyle name="Euro 31 3 3 2" xfId="2017"/>
    <cellStyle name="Euro 31 3 4" xfId="2018"/>
    <cellStyle name="Euro 31 4" xfId="224"/>
    <cellStyle name="Euro 31 4 2" xfId="2019"/>
    <cellStyle name="Euro 31 4 2 2" xfId="2020"/>
    <cellStyle name="Euro 31 4 3" xfId="2021"/>
    <cellStyle name="Euro 31 5" xfId="225"/>
    <cellStyle name="Euro 32" xfId="226"/>
    <cellStyle name="Euro 32 2" xfId="227"/>
    <cellStyle name="Euro 32 2 2" xfId="2022"/>
    <cellStyle name="Euro 32 3" xfId="228"/>
    <cellStyle name="Euro 32 3 2" xfId="229"/>
    <cellStyle name="Euro 32 3 2 2" xfId="3470"/>
    <cellStyle name="Euro 32 3 2 3" xfId="3471"/>
    <cellStyle name="Euro 32 3 3" xfId="230"/>
    <cellStyle name="Euro 32 3 3 2" xfId="2023"/>
    <cellStyle name="Euro 32 3 4" xfId="2024"/>
    <cellStyle name="Euro 32 4" xfId="231"/>
    <cellStyle name="Euro 32 4 2" xfId="2025"/>
    <cellStyle name="Euro 32 4 2 2" xfId="2026"/>
    <cellStyle name="Euro 32 4 3" xfId="2027"/>
    <cellStyle name="Euro 32 5" xfId="232"/>
    <cellStyle name="Euro 33" xfId="233"/>
    <cellStyle name="Euro 33 2" xfId="234"/>
    <cellStyle name="Euro 33 2 2" xfId="2028"/>
    <cellStyle name="Euro 33 3" xfId="235"/>
    <cellStyle name="Euro 33 3 2" xfId="236"/>
    <cellStyle name="Euro 33 3 2 2" xfId="3472"/>
    <cellStyle name="Euro 33 3 2 3" xfId="3473"/>
    <cellStyle name="Euro 33 3 3" xfId="237"/>
    <cellStyle name="Euro 33 3 3 2" xfId="2029"/>
    <cellStyle name="Euro 33 3 4" xfId="2030"/>
    <cellStyle name="Euro 33 4" xfId="238"/>
    <cellStyle name="Euro 33 4 2" xfId="2031"/>
    <cellStyle name="Euro 33 4 2 2" xfId="2032"/>
    <cellStyle name="Euro 33 4 3" xfId="2033"/>
    <cellStyle name="Euro 33 5" xfId="239"/>
    <cellStyle name="Euro 34" xfId="240"/>
    <cellStyle name="Euro 34 2" xfId="241"/>
    <cellStyle name="Euro 34 2 2" xfId="2034"/>
    <cellStyle name="Euro 34 3" xfId="242"/>
    <cellStyle name="Euro 34 3 2" xfId="243"/>
    <cellStyle name="Euro 34 3 2 2" xfId="3474"/>
    <cellStyle name="Euro 34 3 2 3" xfId="3475"/>
    <cellStyle name="Euro 34 3 3" xfId="244"/>
    <cellStyle name="Euro 34 3 3 2" xfId="2035"/>
    <cellStyle name="Euro 34 3 4" xfId="2036"/>
    <cellStyle name="Euro 34 4" xfId="245"/>
    <cellStyle name="Euro 34 4 2" xfId="2037"/>
    <cellStyle name="Euro 34 4 2 2" xfId="2038"/>
    <cellStyle name="Euro 34 4 3" xfId="2039"/>
    <cellStyle name="Euro 34 5" xfId="246"/>
    <cellStyle name="Euro 35" xfId="247"/>
    <cellStyle name="Euro 35 2" xfId="248"/>
    <cellStyle name="Euro 35 2 2" xfId="2040"/>
    <cellStyle name="Euro 35 3" xfId="249"/>
    <cellStyle name="Euro 35 3 2" xfId="250"/>
    <cellStyle name="Euro 35 3 2 2" xfId="3476"/>
    <cellStyle name="Euro 35 3 2 3" xfId="3477"/>
    <cellStyle name="Euro 35 3 3" xfId="251"/>
    <cellStyle name="Euro 35 3 3 2" xfId="2041"/>
    <cellStyle name="Euro 35 3 4" xfId="2042"/>
    <cellStyle name="Euro 35 4" xfId="252"/>
    <cellStyle name="Euro 35 4 2" xfId="2043"/>
    <cellStyle name="Euro 35 4 2 2" xfId="2044"/>
    <cellStyle name="Euro 35 4 3" xfId="2045"/>
    <cellStyle name="Euro 35 5" xfId="253"/>
    <cellStyle name="Euro 36" xfId="254"/>
    <cellStyle name="Euro 36 2" xfId="255"/>
    <cellStyle name="Euro 36 2 2" xfId="2046"/>
    <cellStyle name="Euro 36 3" xfId="256"/>
    <cellStyle name="Euro 36 3 2" xfId="257"/>
    <cellStyle name="Euro 36 3 2 2" xfId="3478"/>
    <cellStyle name="Euro 36 3 2 3" xfId="3479"/>
    <cellStyle name="Euro 36 3 3" xfId="258"/>
    <cellStyle name="Euro 36 3 3 2" xfId="2047"/>
    <cellStyle name="Euro 36 3 4" xfId="2048"/>
    <cellStyle name="Euro 36 4" xfId="259"/>
    <cellStyle name="Euro 36 4 2" xfId="2049"/>
    <cellStyle name="Euro 36 4 2 2" xfId="2050"/>
    <cellStyle name="Euro 36 4 3" xfId="2051"/>
    <cellStyle name="Euro 36 5" xfId="260"/>
    <cellStyle name="Euro 37" xfId="261"/>
    <cellStyle name="Euro 37 2" xfId="262"/>
    <cellStyle name="Euro 37 2 2" xfId="2052"/>
    <cellStyle name="Euro 37 3" xfId="263"/>
    <cellStyle name="Euro 37 3 2" xfId="264"/>
    <cellStyle name="Euro 37 3 2 2" xfId="3480"/>
    <cellStyle name="Euro 37 3 2 3" xfId="3481"/>
    <cellStyle name="Euro 37 3 3" xfId="265"/>
    <cellStyle name="Euro 37 3 3 2" xfId="2053"/>
    <cellStyle name="Euro 37 3 4" xfId="2054"/>
    <cellStyle name="Euro 37 4" xfId="266"/>
    <cellStyle name="Euro 37 4 2" xfId="2055"/>
    <cellStyle name="Euro 37 4 2 2" xfId="2056"/>
    <cellStyle name="Euro 37 4 3" xfId="2057"/>
    <cellStyle name="Euro 37 5" xfId="267"/>
    <cellStyle name="Euro 38" xfId="268"/>
    <cellStyle name="Euro 38 2" xfId="269"/>
    <cellStyle name="Euro 38 2 2" xfId="2058"/>
    <cellStyle name="Euro 38 3" xfId="270"/>
    <cellStyle name="Euro 38 3 2" xfId="271"/>
    <cellStyle name="Euro 38 3 2 2" xfId="3482"/>
    <cellStyle name="Euro 38 3 2 3" xfId="3483"/>
    <cellStyle name="Euro 38 3 3" xfId="272"/>
    <cellStyle name="Euro 38 3 3 2" xfId="2059"/>
    <cellStyle name="Euro 38 3 4" xfId="2060"/>
    <cellStyle name="Euro 38 4" xfId="273"/>
    <cellStyle name="Euro 38 4 2" xfId="2061"/>
    <cellStyle name="Euro 38 4 2 2" xfId="2062"/>
    <cellStyle name="Euro 38 4 3" xfId="2063"/>
    <cellStyle name="Euro 38 5" xfId="274"/>
    <cellStyle name="Euro 39" xfId="275"/>
    <cellStyle name="Euro 39 2" xfId="276"/>
    <cellStyle name="Euro 39 2 2" xfId="2064"/>
    <cellStyle name="Euro 39 3" xfId="277"/>
    <cellStyle name="Euro 39 3 2" xfId="278"/>
    <cellStyle name="Euro 39 3 2 2" xfId="3484"/>
    <cellStyle name="Euro 39 3 2 3" xfId="3485"/>
    <cellStyle name="Euro 39 3 3" xfId="279"/>
    <cellStyle name="Euro 39 3 3 2" xfId="2065"/>
    <cellStyle name="Euro 39 3 4" xfId="2066"/>
    <cellStyle name="Euro 39 4" xfId="280"/>
    <cellStyle name="Euro 39 4 2" xfId="2067"/>
    <cellStyle name="Euro 39 4 2 2" xfId="2068"/>
    <cellStyle name="Euro 39 4 3" xfId="2069"/>
    <cellStyle name="Euro 39 5" xfId="281"/>
    <cellStyle name="Euro 4" xfId="282"/>
    <cellStyle name="Euro 4 2" xfId="283"/>
    <cellStyle name="Euro 4 2 2" xfId="2070"/>
    <cellStyle name="Euro 4 3" xfId="284"/>
    <cellStyle name="Euro 4 3 2" xfId="285"/>
    <cellStyle name="Euro 4 3 2 2" xfId="3486"/>
    <cellStyle name="Euro 4 3 2 3" xfId="3487"/>
    <cellStyle name="Euro 4 3 3" xfId="286"/>
    <cellStyle name="Euro 4 3 3 2" xfId="2071"/>
    <cellStyle name="Euro 4 3 4" xfId="2072"/>
    <cellStyle name="Euro 4 4" xfId="287"/>
    <cellStyle name="Euro 4 4 2" xfId="2073"/>
    <cellStyle name="Euro 4 4 2 2" xfId="2074"/>
    <cellStyle name="Euro 4 4 3" xfId="2075"/>
    <cellStyle name="Euro 4 5" xfId="288"/>
    <cellStyle name="Euro 40" xfId="289"/>
    <cellStyle name="Euro 40 2" xfId="290"/>
    <cellStyle name="Euro 40 2 2" xfId="2076"/>
    <cellStyle name="Euro 40 3" xfId="291"/>
    <cellStyle name="Euro 40 3 2" xfId="292"/>
    <cellStyle name="Euro 40 3 2 2" xfId="3488"/>
    <cellStyle name="Euro 40 3 2 3" xfId="3489"/>
    <cellStyle name="Euro 40 3 3" xfId="293"/>
    <cellStyle name="Euro 40 3 3 2" xfId="2077"/>
    <cellStyle name="Euro 40 3 4" xfId="2078"/>
    <cellStyle name="Euro 40 4" xfId="294"/>
    <cellStyle name="Euro 40 4 2" xfId="2079"/>
    <cellStyle name="Euro 40 4 2 2" xfId="2080"/>
    <cellStyle name="Euro 40 4 3" xfId="2081"/>
    <cellStyle name="Euro 40 5" xfId="295"/>
    <cellStyle name="Euro 41" xfId="296"/>
    <cellStyle name="Euro 41 2" xfId="297"/>
    <cellStyle name="Euro 41 2 2" xfId="2082"/>
    <cellStyle name="Euro 41 3" xfId="298"/>
    <cellStyle name="Euro 41 3 2" xfId="299"/>
    <cellStyle name="Euro 41 3 2 2" xfId="3490"/>
    <cellStyle name="Euro 41 3 2 3" xfId="3491"/>
    <cellStyle name="Euro 41 3 3" xfId="300"/>
    <cellStyle name="Euro 41 3 3 2" xfId="2083"/>
    <cellStyle name="Euro 41 3 4" xfId="2084"/>
    <cellStyle name="Euro 41 4" xfId="301"/>
    <cellStyle name="Euro 41 4 2" xfId="2085"/>
    <cellStyle name="Euro 41 4 2 2" xfId="2086"/>
    <cellStyle name="Euro 41 4 3" xfId="2087"/>
    <cellStyle name="Euro 41 5" xfId="302"/>
    <cellStyle name="Euro 42" xfId="303"/>
    <cellStyle name="Euro 42 2" xfId="304"/>
    <cellStyle name="Euro 42 2 2" xfId="2088"/>
    <cellStyle name="Euro 42 3" xfId="305"/>
    <cellStyle name="Euro 42 3 2" xfId="306"/>
    <cellStyle name="Euro 42 3 2 2" xfId="3492"/>
    <cellStyle name="Euro 42 3 2 3" xfId="3493"/>
    <cellStyle name="Euro 42 3 3" xfId="307"/>
    <cellStyle name="Euro 42 3 3 2" xfId="2089"/>
    <cellStyle name="Euro 42 3 4" xfId="2090"/>
    <cellStyle name="Euro 42 4" xfId="308"/>
    <cellStyle name="Euro 42 4 2" xfId="2091"/>
    <cellStyle name="Euro 42 4 2 2" xfId="2092"/>
    <cellStyle name="Euro 42 4 3" xfId="2093"/>
    <cellStyle name="Euro 42 5" xfId="309"/>
    <cellStyle name="Euro 43" xfId="310"/>
    <cellStyle name="Euro 43 2" xfId="311"/>
    <cellStyle name="Euro 43 2 2" xfId="2094"/>
    <cellStyle name="Euro 43 3" xfId="312"/>
    <cellStyle name="Euro 43 3 2" xfId="313"/>
    <cellStyle name="Euro 43 3 2 2" xfId="3494"/>
    <cellStyle name="Euro 43 3 2 3" xfId="3495"/>
    <cellStyle name="Euro 43 3 3" xfId="314"/>
    <cellStyle name="Euro 43 3 3 2" xfId="2095"/>
    <cellStyle name="Euro 43 3 4" xfId="2096"/>
    <cellStyle name="Euro 43 4" xfId="315"/>
    <cellStyle name="Euro 43 4 2" xfId="2097"/>
    <cellStyle name="Euro 43 4 2 2" xfId="2098"/>
    <cellStyle name="Euro 43 4 3" xfId="2099"/>
    <cellStyle name="Euro 43 5" xfId="316"/>
    <cellStyle name="Euro 44" xfId="317"/>
    <cellStyle name="Euro 44 2" xfId="318"/>
    <cellStyle name="Euro 44 2 2" xfId="2100"/>
    <cellStyle name="Euro 44 3" xfId="319"/>
    <cellStyle name="Euro 44 3 2" xfId="320"/>
    <cellStyle name="Euro 44 3 2 2" xfId="3496"/>
    <cellStyle name="Euro 44 3 2 3" xfId="3497"/>
    <cellStyle name="Euro 44 3 3" xfId="321"/>
    <cellStyle name="Euro 44 3 3 2" xfId="2101"/>
    <cellStyle name="Euro 44 3 4" xfId="2102"/>
    <cellStyle name="Euro 44 4" xfId="322"/>
    <cellStyle name="Euro 44 4 2" xfId="2103"/>
    <cellStyle name="Euro 44 4 2 2" xfId="2104"/>
    <cellStyle name="Euro 44 4 3" xfId="2105"/>
    <cellStyle name="Euro 44 5" xfId="323"/>
    <cellStyle name="Euro 45" xfId="324"/>
    <cellStyle name="Euro 45 2" xfId="2106"/>
    <cellStyle name="Euro 45 2 2" xfId="2107"/>
    <cellStyle name="Euro 45 2 3" xfId="3498"/>
    <cellStyle name="Euro 45 3" xfId="2108"/>
    <cellStyle name="Euro 46" xfId="325"/>
    <cellStyle name="Euro 46 2" xfId="2109"/>
    <cellStyle name="Euro 47" xfId="326"/>
    <cellStyle name="Euro 47 2" xfId="327"/>
    <cellStyle name="Euro 47 2 2" xfId="3499"/>
    <cellStyle name="Euro 47 2 3" xfId="3500"/>
    <cellStyle name="Euro 47 3" xfId="328"/>
    <cellStyle name="Euro 47 3 2" xfId="2110"/>
    <cellStyle name="Euro 47 4" xfId="2111"/>
    <cellStyle name="Euro 48" xfId="329"/>
    <cellStyle name="Euro 48 2" xfId="2112"/>
    <cellStyle name="Euro 49" xfId="330"/>
    <cellStyle name="Euro 49 2" xfId="2113"/>
    <cellStyle name="Euro 49 2 2" xfId="2114"/>
    <cellStyle name="Euro 49 3" xfId="2115"/>
    <cellStyle name="Euro 5" xfId="331"/>
    <cellStyle name="Euro 5 2" xfId="332"/>
    <cellStyle name="Euro 5 2 2" xfId="2116"/>
    <cellStyle name="Euro 5 3" xfId="333"/>
    <cellStyle name="Euro 5 3 2" xfId="334"/>
    <cellStyle name="Euro 5 3 2 2" xfId="3501"/>
    <cellStyle name="Euro 5 3 2 3" xfId="3502"/>
    <cellStyle name="Euro 5 3 3" xfId="335"/>
    <cellStyle name="Euro 5 3 3 2" xfId="2117"/>
    <cellStyle name="Euro 5 3 4" xfId="2118"/>
    <cellStyle name="Euro 5 4" xfId="336"/>
    <cellStyle name="Euro 5 4 2" xfId="2119"/>
    <cellStyle name="Euro 5 4 2 2" xfId="2120"/>
    <cellStyle name="Euro 5 4 3" xfId="2121"/>
    <cellStyle name="Euro 5 5" xfId="337"/>
    <cellStyle name="Euro 50" xfId="338"/>
    <cellStyle name="Euro 51" xfId="2122"/>
    <cellStyle name="Euro 51 2" xfId="2123"/>
    <cellStyle name="Euro 6" xfId="339"/>
    <cellStyle name="Euro 6 2" xfId="340"/>
    <cellStyle name="Euro 6 2 2" xfId="2124"/>
    <cellStyle name="Euro 6 3" xfId="341"/>
    <cellStyle name="Euro 6 3 2" xfId="342"/>
    <cellStyle name="Euro 6 3 2 2" xfId="3503"/>
    <cellStyle name="Euro 6 3 2 3" xfId="3504"/>
    <cellStyle name="Euro 6 3 3" xfId="343"/>
    <cellStyle name="Euro 6 3 3 2" xfId="2125"/>
    <cellStyle name="Euro 6 3 4" xfId="2126"/>
    <cellStyle name="Euro 6 4" xfId="344"/>
    <cellStyle name="Euro 6 4 2" xfId="2127"/>
    <cellStyle name="Euro 6 4 2 2" xfId="2128"/>
    <cellStyle name="Euro 6 4 3" xfId="2129"/>
    <cellStyle name="Euro 6 5" xfId="345"/>
    <cellStyle name="Euro 7" xfId="346"/>
    <cellStyle name="Euro 7 2" xfId="347"/>
    <cellStyle name="Euro 7 2 2" xfId="2130"/>
    <cellStyle name="Euro 7 3" xfId="348"/>
    <cellStyle name="Euro 7 3 2" xfId="349"/>
    <cellStyle name="Euro 7 3 2 2" xfId="3505"/>
    <cellStyle name="Euro 7 3 2 3" xfId="3506"/>
    <cellStyle name="Euro 7 3 3" xfId="350"/>
    <cellStyle name="Euro 7 3 3 2" xfId="2131"/>
    <cellStyle name="Euro 7 3 4" xfId="2132"/>
    <cellStyle name="Euro 7 4" xfId="351"/>
    <cellStyle name="Euro 7 4 2" xfId="2133"/>
    <cellStyle name="Euro 7 4 2 2" xfId="2134"/>
    <cellStyle name="Euro 7 4 3" xfId="2135"/>
    <cellStyle name="Euro 7 5" xfId="352"/>
    <cellStyle name="Euro 8" xfId="353"/>
    <cellStyle name="Euro 8 2" xfId="354"/>
    <cellStyle name="Euro 8 2 2" xfId="2136"/>
    <cellStyle name="Euro 8 3" xfId="355"/>
    <cellStyle name="Euro 8 3 2" xfId="356"/>
    <cellStyle name="Euro 8 3 2 2" xfId="3507"/>
    <cellStyle name="Euro 8 3 2 3" xfId="3508"/>
    <cellStyle name="Euro 8 3 3" xfId="357"/>
    <cellStyle name="Euro 8 3 3 2" xfId="2137"/>
    <cellStyle name="Euro 8 3 4" xfId="2138"/>
    <cellStyle name="Euro 8 4" xfId="358"/>
    <cellStyle name="Euro 8 4 2" xfId="2139"/>
    <cellStyle name="Euro 8 4 2 2" xfId="2140"/>
    <cellStyle name="Euro 8 4 3" xfId="2141"/>
    <cellStyle name="Euro 8 5" xfId="359"/>
    <cellStyle name="Euro 9" xfId="360"/>
    <cellStyle name="Euro 9 2" xfId="361"/>
    <cellStyle name="Euro 9 2 2" xfId="2142"/>
    <cellStyle name="Euro 9 3" xfId="362"/>
    <cellStyle name="Euro 9 3 2" xfId="363"/>
    <cellStyle name="Euro 9 3 2 2" xfId="3509"/>
    <cellStyle name="Euro 9 3 2 3" xfId="3510"/>
    <cellStyle name="Euro 9 3 3" xfId="364"/>
    <cellStyle name="Euro 9 3 3 2" xfId="2143"/>
    <cellStyle name="Euro 9 3 4" xfId="2144"/>
    <cellStyle name="Euro 9 4" xfId="365"/>
    <cellStyle name="Euro 9 4 2" xfId="2145"/>
    <cellStyle name="Euro 9 4 2 2" xfId="2146"/>
    <cellStyle name="Euro 9 4 3" xfId="2147"/>
    <cellStyle name="Euro 9 5" xfId="366"/>
    <cellStyle name="Fixed2 - Type2" xfId="367"/>
    <cellStyle name="Formel" xfId="4346"/>
    <cellStyle name="Formula" xfId="4341"/>
    <cellStyle name="Good 2" xfId="3511"/>
    <cellStyle name="Hyperlink 2" xfId="368"/>
    <cellStyle name="Hyperlink 2 2" xfId="3512"/>
    <cellStyle name="Hyperlink 3" xfId="3513"/>
    <cellStyle name="Hyperlink 4" xfId="3514"/>
    <cellStyle name="Input" xfId="369" builtinId="20" customBuiltin="1"/>
    <cellStyle name="Input 2" xfId="370"/>
    <cellStyle name="Input 2 2" xfId="371"/>
    <cellStyle name="Input 2 2 2" xfId="3515"/>
    <cellStyle name="Input 2 2 3" xfId="3516"/>
    <cellStyle name="Input 2 3" xfId="372"/>
    <cellStyle name="Input 2 3 2" xfId="3517"/>
    <cellStyle name="Input 2 4" xfId="373"/>
    <cellStyle name="Input 2 5" xfId="374"/>
    <cellStyle name="Input 2 6" xfId="375"/>
    <cellStyle name="Input 2 7" xfId="376"/>
    <cellStyle name="Input 2 8" xfId="3518"/>
    <cellStyle name="Input 3" xfId="377"/>
    <cellStyle name="Input 3 2" xfId="378"/>
    <cellStyle name="Input 3 2 2" xfId="3519"/>
    <cellStyle name="Input 3 3" xfId="379"/>
    <cellStyle name="Input 3 4" xfId="380"/>
    <cellStyle name="Input 3 5" xfId="381"/>
    <cellStyle name="Input 3 6" xfId="382"/>
    <cellStyle name="Input 3 7" xfId="3520"/>
    <cellStyle name="Input 4" xfId="2148"/>
    <cellStyle name="InputCells" xfId="383"/>
    <cellStyle name="Komma" xfId="38" builtinId="3"/>
    <cellStyle name="Komma 2" xfId="2149"/>
    <cellStyle name="Komma 2 2" xfId="2150"/>
    <cellStyle name="Komma 2 2 2" xfId="2151"/>
    <cellStyle name="Komma 2 3" xfId="2152"/>
    <cellStyle name="Komma 2 4" xfId="3363"/>
    <cellStyle name="Komma 2 5" xfId="3521"/>
    <cellStyle name="Komma 3" xfId="2153"/>
    <cellStyle name="Komma 3 2" xfId="2154"/>
    <cellStyle name="Komma 4" xfId="2155"/>
    <cellStyle name="Komma 4 2" xfId="2156"/>
    <cellStyle name="Komma 4 2 2" xfId="2157"/>
    <cellStyle name="Komma 4 3" xfId="2158"/>
    <cellStyle name="Komma 5" xfId="2159"/>
    <cellStyle name="Komma 5 2" xfId="2160"/>
    <cellStyle name="Komma 5 2 2" xfId="2161"/>
    <cellStyle name="Komma 5 3" xfId="2162"/>
    <cellStyle name="Kontroller celle" xfId="3522"/>
    <cellStyle name="Link" xfId="4351" builtinId="8"/>
    <cellStyle name="Link 2" xfId="2163"/>
    <cellStyle name="Link 3" xfId="2164"/>
    <cellStyle name="Markeringsfarve1" xfId="3523"/>
    <cellStyle name="Markeringsfarve2" xfId="3524"/>
    <cellStyle name="Markeringsfarve3" xfId="3525"/>
    <cellStyle name="Markeringsfarve4" xfId="3526"/>
    <cellStyle name="Markeringsfarve5" xfId="3527"/>
    <cellStyle name="Markeringsfarve6" xfId="3528"/>
    <cellStyle name="Migliaia [0] 10" xfId="384"/>
    <cellStyle name="Migliaia [0] 10 2" xfId="2165"/>
    <cellStyle name="Migliaia [0] 10 2 2" xfId="3529"/>
    <cellStyle name="Migliaia [0] 10 3" xfId="3530"/>
    <cellStyle name="Migliaia [0] 11" xfId="385"/>
    <cellStyle name="Migliaia [0] 11 2" xfId="2166"/>
    <cellStyle name="Migliaia [0] 11 2 2" xfId="3531"/>
    <cellStyle name="Migliaia [0] 11 3" xfId="3532"/>
    <cellStyle name="Migliaia [0] 12" xfId="386"/>
    <cellStyle name="Migliaia [0] 12 2" xfId="2167"/>
    <cellStyle name="Migliaia [0] 12 2 2" xfId="3533"/>
    <cellStyle name="Migliaia [0] 12 3" xfId="3534"/>
    <cellStyle name="Migliaia [0] 13" xfId="387"/>
    <cellStyle name="Migliaia [0] 13 2" xfId="2168"/>
    <cellStyle name="Migliaia [0] 13 2 2" xfId="3535"/>
    <cellStyle name="Migliaia [0] 13 3" xfId="3536"/>
    <cellStyle name="Migliaia [0] 14" xfId="388"/>
    <cellStyle name="Migliaia [0] 14 2" xfId="2169"/>
    <cellStyle name="Migliaia [0] 14 2 2" xfId="3537"/>
    <cellStyle name="Migliaia [0] 14 3" xfId="3538"/>
    <cellStyle name="Migliaia [0] 15" xfId="389"/>
    <cellStyle name="Migliaia [0] 15 2" xfId="2170"/>
    <cellStyle name="Migliaia [0] 15 2 2" xfId="3539"/>
    <cellStyle name="Migliaia [0] 15 3" xfId="3540"/>
    <cellStyle name="Migliaia [0] 16" xfId="390"/>
    <cellStyle name="Migliaia [0] 16 2" xfId="2171"/>
    <cellStyle name="Migliaia [0] 16 2 2" xfId="3541"/>
    <cellStyle name="Migliaia [0] 16 3" xfId="3542"/>
    <cellStyle name="Migliaia [0] 17" xfId="391"/>
    <cellStyle name="Migliaia [0] 17 2" xfId="2172"/>
    <cellStyle name="Migliaia [0] 17 2 2" xfId="3543"/>
    <cellStyle name="Migliaia [0] 17 3" xfId="3544"/>
    <cellStyle name="Migliaia [0] 18" xfId="392"/>
    <cellStyle name="Migliaia [0] 18 2" xfId="2173"/>
    <cellStyle name="Migliaia [0] 18 2 2" xfId="3545"/>
    <cellStyle name="Migliaia [0] 18 3" xfId="3546"/>
    <cellStyle name="Migliaia [0] 19" xfId="393"/>
    <cellStyle name="Migliaia [0] 19 2" xfId="2174"/>
    <cellStyle name="Migliaia [0] 19 2 2" xfId="3547"/>
    <cellStyle name="Migliaia [0] 19 3" xfId="3548"/>
    <cellStyle name="Migliaia [0] 2" xfId="394"/>
    <cellStyle name="Migliaia [0] 2 2" xfId="2175"/>
    <cellStyle name="Migliaia [0] 2 2 2" xfId="3549"/>
    <cellStyle name="Migliaia [0] 2 3" xfId="3550"/>
    <cellStyle name="Migliaia [0] 20" xfId="395"/>
    <cellStyle name="Migliaia [0] 20 2" xfId="2176"/>
    <cellStyle name="Migliaia [0] 20 2 2" xfId="3551"/>
    <cellStyle name="Migliaia [0] 20 3" xfId="3552"/>
    <cellStyle name="Migliaia [0] 21" xfId="396"/>
    <cellStyle name="Migliaia [0] 21 2" xfId="2177"/>
    <cellStyle name="Migliaia [0] 21 2 2" xfId="3553"/>
    <cellStyle name="Migliaia [0] 21 3" xfId="3554"/>
    <cellStyle name="Migliaia [0] 22" xfId="397"/>
    <cellStyle name="Migliaia [0] 22 2" xfId="2178"/>
    <cellStyle name="Migliaia [0] 22 2 2" xfId="3555"/>
    <cellStyle name="Migliaia [0] 22 3" xfId="3556"/>
    <cellStyle name="Migliaia [0] 23" xfId="398"/>
    <cellStyle name="Migliaia [0] 23 2" xfId="2179"/>
    <cellStyle name="Migliaia [0] 23 2 2" xfId="3557"/>
    <cellStyle name="Migliaia [0] 23 3" xfId="3558"/>
    <cellStyle name="Migliaia [0] 24" xfId="399"/>
    <cellStyle name="Migliaia [0] 24 2" xfId="2180"/>
    <cellStyle name="Migliaia [0] 24 2 2" xfId="3559"/>
    <cellStyle name="Migliaia [0] 24 3" xfId="3560"/>
    <cellStyle name="Migliaia [0] 25" xfId="400"/>
    <cellStyle name="Migliaia [0] 25 2" xfId="2181"/>
    <cellStyle name="Migliaia [0] 25 2 2" xfId="3561"/>
    <cellStyle name="Migliaia [0] 25 3" xfId="3562"/>
    <cellStyle name="Migliaia [0] 26" xfId="401"/>
    <cellStyle name="Migliaia [0] 26 2" xfId="2182"/>
    <cellStyle name="Migliaia [0] 26 2 2" xfId="3563"/>
    <cellStyle name="Migliaia [0] 26 3" xfId="3564"/>
    <cellStyle name="Migliaia [0] 27" xfId="402"/>
    <cellStyle name="Migliaia [0] 27 2" xfId="2183"/>
    <cellStyle name="Migliaia [0] 27 2 2" xfId="3565"/>
    <cellStyle name="Migliaia [0] 27 3" xfId="3566"/>
    <cellStyle name="Migliaia [0] 28" xfId="403"/>
    <cellStyle name="Migliaia [0] 28 2" xfId="2184"/>
    <cellStyle name="Migliaia [0] 28 2 2" xfId="3567"/>
    <cellStyle name="Migliaia [0] 28 3" xfId="3568"/>
    <cellStyle name="Migliaia [0] 29" xfId="404"/>
    <cellStyle name="Migliaia [0] 29 2" xfId="2185"/>
    <cellStyle name="Migliaia [0] 29 2 2" xfId="3569"/>
    <cellStyle name="Migliaia [0] 29 3" xfId="3570"/>
    <cellStyle name="Migliaia [0] 3" xfId="405"/>
    <cellStyle name="Migliaia [0] 3 2" xfId="2186"/>
    <cellStyle name="Migliaia [0] 3 2 2" xfId="3571"/>
    <cellStyle name="Migliaia [0] 3 3" xfId="3572"/>
    <cellStyle name="Migliaia [0] 30" xfId="406"/>
    <cellStyle name="Migliaia [0] 30 2" xfId="2187"/>
    <cellStyle name="Migliaia [0] 30 2 2" xfId="3573"/>
    <cellStyle name="Migliaia [0] 30 3" xfId="3574"/>
    <cellStyle name="Migliaia [0] 31" xfId="407"/>
    <cellStyle name="Migliaia [0] 31 2" xfId="2188"/>
    <cellStyle name="Migliaia [0] 31 2 2" xfId="3575"/>
    <cellStyle name="Migliaia [0] 31 3" xfId="3576"/>
    <cellStyle name="Migliaia [0] 32" xfId="408"/>
    <cellStyle name="Migliaia [0] 32 2" xfId="2189"/>
    <cellStyle name="Migliaia [0] 32 2 2" xfId="3577"/>
    <cellStyle name="Migliaia [0] 32 3" xfId="3578"/>
    <cellStyle name="Migliaia [0] 33" xfId="409"/>
    <cellStyle name="Migliaia [0] 33 2" xfId="2190"/>
    <cellStyle name="Migliaia [0] 33 2 2" xfId="3579"/>
    <cellStyle name="Migliaia [0] 33 3" xfId="3580"/>
    <cellStyle name="Migliaia [0] 34" xfId="410"/>
    <cellStyle name="Migliaia [0] 34 2" xfId="2191"/>
    <cellStyle name="Migliaia [0] 34 2 2" xfId="3581"/>
    <cellStyle name="Migliaia [0] 34 3" xfId="3582"/>
    <cellStyle name="Migliaia [0] 35" xfId="411"/>
    <cellStyle name="Migliaia [0] 35 2" xfId="2192"/>
    <cellStyle name="Migliaia [0] 35 2 2" xfId="3583"/>
    <cellStyle name="Migliaia [0] 35 3" xfId="3584"/>
    <cellStyle name="Migliaia [0] 36" xfId="412"/>
    <cellStyle name="Migliaia [0] 36 2" xfId="2193"/>
    <cellStyle name="Migliaia [0] 36 2 2" xfId="3585"/>
    <cellStyle name="Migliaia [0] 36 3" xfId="3586"/>
    <cellStyle name="Migliaia [0] 37" xfId="413"/>
    <cellStyle name="Migliaia [0] 37 2" xfId="2194"/>
    <cellStyle name="Migliaia [0] 37 2 2" xfId="3587"/>
    <cellStyle name="Migliaia [0] 37 3" xfId="3588"/>
    <cellStyle name="Migliaia [0] 38" xfId="414"/>
    <cellStyle name="Migliaia [0] 38 2" xfId="2195"/>
    <cellStyle name="Migliaia [0] 38 2 2" xfId="3589"/>
    <cellStyle name="Migliaia [0] 38 3" xfId="3590"/>
    <cellStyle name="Migliaia [0] 39" xfId="415"/>
    <cellStyle name="Migliaia [0] 39 2" xfId="2196"/>
    <cellStyle name="Migliaia [0] 39 2 2" xfId="3591"/>
    <cellStyle name="Migliaia [0] 39 3" xfId="3592"/>
    <cellStyle name="Migliaia [0] 4" xfId="416"/>
    <cellStyle name="Migliaia [0] 4 2" xfId="2197"/>
    <cellStyle name="Migliaia [0] 4 2 2" xfId="3593"/>
    <cellStyle name="Migliaia [0] 4 3" xfId="3594"/>
    <cellStyle name="Migliaia [0] 40" xfId="417"/>
    <cellStyle name="Migliaia [0] 40 2" xfId="2198"/>
    <cellStyle name="Migliaia [0] 40 2 2" xfId="3595"/>
    <cellStyle name="Migliaia [0] 40 3" xfId="3596"/>
    <cellStyle name="Migliaia [0] 41" xfId="418"/>
    <cellStyle name="Migliaia [0] 41 2" xfId="2199"/>
    <cellStyle name="Migliaia [0] 41 2 2" xfId="3597"/>
    <cellStyle name="Migliaia [0] 41 3" xfId="3598"/>
    <cellStyle name="Migliaia [0] 42" xfId="419"/>
    <cellStyle name="Migliaia [0] 42 2" xfId="2200"/>
    <cellStyle name="Migliaia [0] 42 2 2" xfId="3599"/>
    <cellStyle name="Migliaia [0] 42 3" xfId="3600"/>
    <cellStyle name="Migliaia [0] 43" xfId="420"/>
    <cellStyle name="Migliaia [0] 43 2" xfId="2201"/>
    <cellStyle name="Migliaia [0] 43 2 2" xfId="3601"/>
    <cellStyle name="Migliaia [0] 43 3" xfId="3602"/>
    <cellStyle name="Migliaia [0] 44" xfId="421"/>
    <cellStyle name="Migliaia [0] 44 2" xfId="2202"/>
    <cellStyle name="Migliaia [0] 44 2 2" xfId="3603"/>
    <cellStyle name="Migliaia [0] 44 3" xfId="3604"/>
    <cellStyle name="Migliaia [0] 45" xfId="422"/>
    <cellStyle name="Migliaia [0] 45 2" xfId="2203"/>
    <cellStyle name="Migliaia [0] 45 2 2" xfId="3605"/>
    <cellStyle name="Migliaia [0] 45 3" xfId="3606"/>
    <cellStyle name="Migliaia [0] 46" xfId="423"/>
    <cellStyle name="Migliaia [0] 46 2" xfId="2204"/>
    <cellStyle name="Migliaia [0] 46 2 2" xfId="3607"/>
    <cellStyle name="Migliaia [0] 46 3" xfId="3608"/>
    <cellStyle name="Migliaia [0] 47" xfId="424"/>
    <cellStyle name="Migliaia [0] 47 2" xfId="2205"/>
    <cellStyle name="Migliaia [0] 47 2 2" xfId="3609"/>
    <cellStyle name="Migliaia [0] 47 3" xfId="3610"/>
    <cellStyle name="Migliaia [0] 48" xfId="425"/>
    <cellStyle name="Migliaia [0] 48 2" xfId="2206"/>
    <cellStyle name="Migliaia [0] 48 2 2" xfId="3611"/>
    <cellStyle name="Migliaia [0] 48 3" xfId="3612"/>
    <cellStyle name="Migliaia [0] 49" xfId="426"/>
    <cellStyle name="Migliaia [0] 49 2" xfId="2207"/>
    <cellStyle name="Migliaia [0] 49 2 2" xfId="3613"/>
    <cellStyle name="Migliaia [0] 49 3" xfId="3614"/>
    <cellStyle name="Migliaia [0] 5" xfId="427"/>
    <cellStyle name="Migliaia [0] 5 2" xfId="2208"/>
    <cellStyle name="Migliaia [0] 5 2 2" xfId="3615"/>
    <cellStyle name="Migliaia [0] 5 3" xfId="3616"/>
    <cellStyle name="Migliaia [0] 50" xfId="428"/>
    <cellStyle name="Migliaia [0] 50 2" xfId="2209"/>
    <cellStyle name="Migliaia [0] 50 2 2" xfId="3617"/>
    <cellStyle name="Migliaia [0] 50 3" xfId="3618"/>
    <cellStyle name="Migliaia [0] 51" xfId="429"/>
    <cellStyle name="Migliaia [0] 51 2" xfId="2210"/>
    <cellStyle name="Migliaia [0] 51 2 2" xfId="3619"/>
    <cellStyle name="Migliaia [0] 51 3" xfId="3620"/>
    <cellStyle name="Migliaia [0] 52" xfId="430"/>
    <cellStyle name="Migliaia [0] 52 2" xfId="2211"/>
    <cellStyle name="Migliaia [0] 52 2 2" xfId="3621"/>
    <cellStyle name="Migliaia [0] 52 3" xfId="3622"/>
    <cellStyle name="Migliaia [0] 53" xfId="431"/>
    <cellStyle name="Migliaia [0] 53 2" xfId="2212"/>
    <cellStyle name="Migliaia [0] 53 2 2" xfId="3623"/>
    <cellStyle name="Migliaia [0] 53 3" xfId="3624"/>
    <cellStyle name="Migliaia [0] 54" xfId="432"/>
    <cellStyle name="Migliaia [0] 54 2" xfId="2213"/>
    <cellStyle name="Migliaia [0] 54 2 2" xfId="3625"/>
    <cellStyle name="Migliaia [0] 54 3" xfId="3626"/>
    <cellStyle name="Migliaia [0] 55" xfId="433"/>
    <cellStyle name="Migliaia [0] 55 2" xfId="2214"/>
    <cellStyle name="Migliaia [0] 55 2 2" xfId="3627"/>
    <cellStyle name="Migliaia [0] 55 3" xfId="3628"/>
    <cellStyle name="Migliaia [0] 56" xfId="434"/>
    <cellStyle name="Migliaia [0] 56 2" xfId="2215"/>
    <cellStyle name="Migliaia [0] 56 2 2" xfId="3629"/>
    <cellStyle name="Migliaia [0] 56 3" xfId="3630"/>
    <cellStyle name="Migliaia [0] 57" xfId="435"/>
    <cellStyle name="Migliaia [0] 57 2" xfId="2216"/>
    <cellStyle name="Migliaia [0] 57 2 2" xfId="3631"/>
    <cellStyle name="Migliaia [0] 57 3" xfId="3632"/>
    <cellStyle name="Migliaia [0] 58" xfId="436"/>
    <cellStyle name="Migliaia [0] 58 2" xfId="2217"/>
    <cellStyle name="Migliaia [0] 58 2 2" xfId="3633"/>
    <cellStyle name="Migliaia [0] 58 3" xfId="3634"/>
    <cellStyle name="Migliaia [0] 59" xfId="437"/>
    <cellStyle name="Migliaia [0] 59 2" xfId="2218"/>
    <cellStyle name="Migliaia [0] 59 2 2" xfId="3635"/>
    <cellStyle name="Migliaia [0] 59 3" xfId="3636"/>
    <cellStyle name="Migliaia [0] 6" xfId="438"/>
    <cellStyle name="Migliaia [0] 6 2" xfId="2219"/>
    <cellStyle name="Migliaia [0] 6 2 2" xfId="3637"/>
    <cellStyle name="Migliaia [0] 6 3" xfId="3638"/>
    <cellStyle name="Migliaia [0] 7" xfId="439"/>
    <cellStyle name="Migliaia [0] 7 2" xfId="2220"/>
    <cellStyle name="Migliaia [0] 7 2 2" xfId="3639"/>
    <cellStyle name="Migliaia [0] 7 3" xfId="3640"/>
    <cellStyle name="Migliaia [0] 8" xfId="440"/>
    <cellStyle name="Migliaia [0] 8 2" xfId="2221"/>
    <cellStyle name="Migliaia [0] 8 2 2" xfId="3641"/>
    <cellStyle name="Migliaia [0] 8 3" xfId="3642"/>
    <cellStyle name="Migliaia [0] 9" xfId="441"/>
    <cellStyle name="Migliaia [0] 9 2" xfId="2222"/>
    <cellStyle name="Migliaia [0] 9 2 2" xfId="3643"/>
    <cellStyle name="Migliaia [0] 9 3" xfId="3644"/>
    <cellStyle name="Migliaia 10" xfId="442"/>
    <cellStyle name="Migliaia 10 2" xfId="443"/>
    <cellStyle name="Migliaia 10 2 2" xfId="2223"/>
    <cellStyle name="Migliaia 10 2 2 2" xfId="3645"/>
    <cellStyle name="Migliaia 10 3" xfId="444"/>
    <cellStyle name="Migliaia 10 3 2" xfId="445"/>
    <cellStyle name="Migliaia 10 3 2 2" xfId="3646"/>
    <cellStyle name="Migliaia 10 3 2 3" xfId="3647"/>
    <cellStyle name="Migliaia 10 3 3" xfId="446"/>
    <cellStyle name="Migliaia 10 3 3 2" xfId="2224"/>
    <cellStyle name="Migliaia 10 3 4" xfId="2225"/>
    <cellStyle name="Migliaia 10 4" xfId="447"/>
    <cellStyle name="Migliaia 10 4 2" xfId="2226"/>
    <cellStyle name="Migliaia 10 4 2 2" xfId="2227"/>
    <cellStyle name="Migliaia 10 4 2 3" xfId="3648"/>
    <cellStyle name="Migliaia 10 4 3" xfId="2228"/>
    <cellStyle name="Migliaia 10 5" xfId="448"/>
    <cellStyle name="Migliaia 11" xfId="449"/>
    <cellStyle name="Migliaia 11 2" xfId="450"/>
    <cellStyle name="Migliaia 11 2 2" xfId="2229"/>
    <cellStyle name="Migliaia 11 2 2 2" xfId="3649"/>
    <cellStyle name="Migliaia 11 3" xfId="451"/>
    <cellStyle name="Migliaia 11 3 2" xfId="452"/>
    <cellStyle name="Migliaia 11 3 2 2" xfId="3650"/>
    <cellStyle name="Migliaia 11 3 2 3" xfId="3651"/>
    <cellStyle name="Migliaia 11 3 3" xfId="453"/>
    <cellStyle name="Migliaia 11 3 3 2" xfId="2230"/>
    <cellStyle name="Migliaia 11 3 4" xfId="2231"/>
    <cellStyle name="Migliaia 11 4" xfId="454"/>
    <cellStyle name="Migliaia 11 4 2" xfId="2232"/>
    <cellStyle name="Migliaia 11 4 2 2" xfId="2233"/>
    <cellStyle name="Migliaia 11 4 2 3" xfId="3652"/>
    <cellStyle name="Migliaia 11 4 3" xfId="2234"/>
    <cellStyle name="Migliaia 11 5" xfId="455"/>
    <cellStyle name="Migliaia 12" xfId="456"/>
    <cellStyle name="Migliaia 12 2" xfId="457"/>
    <cellStyle name="Migliaia 12 2 2" xfId="2235"/>
    <cellStyle name="Migliaia 12 2 2 2" xfId="3653"/>
    <cellStyle name="Migliaia 12 3" xfId="458"/>
    <cellStyle name="Migliaia 12 3 2" xfId="459"/>
    <cellStyle name="Migliaia 12 3 2 2" xfId="3654"/>
    <cellStyle name="Migliaia 12 3 2 3" xfId="3655"/>
    <cellStyle name="Migliaia 12 3 3" xfId="460"/>
    <cellStyle name="Migliaia 12 3 3 2" xfId="2236"/>
    <cellStyle name="Migliaia 12 3 4" xfId="2237"/>
    <cellStyle name="Migliaia 12 4" xfId="461"/>
    <cellStyle name="Migliaia 12 4 2" xfId="2238"/>
    <cellStyle name="Migliaia 12 4 2 2" xfId="2239"/>
    <cellStyle name="Migliaia 12 4 2 3" xfId="3656"/>
    <cellStyle name="Migliaia 12 4 3" xfId="2240"/>
    <cellStyle name="Migliaia 12 5" xfId="462"/>
    <cellStyle name="Migliaia 13" xfId="463"/>
    <cellStyle name="Migliaia 13 2" xfId="464"/>
    <cellStyle name="Migliaia 13 2 2" xfId="2241"/>
    <cellStyle name="Migliaia 13 2 2 2" xfId="3657"/>
    <cellStyle name="Migliaia 13 3" xfId="465"/>
    <cellStyle name="Migliaia 13 3 2" xfId="466"/>
    <cellStyle name="Migliaia 13 3 2 2" xfId="3658"/>
    <cellStyle name="Migliaia 13 3 2 3" xfId="3659"/>
    <cellStyle name="Migliaia 13 3 3" xfId="467"/>
    <cellStyle name="Migliaia 13 3 3 2" xfId="2242"/>
    <cellStyle name="Migliaia 13 3 4" xfId="2243"/>
    <cellStyle name="Migliaia 13 4" xfId="468"/>
    <cellStyle name="Migliaia 13 4 2" xfId="2244"/>
    <cellStyle name="Migliaia 13 4 2 2" xfId="2245"/>
    <cellStyle name="Migliaia 13 4 2 3" xfId="3660"/>
    <cellStyle name="Migliaia 13 4 3" xfId="2246"/>
    <cellStyle name="Migliaia 13 5" xfId="469"/>
    <cellStyle name="Migliaia 14" xfId="470"/>
    <cellStyle name="Migliaia 14 2" xfId="471"/>
    <cellStyle name="Migliaia 14 2 2" xfId="2247"/>
    <cellStyle name="Migliaia 14 2 2 2" xfId="3661"/>
    <cellStyle name="Migliaia 14 3" xfId="472"/>
    <cellStyle name="Migliaia 14 3 2" xfId="473"/>
    <cellStyle name="Migliaia 14 3 2 2" xfId="3662"/>
    <cellStyle name="Migliaia 14 3 2 3" xfId="3663"/>
    <cellStyle name="Migliaia 14 3 3" xfId="474"/>
    <cellStyle name="Migliaia 14 3 3 2" xfId="2248"/>
    <cellStyle name="Migliaia 14 3 4" xfId="2249"/>
    <cellStyle name="Migliaia 14 4" xfId="475"/>
    <cellStyle name="Migliaia 14 4 2" xfId="2250"/>
    <cellStyle name="Migliaia 14 4 2 2" xfId="2251"/>
    <cellStyle name="Migliaia 14 4 2 3" xfId="3664"/>
    <cellStyle name="Migliaia 14 4 3" xfId="2252"/>
    <cellStyle name="Migliaia 14 5" xfId="476"/>
    <cellStyle name="Migliaia 15" xfId="477"/>
    <cellStyle name="Migliaia 15 2" xfId="478"/>
    <cellStyle name="Migliaia 15 2 2" xfId="2253"/>
    <cellStyle name="Migliaia 15 2 2 2" xfId="3665"/>
    <cellStyle name="Migliaia 15 3" xfId="479"/>
    <cellStyle name="Migliaia 15 3 2" xfId="480"/>
    <cellStyle name="Migliaia 15 3 2 2" xfId="3666"/>
    <cellStyle name="Migliaia 15 3 2 3" xfId="3667"/>
    <cellStyle name="Migliaia 15 3 3" xfId="481"/>
    <cellStyle name="Migliaia 15 3 3 2" xfId="2254"/>
    <cellStyle name="Migliaia 15 3 4" xfId="2255"/>
    <cellStyle name="Migliaia 15 4" xfId="482"/>
    <cellStyle name="Migliaia 15 4 2" xfId="2256"/>
    <cellStyle name="Migliaia 15 4 2 2" xfId="2257"/>
    <cellStyle name="Migliaia 15 4 2 3" xfId="3668"/>
    <cellStyle name="Migliaia 15 4 3" xfId="2258"/>
    <cellStyle name="Migliaia 15 5" xfId="483"/>
    <cellStyle name="Migliaia 16" xfId="484"/>
    <cellStyle name="Migliaia 16 2" xfId="485"/>
    <cellStyle name="Migliaia 16 2 2" xfId="2259"/>
    <cellStyle name="Migliaia 16 2 2 2" xfId="3669"/>
    <cellStyle name="Migliaia 16 3" xfId="486"/>
    <cellStyle name="Migliaia 16 3 2" xfId="487"/>
    <cellStyle name="Migliaia 16 3 2 2" xfId="3670"/>
    <cellStyle name="Migliaia 16 3 2 3" xfId="3671"/>
    <cellStyle name="Migliaia 16 3 3" xfId="488"/>
    <cellStyle name="Migliaia 16 3 3 2" xfId="2260"/>
    <cellStyle name="Migliaia 16 3 4" xfId="2261"/>
    <cellStyle name="Migliaia 16 4" xfId="489"/>
    <cellStyle name="Migliaia 16 4 2" xfId="2262"/>
    <cellStyle name="Migliaia 16 4 2 2" xfId="2263"/>
    <cellStyle name="Migliaia 16 4 2 3" xfId="3672"/>
    <cellStyle name="Migliaia 16 4 3" xfId="2264"/>
    <cellStyle name="Migliaia 16 5" xfId="490"/>
    <cellStyle name="Migliaia 17" xfId="491"/>
    <cellStyle name="Migliaia 17 2" xfId="492"/>
    <cellStyle name="Migliaia 17 2 2" xfId="2265"/>
    <cellStyle name="Migliaia 17 2 2 2" xfId="3673"/>
    <cellStyle name="Migliaia 17 3" xfId="493"/>
    <cellStyle name="Migliaia 17 3 2" xfId="494"/>
    <cellStyle name="Migliaia 17 3 2 2" xfId="3674"/>
    <cellStyle name="Migliaia 17 3 2 3" xfId="3675"/>
    <cellStyle name="Migliaia 17 3 3" xfId="495"/>
    <cellStyle name="Migliaia 17 3 3 2" xfId="2266"/>
    <cellStyle name="Migliaia 17 3 4" xfId="2267"/>
    <cellStyle name="Migliaia 17 4" xfId="496"/>
    <cellStyle name="Migliaia 17 4 2" xfId="2268"/>
    <cellStyle name="Migliaia 17 4 2 2" xfId="2269"/>
    <cellStyle name="Migliaia 17 4 2 3" xfId="3676"/>
    <cellStyle name="Migliaia 17 4 3" xfId="2270"/>
    <cellStyle name="Migliaia 17 5" xfId="497"/>
    <cellStyle name="Migliaia 18" xfId="498"/>
    <cellStyle name="Migliaia 18 2" xfId="499"/>
    <cellStyle name="Migliaia 18 2 2" xfId="2271"/>
    <cellStyle name="Migliaia 18 2 2 2" xfId="3677"/>
    <cellStyle name="Migliaia 18 3" xfId="500"/>
    <cellStyle name="Migliaia 18 3 2" xfId="501"/>
    <cellStyle name="Migliaia 18 3 2 2" xfId="3678"/>
    <cellStyle name="Migliaia 18 3 2 3" xfId="3679"/>
    <cellStyle name="Migliaia 18 3 3" xfId="502"/>
    <cellStyle name="Migliaia 18 3 3 2" xfId="2272"/>
    <cellStyle name="Migliaia 18 3 4" xfId="2273"/>
    <cellStyle name="Migliaia 18 4" xfId="503"/>
    <cellStyle name="Migliaia 18 4 2" xfId="2274"/>
    <cellStyle name="Migliaia 18 4 2 2" xfId="2275"/>
    <cellStyle name="Migliaia 18 4 2 3" xfId="3680"/>
    <cellStyle name="Migliaia 18 4 3" xfId="2276"/>
    <cellStyle name="Migliaia 18 5" xfId="504"/>
    <cellStyle name="Migliaia 19" xfId="505"/>
    <cellStyle name="Migliaia 19 2" xfId="506"/>
    <cellStyle name="Migliaia 19 2 2" xfId="2277"/>
    <cellStyle name="Migliaia 19 2 2 2" xfId="3681"/>
    <cellStyle name="Migliaia 19 3" xfId="507"/>
    <cellStyle name="Migliaia 19 3 2" xfId="508"/>
    <cellStyle name="Migliaia 19 3 2 2" xfId="3682"/>
    <cellStyle name="Migliaia 19 3 2 3" xfId="3683"/>
    <cellStyle name="Migliaia 19 3 3" xfId="509"/>
    <cellStyle name="Migliaia 19 3 3 2" xfId="2278"/>
    <cellStyle name="Migliaia 19 3 4" xfId="2279"/>
    <cellStyle name="Migliaia 19 4" xfId="510"/>
    <cellStyle name="Migliaia 19 4 2" xfId="2280"/>
    <cellStyle name="Migliaia 19 4 2 2" xfId="2281"/>
    <cellStyle name="Migliaia 19 4 2 3" xfId="3684"/>
    <cellStyle name="Migliaia 19 4 3" xfId="2282"/>
    <cellStyle name="Migliaia 19 5" xfId="511"/>
    <cellStyle name="Migliaia 2" xfId="512"/>
    <cellStyle name="Migliaia 2 2" xfId="513"/>
    <cellStyle name="Migliaia 2 2 2" xfId="2283"/>
    <cellStyle name="Migliaia 2 2 2 2" xfId="3685"/>
    <cellStyle name="Migliaia 2 2 3" xfId="3686"/>
    <cellStyle name="Migliaia 2 3" xfId="514"/>
    <cellStyle name="Migliaia 2 3 2" xfId="2284"/>
    <cellStyle name="Migliaia 2 3 2 2" xfId="3687"/>
    <cellStyle name="Migliaia 2 3 3" xfId="3688"/>
    <cellStyle name="Migliaia 2 4" xfId="515"/>
    <cellStyle name="Migliaia 2 4 2" xfId="516"/>
    <cellStyle name="Migliaia 2 4 2 2" xfId="3689"/>
    <cellStyle name="Migliaia 2 4 2 3" xfId="3690"/>
    <cellStyle name="Migliaia 2 4 3" xfId="517"/>
    <cellStyle name="Migliaia 2 4 3 2" xfId="2285"/>
    <cellStyle name="Migliaia 2 4 4" xfId="2286"/>
    <cellStyle name="Migliaia 2 5" xfId="518"/>
    <cellStyle name="Migliaia 2 5 2" xfId="2287"/>
    <cellStyle name="Migliaia 2 5 2 2" xfId="2288"/>
    <cellStyle name="Migliaia 2 5 2 3" xfId="3691"/>
    <cellStyle name="Migliaia 2 5 3" xfId="2289"/>
    <cellStyle name="Migliaia 2 6" xfId="519"/>
    <cellStyle name="Migliaia 2_Domestico_reg&amp;naz" xfId="520"/>
    <cellStyle name="Migliaia 20" xfId="521"/>
    <cellStyle name="Migliaia 20 2" xfId="522"/>
    <cellStyle name="Migliaia 20 2 2" xfId="2290"/>
    <cellStyle name="Migliaia 20 2 2 2" xfId="3692"/>
    <cellStyle name="Migliaia 20 3" xfId="523"/>
    <cellStyle name="Migliaia 20 3 2" xfId="524"/>
    <cellStyle name="Migliaia 20 3 2 2" xfId="3693"/>
    <cellStyle name="Migliaia 20 3 2 3" xfId="3694"/>
    <cellStyle name="Migliaia 20 3 3" xfId="525"/>
    <cellStyle name="Migliaia 20 3 3 2" xfId="2291"/>
    <cellStyle name="Migliaia 20 3 4" xfId="2292"/>
    <cellStyle name="Migliaia 20 4" xfId="526"/>
    <cellStyle name="Migliaia 20 4 2" xfId="2293"/>
    <cellStyle name="Migliaia 20 4 2 2" xfId="2294"/>
    <cellStyle name="Migliaia 20 4 2 3" xfId="3695"/>
    <cellStyle name="Migliaia 20 4 3" xfId="2295"/>
    <cellStyle name="Migliaia 20 5" xfId="527"/>
    <cellStyle name="Migliaia 21" xfId="528"/>
    <cellStyle name="Migliaia 21 2" xfId="529"/>
    <cellStyle name="Migliaia 21 2 2" xfId="2296"/>
    <cellStyle name="Migliaia 21 2 2 2" xfId="3696"/>
    <cellStyle name="Migliaia 21 3" xfId="530"/>
    <cellStyle name="Migliaia 21 3 2" xfId="531"/>
    <cellStyle name="Migliaia 21 3 2 2" xfId="3697"/>
    <cellStyle name="Migliaia 21 3 2 3" xfId="3698"/>
    <cellStyle name="Migliaia 21 3 3" xfId="532"/>
    <cellStyle name="Migliaia 21 3 3 2" xfId="2297"/>
    <cellStyle name="Migliaia 21 3 4" xfId="2298"/>
    <cellStyle name="Migliaia 21 4" xfId="533"/>
    <cellStyle name="Migliaia 21 4 2" xfId="2299"/>
    <cellStyle name="Migliaia 21 4 2 2" xfId="2300"/>
    <cellStyle name="Migliaia 21 4 2 3" xfId="3699"/>
    <cellStyle name="Migliaia 21 4 3" xfId="2301"/>
    <cellStyle name="Migliaia 21 5" xfId="534"/>
    <cellStyle name="Migliaia 22" xfId="535"/>
    <cellStyle name="Migliaia 22 2" xfId="536"/>
    <cellStyle name="Migliaia 22 2 2" xfId="2302"/>
    <cellStyle name="Migliaia 22 2 2 2" xfId="3700"/>
    <cellStyle name="Migliaia 22 3" xfId="537"/>
    <cellStyle name="Migliaia 22 3 2" xfId="538"/>
    <cellStyle name="Migliaia 22 3 2 2" xfId="3701"/>
    <cellStyle name="Migliaia 22 3 2 3" xfId="3702"/>
    <cellStyle name="Migliaia 22 3 3" xfId="539"/>
    <cellStyle name="Migliaia 22 3 3 2" xfId="2303"/>
    <cellStyle name="Migliaia 22 3 4" xfId="2304"/>
    <cellStyle name="Migliaia 22 4" xfId="540"/>
    <cellStyle name="Migliaia 22 4 2" xfId="2305"/>
    <cellStyle name="Migliaia 22 4 2 2" xfId="2306"/>
    <cellStyle name="Migliaia 22 4 2 3" xfId="3703"/>
    <cellStyle name="Migliaia 22 4 3" xfId="2307"/>
    <cellStyle name="Migliaia 22 5" xfId="541"/>
    <cellStyle name="Migliaia 23" xfId="542"/>
    <cellStyle name="Migliaia 23 2" xfId="543"/>
    <cellStyle name="Migliaia 23 2 2" xfId="2308"/>
    <cellStyle name="Migliaia 23 2 2 2" xfId="3704"/>
    <cellStyle name="Migliaia 23 3" xfId="544"/>
    <cellStyle name="Migliaia 23 3 2" xfId="545"/>
    <cellStyle name="Migliaia 23 3 2 2" xfId="3705"/>
    <cellStyle name="Migliaia 23 3 2 3" xfId="3706"/>
    <cellStyle name="Migliaia 23 3 3" xfId="546"/>
    <cellStyle name="Migliaia 23 3 3 2" xfId="2309"/>
    <cellStyle name="Migliaia 23 3 4" xfId="2310"/>
    <cellStyle name="Migliaia 23 4" xfId="547"/>
    <cellStyle name="Migliaia 23 4 2" xfId="2311"/>
    <cellStyle name="Migliaia 23 4 2 2" xfId="2312"/>
    <cellStyle name="Migliaia 23 4 2 3" xfId="3707"/>
    <cellStyle name="Migliaia 23 4 3" xfId="2313"/>
    <cellStyle name="Migliaia 23 5" xfId="548"/>
    <cellStyle name="Migliaia 24" xfId="549"/>
    <cellStyle name="Migliaia 24 2" xfId="550"/>
    <cellStyle name="Migliaia 24 2 2" xfId="2314"/>
    <cellStyle name="Migliaia 24 2 2 2" xfId="3708"/>
    <cellStyle name="Migliaia 24 3" xfId="551"/>
    <cellStyle name="Migliaia 24 3 2" xfId="552"/>
    <cellStyle name="Migliaia 24 3 2 2" xfId="3709"/>
    <cellStyle name="Migliaia 24 3 2 3" xfId="3710"/>
    <cellStyle name="Migliaia 24 3 3" xfId="553"/>
    <cellStyle name="Migliaia 24 3 3 2" xfId="2315"/>
    <cellStyle name="Migliaia 24 3 4" xfId="2316"/>
    <cellStyle name="Migliaia 24 4" xfId="554"/>
    <cellStyle name="Migliaia 24 4 2" xfId="2317"/>
    <cellStyle name="Migliaia 24 4 2 2" xfId="2318"/>
    <cellStyle name="Migliaia 24 4 2 3" xfId="3711"/>
    <cellStyle name="Migliaia 24 4 3" xfId="2319"/>
    <cellStyle name="Migliaia 24 5" xfId="555"/>
    <cellStyle name="Migliaia 25" xfId="556"/>
    <cellStyle name="Migliaia 25 2" xfId="557"/>
    <cellStyle name="Migliaia 25 2 2" xfId="2320"/>
    <cellStyle name="Migliaia 25 2 2 2" xfId="3712"/>
    <cellStyle name="Migliaia 25 3" xfId="558"/>
    <cellStyle name="Migliaia 25 3 2" xfId="559"/>
    <cellStyle name="Migliaia 25 3 2 2" xfId="3713"/>
    <cellStyle name="Migliaia 25 3 2 3" xfId="3714"/>
    <cellStyle name="Migliaia 25 3 3" xfId="560"/>
    <cellStyle name="Migliaia 25 3 3 2" xfId="2321"/>
    <cellStyle name="Migliaia 25 3 4" xfId="2322"/>
    <cellStyle name="Migliaia 25 4" xfId="561"/>
    <cellStyle name="Migliaia 25 4 2" xfId="2323"/>
    <cellStyle name="Migliaia 25 4 2 2" xfId="2324"/>
    <cellStyle name="Migliaia 25 4 2 3" xfId="3715"/>
    <cellStyle name="Migliaia 25 4 3" xfId="2325"/>
    <cellStyle name="Migliaia 25 5" xfId="562"/>
    <cellStyle name="Migliaia 26" xfId="563"/>
    <cellStyle name="Migliaia 26 2" xfId="564"/>
    <cellStyle name="Migliaia 26 2 2" xfId="2326"/>
    <cellStyle name="Migliaia 26 2 2 2" xfId="3716"/>
    <cellStyle name="Migliaia 26 3" xfId="565"/>
    <cellStyle name="Migliaia 26 3 2" xfId="566"/>
    <cellStyle name="Migliaia 26 3 2 2" xfId="3717"/>
    <cellStyle name="Migliaia 26 3 2 3" xfId="3718"/>
    <cellStyle name="Migliaia 26 3 3" xfId="567"/>
    <cellStyle name="Migliaia 26 3 3 2" xfId="2327"/>
    <cellStyle name="Migliaia 26 3 4" xfId="2328"/>
    <cellStyle name="Migliaia 26 4" xfId="568"/>
    <cellStyle name="Migliaia 26 4 2" xfId="2329"/>
    <cellStyle name="Migliaia 26 4 2 2" xfId="2330"/>
    <cellStyle name="Migliaia 26 4 2 3" xfId="3719"/>
    <cellStyle name="Migliaia 26 4 3" xfId="2331"/>
    <cellStyle name="Migliaia 26 5" xfId="569"/>
    <cellStyle name="Migliaia 27" xfId="570"/>
    <cellStyle name="Migliaia 27 2" xfId="571"/>
    <cellStyle name="Migliaia 27 2 2" xfId="2332"/>
    <cellStyle name="Migliaia 27 2 2 2" xfId="3720"/>
    <cellStyle name="Migliaia 27 3" xfId="572"/>
    <cellStyle name="Migliaia 27 3 2" xfId="573"/>
    <cellStyle name="Migliaia 27 3 2 2" xfId="3721"/>
    <cellStyle name="Migliaia 27 3 2 3" xfId="3722"/>
    <cellStyle name="Migliaia 27 3 3" xfId="574"/>
    <cellStyle name="Migliaia 27 3 3 2" xfId="2333"/>
    <cellStyle name="Migliaia 27 3 4" xfId="2334"/>
    <cellStyle name="Migliaia 27 4" xfId="575"/>
    <cellStyle name="Migliaia 27 4 2" xfId="2335"/>
    <cellStyle name="Migliaia 27 4 2 2" xfId="2336"/>
    <cellStyle name="Migliaia 27 4 2 3" xfId="3723"/>
    <cellStyle name="Migliaia 27 4 3" xfId="2337"/>
    <cellStyle name="Migliaia 27 5" xfId="576"/>
    <cellStyle name="Migliaia 28" xfId="577"/>
    <cellStyle name="Migliaia 28 2" xfId="578"/>
    <cellStyle name="Migliaia 28 2 2" xfId="2338"/>
    <cellStyle name="Migliaia 28 2 2 2" xfId="3724"/>
    <cellStyle name="Migliaia 28 3" xfId="579"/>
    <cellStyle name="Migliaia 28 3 2" xfId="580"/>
    <cellStyle name="Migliaia 28 3 2 2" xfId="3725"/>
    <cellStyle name="Migliaia 28 3 2 3" xfId="3726"/>
    <cellStyle name="Migliaia 28 3 3" xfId="581"/>
    <cellStyle name="Migliaia 28 3 3 2" xfId="2339"/>
    <cellStyle name="Migliaia 28 3 4" xfId="2340"/>
    <cellStyle name="Migliaia 28 4" xfId="582"/>
    <cellStyle name="Migliaia 28 4 2" xfId="2341"/>
    <cellStyle name="Migliaia 28 4 2 2" xfId="2342"/>
    <cellStyle name="Migliaia 28 4 2 3" xfId="3727"/>
    <cellStyle name="Migliaia 28 4 3" xfId="2343"/>
    <cellStyle name="Migliaia 28 5" xfId="583"/>
    <cellStyle name="Migliaia 29" xfId="584"/>
    <cellStyle name="Migliaia 29 2" xfId="585"/>
    <cellStyle name="Migliaia 29 2 2" xfId="2344"/>
    <cellStyle name="Migliaia 29 2 2 2" xfId="3728"/>
    <cellStyle name="Migliaia 29 3" xfId="586"/>
    <cellStyle name="Migliaia 29 3 2" xfId="587"/>
    <cellStyle name="Migliaia 29 3 2 2" xfId="3729"/>
    <cellStyle name="Migliaia 29 3 2 3" xfId="3730"/>
    <cellStyle name="Migliaia 29 3 3" xfId="588"/>
    <cellStyle name="Migliaia 29 3 3 2" xfId="2345"/>
    <cellStyle name="Migliaia 29 3 4" xfId="2346"/>
    <cellStyle name="Migliaia 29 4" xfId="589"/>
    <cellStyle name="Migliaia 29 4 2" xfId="2347"/>
    <cellStyle name="Migliaia 29 4 2 2" xfId="2348"/>
    <cellStyle name="Migliaia 29 4 2 3" xfId="3731"/>
    <cellStyle name="Migliaia 29 4 3" xfId="2349"/>
    <cellStyle name="Migliaia 29 5" xfId="590"/>
    <cellStyle name="Migliaia 3" xfId="591"/>
    <cellStyle name="Migliaia 3 2" xfId="592"/>
    <cellStyle name="Migliaia 3 2 2" xfId="2350"/>
    <cellStyle name="Migliaia 3 2 2 2" xfId="3732"/>
    <cellStyle name="Migliaia 3 3" xfId="593"/>
    <cellStyle name="Migliaia 3 3 2" xfId="594"/>
    <cellStyle name="Migliaia 3 3 2 2" xfId="3733"/>
    <cellStyle name="Migliaia 3 3 2 3" xfId="3734"/>
    <cellStyle name="Migliaia 3 3 3" xfId="595"/>
    <cellStyle name="Migliaia 3 3 3 2" xfId="2351"/>
    <cellStyle name="Migliaia 3 3 4" xfId="2352"/>
    <cellStyle name="Migliaia 3 4" xfId="596"/>
    <cellStyle name="Migliaia 3 4 2" xfId="2353"/>
    <cellStyle name="Migliaia 3 4 2 2" xfId="2354"/>
    <cellStyle name="Migliaia 3 4 2 3" xfId="3735"/>
    <cellStyle name="Migliaia 3 4 3" xfId="2355"/>
    <cellStyle name="Migliaia 3 5" xfId="597"/>
    <cellStyle name="Migliaia 30" xfId="598"/>
    <cellStyle name="Migliaia 30 2" xfId="599"/>
    <cellStyle name="Migliaia 30 2 2" xfId="2356"/>
    <cellStyle name="Migliaia 30 2 2 2" xfId="3736"/>
    <cellStyle name="Migliaia 30 3" xfId="600"/>
    <cellStyle name="Migliaia 30 3 2" xfId="601"/>
    <cellStyle name="Migliaia 30 3 2 2" xfId="3737"/>
    <cellStyle name="Migliaia 30 3 2 3" xfId="3738"/>
    <cellStyle name="Migliaia 30 3 3" xfId="602"/>
    <cellStyle name="Migliaia 30 3 3 2" xfId="2357"/>
    <cellStyle name="Migliaia 30 3 4" xfId="2358"/>
    <cellStyle name="Migliaia 30 4" xfId="603"/>
    <cellStyle name="Migliaia 30 4 2" xfId="2359"/>
    <cellStyle name="Migliaia 30 4 2 2" xfId="2360"/>
    <cellStyle name="Migliaia 30 4 2 3" xfId="3739"/>
    <cellStyle name="Migliaia 30 4 3" xfId="2361"/>
    <cellStyle name="Migliaia 30 5" xfId="604"/>
    <cellStyle name="Migliaia 31" xfId="605"/>
    <cellStyle name="Migliaia 31 2" xfId="606"/>
    <cellStyle name="Migliaia 31 2 2" xfId="2362"/>
    <cellStyle name="Migliaia 31 2 2 2" xfId="3740"/>
    <cellStyle name="Migliaia 31 3" xfId="607"/>
    <cellStyle name="Migliaia 31 3 2" xfId="608"/>
    <cellStyle name="Migliaia 31 3 2 2" xfId="3741"/>
    <cellStyle name="Migliaia 31 3 2 3" xfId="3742"/>
    <cellStyle name="Migliaia 31 3 3" xfId="609"/>
    <cellStyle name="Migliaia 31 3 3 2" xfId="2363"/>
    <cellStyle name="Migliaia 31 3 4" xfId="2364"/>
    <cellStyle name="Migliaia 31 4" xfId="610"/>
    <cellStyle name="Migliaia 31 4 2" xfId="2365"/>
    <cellStyle name="Migliaia 31 4 2 2" xfId="2366"/>
    <cellStyle name="Migliaia 31 4 2 3" xfId="3743"/>
    <cellStyle name="Migliaia 31 4 3" xfId="2367"/>
    <cellStyle name="Migliaia 31 5" xfId="611"/>
    <cellStyle name="Migliaia 32" xfId="612"/>
    <cellStyle name="Migliaia 32 2" xfId="613"/>
    <cellStyle name="Migliaia 32 2 2" xfId="2368"/>
    <cellStyle name="Migliaia 32 2 2 2" xfId="3744"/>
    <cellStyle name="Migliaia 32 3" xfId="614"/>
    <cellStyle name="Migliaia 32 3 2" xfId="615"/>
    <cellStyle name="Migliaia 32 3 2 2" xfId="3745"/>
    <cellStyle name="Migliaia 32 3 2 3" xfId="3746"/>
    <cellStyle name="Migliaia 32 3 3" xfId="616"/>
    <cellStyle name="Migliaia 32 3 3 2" xfId="2369"/>
    <cellStyle name="Migliaia 32 3 4" xfId="2370"/>
    <cellStyle name="Migliaia 32 4" xfId="617"/>
    <cellStyle name="Migliaia 32 4 2" xfId="2371"/>
    <cellStyle name="Migliaia 32 4 2 2" xfId="2372"/>
    <cellStyle name="Migliaia 32 4 2 3" xfId="3747"/>
    <cellStyle name="Migliaia 32 4 3" xfId="2373"/>
    <cellStyle name="Migliaia 32 5" xfId="618"/>
    <cellStyle name="Migliaia 33" xfId="619"/>
    <cellStyle name="Migliaia 33 2" xfId="620"/>
    <cellStyle name="Migliaia 33 2 2" xfId="2374"/>
    <cellStyle name="Migliaia 33 2 2 2" xfId="3748"/>
    <cellStyle name="Migliaia 33 3" xfId="621"/>
    <cellStyle name="Migliaia 33 3 2" xfId="622"/>
    <cellStyle name="Migliaia 33 3 2 2" xfId="3749"/>
    <cellStyle name="Migliaia 33 3 2 3" xfId="3750"/>
    <cellStyle name="Migliaia 33 3 3" xfId="623"/>
    <cellStyle name="Migliaia 33 3 3 2" xfId="2375"/>
    <cellStyle name="Migliaia 33 3 4" xfId="2376"/>
    <cellStyle name="Migliaia 33 4" xfId="624"/>
    <cellStyle name="Migliaia 33 4 2" xfId="2377"/>
    <cellStyle name="Migliaia 33 4 2 2" xfId="2378"/>
    <cellStyle name="Migliaia 33 4 2 3" xfId="3751"/>
    <cellStyle name="Migliaia 33 4 3" xfId="2379"/>
    <cellStyle name="Migliaia 33 5" xfId="625"/>
    <cellStyle name="Migliaia 34" xfId="626"/>
    <cellStyle name="Migliaia 34 2" xfId="627"/>
    <cellStyle name="Migliaia 34 2 2" xfId="2380"/>
    <cellStyle name="Migliaia 34 2 2 2" xfId="3752"/>
    <cellStyle name="Migliaia 34 3" xfId="628"/>
    <cellStyle name="Migliaia 34 3 2" xfId="629"/>
    <cellStyle name="Migliaia 34 3 2 2" xfId="3753"/>
    <cellStyle name="Migliaia 34 3 2 3" xfId="3754"/>
    <cellStyle name="Migliaia 34 3 3" xfId="630"/>
    <cellStyle name="Migliaia 34 3 3 2" xfId="2381"/>
    <cellStyle name="Migliaia 34 3 4" xfId="2382"/>
    <cellStyle name="Migliaia 34 4" xfId="631"/>
    <cellStyle name="Migliaia 34 4 2" xfId="2383"/>
    <cellStyle name="Migliaia 34 4 2 2" xfId="2384"/>
    <cellStyle name="Migliaia 34 4 2 3" xfId="3755"/>
    <cellStyle name="Migliaia 34 4 3" xfId="2385"/>
    <cellStyle name="Migliaia 34 5" xfId="632"/>
    <cellStyle name="Migliaia 35" xfId="633"/>
    <cellStyle name="Migliaia 35 2" xfId="634"/>
    <cellStyle name="Migliaia 35 2 2" xfId="2386"/>
    <cellStyle name="Migliaia 35 2 2 2" xfId="3756"/>
    <cellStyle name="Migliaia 35 3" xfId="635"/>
    <cellStyle name="Migliaia 35 3 2" xfId="636"/>
    <cellStyle name="Migliaia 35 3 2 2" xfId="3757"/>
    <cellStyle name="Migliaia 35 3 2 3" xfId="3758"/>
    <cellStyle name="Migliaia 35 3 3" xfId="637"/>
    <cellStyle name="Migliaia 35 3 3 2" xfId="2387"/>
    <cellStyle name="Migliaia 35 3 4" xfId="2388"/>
    <cellStyle name="Migliaia 35 4" xfId="638"/>
    <cellStyle name="Migliaia 35 4 2" xfId="2389"/>
    <cellStyle name="Migliaia 35 4 2 2" xfId="2390"/>
    <cellStyle name="Migliaia 35 4 2 3" xfId="3759"/>
    <cellStyle name="Migliaia 35 4 3" xfId="2391"/>
    <cellStyle name="Migliaia 35 5" xfId="639"/>
    <cellStyle name="Migliaia 36" xfId="640"/>
    <cellStyle name="Migliaia 36 2" xfId="641"/>
    <cellStyle name="Migliaia 36 2 2" xfId="2392"/>
    <cellStyle name="Migliaia 36 2 2 2" xfId="3760"/>
    <cellStyle name="Migliaia 36 3" xfId="642"/>
    <cellStyle name="Migliaia 36 3 2" xfId="643"/>
    <cellStyle name="Migliaia 36 3 2 2" xfId="3761"/>
    <cellStyle name="Migliaia 36 3 2 3" xfId="3762"/>
    <cellStyle name="Migliaia 36 3 3" xfId="644"/>
    <cellStyle name="Migliaia 36 3 3 2" xfId="2393"/>
    <cellStyle name="Migliaia 36 3 4" xfId="2394"/>
    <cellStyle name="Migliaia 36 4" xfId="645"/>
    <cellStyle name="Migliaia 36 4 2" xfId="2395"/>
    <cellStyle name="Migliaia 36 4 2 2" xfId="2396"/>
    <cellStyle name="Migliaia 36 4 2 3" xfId="3763"/>
    <cellStyle name="Migliaia 36 4 3" xfId="2397"/>
    <cellStyle name="Migliaia 36 5" xfId="646"/>
    <cellStyle name="Migliaia 37" xfId="647"/>
    <cellStyle name="Migliaia 37 2" xfId="648"/>
    <cellStyle name="Migliaia 37 2 2" xfId="2398"/>
    <cellStyle name="Migliaia 37 2 2 2" xfId="3764"/>
    <cellStyle name="Migliaia 37 3" xfId="649"/>
    <cellStyle name="Migliaia 37 3 2" xfId="650"/>
    <cellStyle name="Migliaia 37 3 2 2" xfId="3765"/>
    <cellStyle name="Migliaia 37 3 2 3" xfId="3766"/>
    <cellStyle name="Migliaia 37 3 3" xfId="651"/>
    <cellStyle name="Migliaia 37 3 3 2" xfId="2399"/>
    <cellStyle name="Migliaia 37 3 4" xfId="2400"/>
    <cellStyle name="Migliaia 37 4" xfId="652"/>
    <cellStyle name="Migliaia 37 4 2" xfId="2401"/>
    <cellStyle name="Migliaia 37 4 2 2" xfId="2402"/>
    <cellStyle name="Migliaia 37 4 2 3" xfId="3767"/>
    <cellStyle name="Migliaia 37 4 3" xfId="2403"/>
    <cellStyle name="Migliaia 37 5" xfId="653"/>
    <cellStyle name="Migliaia 38" xfId="654"/>
    <cellStyle name="Migliaia 38 2" xfId="655"/>
    <cellStyle name="Migliaia 38 2 2" xfId="2404"/>
    <cellStyle name="Migliaia 38 2 2 2" xfId="3768"/>
    <cellStyle name="Migliaia 38 3" xfId="656"/>
    <cellStyle name="Migliaia 38 3 2" xfId="657"/>
    <cellStyle name="Migliaia 38 3 2 2" xfId="3769"/>
    <cellStyle name="Migliaia 38 3 2 3" xfId="3770"/>
    <cellStyle name="Migliaia 38 3 3" xfId="658"/>
    <cellStyle name="Migliaia 38 3 3 2" xfId="2405"/>
    <cellStyle name="Migliaia 38 3 4" xfId="2406"/>
    <cellStyle name="Migliaia 38 4" xfId="659"/>
    <cellStyle name="Migliaia 38 4 2" xfId="2407"/>
    <cellStyle name="Migliaia 38 4 2 2" xfId="2408"/>
    <cellStyle name="Migliaia 38 4 2 3" xfId="3771"/>
    <cellStyle name="Migliaia 38 4 3" xfId="2409"/>
    <cellStyle name="Migliaia 38 5" xfId="660"/>
    <cellStyle name="Migliaia 39" xfId="661"/>
    <cellStyle name="Migliaia 39 2" xfId="662"/>
    <cellStyle name="Migliaia 39 2 2" xfId="2410"/>
    <cellStyle name="Migliaia 39 2 2 2" xfId="3772"/>
    <cellStyle name="Migliaia 39 3" xfId="663"/>
    <cellStyle name="Migliaia 39 3 2" xfId="664"/>
    <cellStyle name="Migliaia 39 3 2 2" xfId="3773"/>
    <cellStyle name="Migliaia 39 3 2 3" xfId="3774"/>
    <cellStyle name="Migliaia 39 3 3" xfId="665"/>
    <cellStyle name="Migliaia 39 3 3 2" xfId="2411"/>
    <cellStyle name="Migliaia 39 3 4" xfId="2412"/>
    <cellStyle name="Migliaia 39 4" xfId="666"/>
    <cellStyle name="Migliaia 39 4 2" xfId="2413"/>
    <cellStyle name="Migliaia 39 4 2 2" xfId="2414"/>
    <cellStyle name="Migliaia 39 4 2 3" xfId="3775"/>
    <cellStyle name="Migliaia 39 4 3" xfId="2415"/>
    <cellStyle name="Migliaia 39 5" xfId="667"/>
    <cellStyle name="Migliaia 4" xfId="668"/>
    <cellStyle name="Migliaia 4 2" xfId="669"/>
    <cellStyle name="Migliaia 4 2 2" xfId="2416"/>
    <cellStyle name="Migliaia 4 2 2 2" xfId="3776"/>
    <cellStyle name="Migliaia 4 3" xfId="670"/>
    <cellStyle name="Migliaia 4 3 2" xfId="671"/>
    <cellStyle name="Migliaia 4 3 2 2" xfId="3777"/>
    <cellStyle name="Migliaia 4 3 2 3" xfId="3778"/>
    <cellStyle name="Migliaia 4 3 3" xfId="672"/>
    <cellStyle name="Migliaia 4 3 3 2" xfId="2417"/>
    <cellStyle name="Migliaia 4 3 4" xfId="2418"/>
    <cellStyle name="Migliaia 4 4" xfId="673"/>
    <cellStyle name="Migliaia 4 4 2" xfId="2419"/>
    <cellStyle name="Migliaia 4 4 2 2" xfId="2420"/>
    <cellStyle name="Migliaia 4 4 2 3" xfId="3779"/>
    <cellStyle name="Migliaia 4 4 3" xfId="2421"/>
    <cellStyle name="Migliaia 4 5" xfId="674"/>
    <cellStyle name="Migliaia 40" xfId="675"/>
    <cellStyle name="Migliaia 40 2" xfId="676"/>
    <cellStyle name="Migliaia 40 2 2" xfId="2422"/>
    <cellStyle name="Migliaia 40 2 2 2" xfId="3780"/>
    <cellStyle name="Migliaia 40 3" xfId="677"/>
    <cellStyle name="Migliaia 40 3 2" xfId="678"/>
    <cellStyle name="Migliaia 40 3 2 2" xfId="3781"/>
    <cellStyle name="Migliaia 40 3 2 3" xfId="3782"/>
    <cellStyle name="Migliaia 40 3 3" xfId="679"/>
    <cellStyle name="Migliaia 40 3 3 2" xfId="2423"/>
    <cellStyle name="Migliaia 40 3 4" xfId="2424"/>
    <cellStyle name="Migliaia 40 4" xfId="680"/>
    <cellStyle name="Migliaia 40 4 2" xfId="2425"/>
    <cellStyle name="Migliaia 40 4 2 2" xfId="2426"/>
    <cellStyle name="Migliaia 40 4 2 3" xfId="3783"/>
    <cellStyle name="Migliaia 40 4 3" xfId="2427"/>
    <cellStyle name="Migliaia 40 5" xfId="681"/>
    <cellStyle name="Migliaia 41" xfId="682"/>
    <cellStyle name="Migliaia 41 2" xfId="683"/>
    <cellStyle name="Migliaia 41 2 2" xfId="2428"/>
    <cellStyle name="Migliaia 41 2 2 2" xfId="3784"/>
    <cellStyle name="Migliaia 41 3" xfId="684"/>
    <cellStyle name="Migliaia 41 3 2" xfId="685"/>
    <cellStyle name="Migliaia 41 3 2 2" xfId="3785"/>
    <cellStyle name="Migliaia 41 3 2 3" xfId="3786"/>
    <cellStyle name="Migliaia 41 3 3" xfId="686"/>
    <cellStyle name="Migliaia 41 3 3 2" xfId="2429"/>
    <cellStyle name="Migliaia 41 3 4" xfId="2430"/>
    <cellStyle name="Migliaia 41 4" xfId="687"/>
    <cellStyle name="Migliaia 41 4 2" xfId="2431"/>
    <cellStyle name="Migliaia 41 4 2 2" xfId="2432"/>
    <cellStyle name="Migliaia 41 4 2 3" xfId="3787"/>
    <cellStyle name="Migliaia 41 4 3" xfId="2433"/>
    <cellStyle name="Migliaia 41 5" xfId="688"/>
    <cellStyle name="Migliaia 42" xfId="689"/>
    <cellStyle name="Migliaia 42 2" xfId="690"/>
    <cellStyle name="Migliaia 42 2 2" xfId="2434"/>
    <cellStyle name="Migliaia 42 2 2 2" xfId="3788"/>
    <cellStyle name="Migliaia 42 3" xfId="691"/>
    <cellStyle name="Migliaia 42 3 2" xfId="692"/>
    <cellStyle name="Migliaia 42 3 2 2" xfId="3789"/>
    <cellStyle name="Migliaia 42 3 2 3" xfId="3790"/>
    <cellStyle name="Migliaia 42 3 3" xfId="693"/>
    <cellStyle name="Migliaia 42 3 3 2" xfId="2435"/>
    <cellStyle name="Migliaia 42 3 4" xfId="2436"/>
    <cellStyle name="Migliaia 42 4" xfId="694"/>
    <cellStyle name="Migliaia 42 4 2" xfId="2437"/>
    <cellStyle name="Migliaia 42 4 2 2" xfId="2438"/>
    <cellStyle name="Migliaia 42 4 2 3" xfId="3791"/>
    <cellStyle name="Migliaia 42 4 3" xfId="2439"/>
    <cellStyle name="Migliaia 42 5" xfId="695"/>
    <cellStyle name="Migliaia 43" xfId="696"/>
    <cellStyle name="Migliaia 43 2" xfId="697"/>
    <cellStyle name="Migliaia 43 2 2" xfId="2440"/>
    <cellStyle name="Migliaia 43 2 2 2" xfId="3792"/>
    <cellStyle name="Migliaia 43 3" xfId="698"/>
    <cellStyle name="Migliaia 43 3 2" xfId="699"/>
    <cellStyle name="Migliaia 43 3 2 2" xfId="3793"/>
    <cellStyle name="Migliaia 43 3 2 3" xfId="3794"/>
    <cellStyle name="Migliaia 43 3 3" xfId="700"/>
    <cellStyle name="Migliaia 43 3 3 2" xfId="2441"/>
    <cellStyle name="Migliaia 43 3 4" xfId="2442"/>
    <cellStyle name="Migliaia 43 4" xfId="701"/>
    <cellStyle name="Migliaia 43 4 2" xfId="2443"/>
    <cellStyle name="Migliaia 43 4 2 2" xfId="2444"/>
    <cellStyle name="Migliaia 43 4 2 3" xfId="3795"/>
    <cellStyle name="Migliaia 43 4 3" xfId="2445"/>
    <cellStyle name="Migliaia 43 5" xfId="702"/>
    <cellStyle name="Migliaia 44" xfId="703"/>
    <cellStyle name="Migliaia 44 2" xfId="704"/>
    <cellStyle name="Migliaia 44 2 2" xfId="2446"/>
    <cellStyle name="Migliaia 44 2 2 2" xfId="3796"/>
    <cellStyle name="Migliaia 44 3" xfId="705"/>
    <cellStyle name="Migliaia 44 3 2" xfId="706"/>
    <cellStyle name="Migliaia 44 3 2 2" xfId="3797"/>
    <cellStyle name="Migliaia 44 3 2 3" xfId="3798"/>
    <cellStyle name="Migliaia 44 3 3" xfId="707"/>
    <cellStyle name="Migliaia 44 3 3 2" xfId="2447"/>
    <cellStyle name="Migliaia 44 3 4" xfId="2448"/>
    <cellStyle name="Migliaia 44 4" xfId="708"/>
    <cellStyle name="Migliaia 44 4 2" xfId="2449"/>
    <cellStyle name="Migliaia 44 4 2 2" xfId="2450"/>
    <cellStyle name="Migliaia 44 4 2 3" xfId="3799"/>
    <cellStyle name="Migliaia 44 4 3" xfId="2451"/>
    <cellStyle name="Migliaia 44 5" xfId="709"/>
    <cellStyle name="Migliaia 45" xfId="710"/>
    <cellStyle name="Migliaia 45 2" xfId="711"/>
    <cellStyle name="Migliaia 45 2 2" xfId="2452"/>
    <cellStyle name="Migliaia 45 2 2 2" xfId="3800"/>
    <cellStyle name="Migliaia 45 3" xfId="712"/>
    <cellStyle name="Migliaia 45 3 2" xfId="713"/>
    <cellStyle name="Migliaia 45 3 2 2" xfId="3801"/>
    <cellStyle name="Migliaia 45 3 2 3" xfId="3802"/>
    <cellStyle name="Migliaia 45 3 3" xfId="714"/>
    <cellStyle name="Migliaia 45 3 3 2" xfId="2453"/>
    <cellStyle name="Migliaia 45 3 4" xfId="2454"/>
    <cellStyle name="Migliaia 45 4" xfId="715"/>
    <cellStyle name="Migliaia 45 4 2" xfId="2455"/>
    <cellStyle name="Migliaia 45 4 2 2" xfId="2456"/>
    <cellStyle name="Migliaia 45 4 2 3" xfId="3803"/>
    <cellStyle name="Migliaia 45 4 3" xfId="2457"/>
    <cellStyle name="Migliaia 45 5" xfId="716"/>
    <cellStyle name="Migliaia 46" xfId="717"/>
    <cellStyle name="Migliaia 46 2" xfId="718"/>
    <cellStyle name="Migliaia 46 2 2" xfId="2458"/>
    <cellStyle name="Migliaia 46 2 2 2" xfId="3804"/>
    <cellStyle name="Migliaia 46 3" xfId="719"/>
    <cellStyle name="Migliaia 46 3 2" xfId="720"/>
    <cellStyle name="Migliaia 46 3 2 2" xfId="3805"/>
    <cellStyle name="Migliaia 46 3 2 3" xfId="3806"/>
    <cellStyle name="Migliaia 46 3 3" xfId="721"/>
    <cellStyle name="Migliaia 46 3 3 2" xfId="2459"/>
    <cellStyle name="Migliaia 46 3 4" xfId="2460"/>
    <cellStyle name="Migliaia 46 4" xfId="722"/>
    <cellStyle name="Migliaia 46 4 2" xfId="2461"/>
    <cellStyle name="Migliaia 46 4 2 2" xfId="2462"/>
    <cellStyle name="Migliaia 46 4 2 3" xfId="3807"/>
    <cellStyle name="Migliaia 46 4 3" xfId="2463"/>
    <cellStyle name="Migliaia 46 5" xfId="723"/>
    <cellStyle name="Migliaia 47" xfId="724"/>
    <cellStyle name="Migliaia 47 2" xfId="725"/>
    <cellStyle name="Migliaia 47 2 2" xfId="2464"/>
    <cellStyle name="Migliaia 47 2 2 2" xfId="3808"/>
    <cellStyle name="Migliaia 47 3" xfId="726"/>
    <cellStyle name="Migliaia 47 3 2" xfId="727"/>
    <cellStyle name="Migliaia 47 3 2 2" xfId="3809"/>
    <cellStyle name="Migliaia 47 3 2 3" xfId="3810"/>
    <cellStyle name="Migliaia 47 3 3" xfId="728"/>
    <cellStyle name="Migliaia 47 3 3 2" xfId="2465"/>
    <cellStyle name="Migliaia 47 3 4" xfId="2466"/>
    <cellStyle name="Migliaia 47 4" xfId="729"/>
    <cellStyle name="Migliaia 47 4 2" xfId="2467"/>
    <cellStyle name="Migliaia 47 4 2 2" xfId="2468"/>
    <cellStyle name="Migliaia 47 4 2 3" xfId="3811"/>
    <cellStyle name="Migliaia 47 4 3" xfId="2469"/>
    <cellStyle name="Migliaia 47 5" xfId="730"/>
    <cellStyle name="Migliaia 48" xfId="731"/>
    <cellStyle name="Migliaia 48 2" xfId="732"/>
    <cellStyle name="Migliaia 48 2 2" xfId="2470"/>
    <cellStyle name="Migliaia 48 2 2 2" xfId="3812"/>
    <cellStyle name="Migliaia 48 3" xfId="733"/>
    <cellStyle name="Migliaia 48 3 2" xfId="734"/>
    <cellStyle name="Migliaia 48 3 2 2" xfId="3813"/>
    <cellStyle name="Migliaia 48 3 2 3" xfId="3814"/>
    <cellStyle name="Migliaia 48 3 3" xfId="735"/>
    <cellStyle name="Migliaia 48 3 3 2" xfId="2471"/>
    <cellStyle name="Migliaia 48 3 4" xfId="2472"/>
    <cellStyle name="Migliaia 48 4" xfId="736"/>
    <cellStyle name="Migliaia 48 4 2" xfId="2473"/>
    <cellStyle name="Migliaia 48 4 2 2" xfId="2474"/>
    <cellStyle name="Migliaia 48 4 2 3" xfId="3815"/>
    <cellStyle name="Migliaia 48 4 3" xfId="2475"/>
    <cellStyle name="Migliaia 48 5" xfId="737"/>
    <cellStyle name="Migliaia 49" xfId="738"/>
    <cellStyle name="Migliaia 49 2" xfId="739"/>
    <cellStyle name="Migliaia 49 2 2" xfId="2476"/>
    <cellStyle name="Migliaia 49 2 2 2" xfId="3816"/>
    <cellStyle name="Migliaia 49 3" xfId="740"/>
    <cellStyle name="Migliaia 49 3 2" xfId="741"/>
    <cellStyle name="Migliaia 49 3 2 2" xfId="3817"/>
    <cellStyle name="Migliaia 49 3 2 3" xfId="3818"/>
    <cellStyle name="Migliaia 49 3 3" xfId="742"/>
    <cellStyle name="Migliaia 49 3 3 2" xfId="2477"/>
    <cellStyle name="Migliaia 49 3 4" xfId="2478"/>
    <cellStyle name="Migliaia 49 4" xfId="743"/>
    <cellStyle name="Migliaia 49 4 2" xfId="2479"/>
    <cellStyle name="Migliaia 49 4 2 2" xfId="2480"/>
    <cellStyle name="Migliaia 49 4 2 3" xfId="3819"/>
    <cellStyle name="Migliaia 49 4 3" xfId="2481"/>
    <cellStyle name="Migliaia 49 5" xfId="744"/>
    <cellStyle name="Migliaia 5" xfId="745"/>
    <cellStyle name="Migliaia 5 2" xfId="746"/>
    <cellStyle name="Migliaia 5 2 2" xfId="2482"/>
    <cellStyle name="Migliaia 5 2 2 2" xfId="3820"/>
    <cellStyle name="Migliaia 5 3" xfId="747"/>
    <cellStyle name="Migliaia 5 3 2" xfId="748"/>
    <cellStyle name="Migliaia 5 3 2 2" xfId="3821"/>
    <cellStyle name="Migliaia 5 3 2 3" xfId="3822"/>
    <cellStyle name="Migliaia 5 3 3" xfId="749"/>
    <cellStyle name="Migliaia 5 3 3 2" xfId="2483"/>
    <cellStyle name="Migliaia 5 3 4" xfId="2484"/>
    <cellStyle name="Migliaia 5 4" xfId="750"/>
    <cellStyle name="Migliaia 5 4 2" xfId="2485"/>
    <cellStyle name="Migliaia 5 4 2 2" xfId="2486"/>
    <cellStyle name="Migliaia 5 4 2 3" xfId="3823"/>
    <cellStyle name="Migliaia 5 4 3" xfId="2487"/>
    <cellStyle name="Migliaia 5 5" xfId="751"/>
    <cellStyle name="Migliaia 50" xfId="752"/>
    <cellStyle name="Migliaia 50 2" xfId="753"/>
    <cellStyle name="Migliaia 50 2 2" xfId="2488"/>
    <cellStyle name="Migliaia 50 2 2 2" xfId="3824"/>
    <cellStyle name="Migliaia 50 3" xfId="754"/>
    <cellStyle name="Migliaia 50 3 2" xfId="755"/>
    <cellStyle name="Migliaia 50 3 2 2" xfId="3825"/>
    <cellStyle name="Migliaia 50 3 2 3" xfId="3826"/>
    <cellStyle name="Migliaia 50 3 3" xfId="756"/>
    <cellStyle name="Migliaia 50 3 3 2" xfId="2489"/>
    <cellStyle name="Migliaia 50 3 4" xfId="2490"/>
    <cellStyle name="Migliaia 50 4" xfId="757"/>
    <cellStyle name="Migliaia 50 4 2" xfId="2491"/>
    <cellStyle name="Migliaia 50 4 2 2" xfId="2492"/>
    <cellStyle name="Migliaia 50 4 2 3" xfId="3827"/>
    <cellStyle name="Migliaia 50 4 3" xfId="2493"/>
    <cellStyle name="Migliaia 50 5" xfId="758"/>
    <cellStyle name="Migliaia 51" xfId="759"/>
    <cellStyle name="Migliaia 51 2" xfId="760"/>
    <cellStyle name="Migliaia 51 2 2" xfId="2494"/>
    <cellStyle name="Migliaia 51 2 2 2" xfId="3828"/>
    <cellStyle name="Migliaia 51 3" xfId="761"/>
    <cellStyle name="Migliaia 51 3 2" xfId="762"/>
    <cellStyle name="Migliaia 51 3 2 2" xfId="3829"/>
    <cellStyle name="Migliaia 51 3 2 3" xfId="3830"/>
    <cellStyle name="Migliaia 51 3 3" xfId="763"/>
    <cellStyle name="Migliaia 51 3 3 2" xfId="2495"/>
    <cellStyle name="Migliaia 51 3 4" xfId="2496"/>
    <cellStyle name="Migliaia 51 4" xfId="764"/>
    <cellStyle name="Migliaia 51 4 2" xfId="2497"/>
    <cellStyle name="Migliaia 51 4 2 2" xfId="2498"/>
    <cellStyle name="Migliaia 51 4 2 3" xfId="3831"/>
    <cellStyle name="Migliaia 51 4 3" xfId="2499"/>
    <cellStyle name="Migliaia 51 5" xfId="765"/>
    <cellStyle name="Migliaia 52" xfId="766"/>
    <cellStyle name="Migliaia 52 2" xfId="767"/>
    <cellStyle name="Migliaia 52 2 2" xfId="2500"/>
    <cellStyle name="Migliaia 52 2 2 2" xfId="3832"/>
    <cellStyle name="Migliaia 52 3" xfId="768"/>
    <cellStyle name="Migliaia 52 3 2" xfId="769"/>
    <cellStyle name="Migliaia 52 3 2 2" xfId="3833"/>
    <cellStyle name="Migliaia 52 3 2 3" xfId="3834"/>
    <cellStyle name="Migliaia 52 3 3" xfId="770"/>
    <cellStyle name="Migliaia 52 3 3 2" xfId="2501"/>
    <cellStyle name="Migliaia 52 3 4" xfId="2502"/>
    <cellStyle name="Migliaia 52 4" xfId="771"/>
    <cellStyle name="Migliaia 52 4 2" xfId="2503"/>
    <cellStyle name="Migliaia 52 4 2 2" xfId="2504"/>
    <cellStyle name="Migliaia 52 4 2 3" xfId="3835"/>
    <cellStyle name="Migliaia 52 4 3" xfId="2505"/>
    <cellStyle name="Migliaia 52 5" xfId="772"/>
    <cellStyle name="Migliaia 53" xfId="773"/>
    <cellStyle name="Migliaia 53 2" xfId="774"/>
    <cellStyle name="Migliaia 53 2 2" xfId="2506"/>
    <cellStyle name="Migliaia 53 2 2 2" xfId="3836"/>
    <cellStyle name="Migliaia 53 3" xfId="775"/>
    <cellStyle name="Migliaia 53 3 2" xfId="776"/>
    <cellStyle name="Migliaia 53 3 2 2" xfId="3837"/>
    <cellStyle name="Migliaia 53 3 2 3" xfId="3838"/>
    <cellStyle name="Migliaia 53 3 3" xfId="777"/>
    <cellStyle name="Migliaia 53 3 3 2" xfId="2507"/>
    <cellStyle name="Migliaia 53 3 4" xfId="2508"/>
    <cellStyle name="Migliaia 53 4" xfId="778"/>
    <cellStyle name="Migliaia 53 4 2" xfId="2509"/>
    <cellStyle name="Migliaia 53 4 2 2" xfId="2510"/>
    <cellStyle name="Migliaia 53 4 2 3" xfId="3839"/>
    <cellStyle name="Migliaia 53 4 3" xfId="2511"/>
    <cellStyle name="Migliaia 53 5" xfId="779"/>
    <cellStyle name="Migliaia 54" xfId="780"/>
    <cellStyle name="Migliaia 54 2" xfId="781"/>
    <cellStyle name="Migliaia 54 2 2" xfId="2512"/>
    <cellStyle name="Migliaia 54 2 2 2" xfId="3840"/>
    <cellStyle name="Migliaia 54 3" xfId="782"/>
    <cellStyle name="Migliaia 54 3 2" xfId="783"/>
    <cellStyle name="Migliaia 54 3 2 2" xfId="3841"/>
    <cellStyle name="Migliaia 54 3 2 3" xfId="3842"/>
    <cellStyle name="Migliaia 54 3 3" xfId="784"/>
    <cellStyle name="Migliaia 54 3 3 2" xfId="2513"/>
    <cellStyle name="Migliaia 54 3 4" xfId="2514"/>
    <cellStyle name="Migliaia 54 4" xfId="785"/>
    <cellStyle name="Migliaia 54 4 2" xfId="2515"/>
    <cellStyle name="Migliaia 54 4 2 2" xfId="2516"/>
    <cellStyle name="Migliaia 54 4 2 3" xfId="3843"/>
    <cellStyle name="Migliaia 54 4 3" xfId="2517"/>
    <cellStyle name="Migliaia 54 5" xfId="786"/>
    <cellStyle name="Migliaia 55" xfId="787"/>
    <cellStyle name="Migliaia 55 2" xfId="788"/>
    <cellStyle name="Migliaia 55 2 2" xfId="2518"/>
    <cellStyle name="Migliaia 55 2 2 2" xfId="3844"/>
    <cellStyle name="Migliaia 55 3" xfId="789"/>
    <cellStyle name="Migliaia 55 3 2" xfId="790"/>
    <cellStyle name="Migliaia 55 3 2 2" xfId="3845"/>
    <cellStyle name="Migliaia 55 3 2 3" xfId="3846"/>
    <cellStyle name="Migliaia 55 3 3" xfId="791"/>
    <cellStyle name="Migliaia 55 3 3 2" xfId="2519"/>
    <cellStyle name="Migliaia 55 3 4" xfId="2520"/>
    <cellStyle name="Migliaia 55 4" xfId="792"/>
    <cellStyle name="Migliaia 55 4 2" xfId="2521"/>
    <cellStyle name="Migliaia 55 4 2 2" xfId="2522"/>
    <cellStyle name="Migliaia 55 4 2 3" xfId="3847"/>
    <cellStyle name="Migliaia 55 4 3" xfId="2523"/>
    <cellStyle name="Migliaia 55 5" xfId="793"/>
    <cellStyle name="Migliaia 56" xfId="794"/>
    <cellStyle name="Migliaia 56 2" xfId="795"/>
    <cellStyle name="Migliaia 56 2 2" xfId="2524"/>
    <cellStyle name="Migliaia 56 2 2 2" xfId="3848"/>
    <cellStyle name="Migliaia 56 3" xfId="796"/>
    <cellStyle name="Migliaia 56 3 2" xfId="797"/>
    <cellStyle name="Migliaia 56 3 2 2" xfId="3849"/>
    <cellStyle name="Migliaia 56 3 2 3" xfId="3850"/>
    <cellStyle name="Migliaia 56 3 3" xfId="798"/>
    <cellStyle name="Migliaia 56 3 3 2" xfId="2525"/>
    <cellStyle name="Migliaia 56 3 4" xfId="2526"/>
    <cellStyle name="Migliaia 56 4" xfId="799"/>
    <cellStyle name="Migliaia 56 4 2" xfId="2527"/>
    <cellStyle name="Migliaia 56 4 2 2" xfId="2528"/>
    <cellStyle name="Migliaia 56 4 2 3" xfId="3851"/>
    <cellStyle name="Migliaia 56 4 3" xfId="2529"/>
    <cellStyle name="Migliaia 56 5" xfId="800"/>
    <cellStyle name="Migliaia 57" xfId="801"/>
    <cellStyle name="Migliaia 57 2" xfId="802"/>
    <cellStyle name="Migliaia 57 2 2" xfId="2530"/>
    <cellStyle name="Migliaia 57 2 2 2" xfId="3852"/>
    <cellStyle name="Migliaia 57 3" xfId="803"/>
    <cellStyle name="Migliaia 57 3 2" xfId="804"/>
    <cellStyle name="Migliaia 57 3 2 2" xfId="3853"/>
    <cellStyle name="Migliaia 57 3 2 3" xfId="3854"/>
    <cellStyle name="Migliaia 57 3 3" xfId="805"/>
    <cellStyle name="Migliaia 57 3 3 2" xfId="2531"/>
    <cellStyle name="Migliaia 57 3 4" xfId="2532"/>
    <cellStyle name="Migliaia 57 4" xfId="806"/>
    <cellStyle name="Migliaia 57 4 2" xfId="2533"/>
    <cellStyle name="Migliaia 57 4 2 2" xfId="2534"/>
    <cellStyle name="Migliaia 57 4 2 3" xfId="3855"/>
    <cellStyle name="Migliaia 57 4 3" xfId="2535"/>
    <cellStyle name="Migliaia 57 5" xfId="807"/>
    <cellStyle name="Migliaia 58" xfId="808"/>
    <cellStyle name="Migliaia 58 2" xfId="809"/>
    <cellStyle name="Migliaia 58 2 2" xfId="2536"/>
    <cellStyle name="Migliaia 58 2 2 2" xfId="3856"/>
    <cellStyle name="Migliaia 58 3" xfId="810"/>
    <cellStyle name="Migliaia 58 3 2" xfId="811"/>
    <cellStyle name="Migliaia 58 3 2 2" xfId="3857"/>
    <cellStyle name="Migliaia 58 3 2 3" xfId="3858"/>
    <cellStyle name="Migliaia 58 3 3" xfId="812"/>
    <cellStyle name="Migliaia 58 3 3 2" xfId="2537"/>
    <cellStyle name="Migliaia 58 3 4" xfId="2538"/>
    <cellStyle name="Migliaia 58 4" xfId="813"/>
    <cellStyle name="Migliaia 58 4 2" xfId="2539"/>
    <cellStyle name="Migliaia 58 4 2 2" xfId="2540"/>
    <cellStyle name="Migliaia 58 4 2 3" xfId="3859"/>
    <cellStyle name="Migliaia 58 4 3" xfId="2541"/>
    <cellStyle name="Migliaia 58 5" xfId="814"/>
    <cellStyle name="Migliaia 59" xfId="815"/>
    <cellStyle name="Migliaia 59 2" xfId="816"/>
    <cellStyle name="Migliaia 59 2 2" xfId="2542"/>
    <cellStyle name="Migliaia 59 2 2 2" xfId="3860"/>
    <cellStyle name="Migliaia 59 3" xfId="817"/>
    <cellStyle name="Migliaia 59 3 2" xfId="818"/>
    <cellStyle name="Migliaia 59 3 2 2" xfId="3861"/>
    <cellStyle name="Migliaia 59 3 2 3" xfId="3862"/>
    <cellStyle name="Migliaia 59 3 3" xfId="819"/>
    <cellStyle name="Migliaia 59 3 3 2" xfId="2543"/>
    <cellStyle name="Migliaia 59 3 4" xfId="2544"/>
    <cellStyle name="Migliaia 59 4" xfId="820"/>
    <cellStyle name="Migliaia 59 4 2" xfId="2545"/>
    <cellStyle name="Migliaia 59 4 2 2" xfId="2546"/>
    <cellStyle name="Migliaia 59 4 2 3" xfId="3863"/>
    <cellStyle name="Migliaia 59 4 3" xfId="2547"/>
    <cellStyle name="Migliaia 59 5" xfId="821"/>
    <cellStyle name="Migliaia 6" xfId="822"/>
    <cellStyle name="Migliaia 6 2" xfId="823"/>
    <cellStyle name="Migliaia 6 2 2" xfId="2548"/>
    <cellStyle name="Migliaia 6 2 2 2" xfId="3864"/>
    <cellStyle name="Migliaia 6 3" xfId="824"/>
    <cellStyle name="Migliaia 6 3 2" xfId="825"/>
    <cellStyle name="Migliaia 6 3 2 2" xfId="3865"/>
    <cellStyle name="Migliaia 6 3 2 3" xfId="3866"/>
    <cellStyle name="Migliaia 6 3 3" xfId="826"/>
    <cellStyle name="Migliaia 6 3 3 2" xfId="2549"/>
    <cellStyle name="Migliaia 6 3 4" xfId="2550"/>
    <cellStyle name="Migliaia 6 4" xfId="827"/>
    <cellStyle name="Migliaia 6 4 2" xfId="2551"/>
    <cellStyle name="Migliaia 6 4 2 2" xfId="2552"/>
    <cellStyle name="Migliaia 6 4 2 3" xfId="3867"/>
    <cellStyle name="Migliaia 6 4 3" xfId="2553"/>
    <cellStyle name="Migliaia 6 5" xfId="828"/>
    <cellStyle name="Migliaia 60" xfId="829"/>
    <cellStyle name="Migliaia 60 2" xfId="830"/>
    <cellStyle name="Migliaia 60 2 2" xfId="2554"/>
    <cellStyle name="Migliaia 60 2 2 2" xfId="3868"/>
    <cellStyle name="Migliaia 60 3" xfId="831"/>
    <cellStyle name="Migliaia 60 3 2" xfId="832"/>
    <cellStyle name="Migliaia 60 3 2 2" xfId="3869"/>
    <cellStyle name="Migliaia 60 3 2 3" xfId="3870"/>
    <cellStyle name="Migliaia 60 3 3" xfId="833"/>
    <cellStyle name="Migliaia 60 3 3 2" xfId="2555"/>
    <cellStyle name="Migliaia 60 3 4" xfId="2556"/>
    <cellStyle name="Migliaia 60 4" xfId="834"/>
    <cellStyle name="Migliaia 60 4 2" xfId="2557"/>
    <cellStyle name="Migliaia 60 4 2 2" xfId="2558"/>
    <cellStyle name="Migliaia 60 4 2 3" xfId="3871"/>
    <cellStyle name="Migliaia 60 4 3" xfId="2559"/>
    <cellStyle name="Migliaia 60 5" xfId="835"/>
    <cellStyle name="Migliaia 61" xfId="836"/>
    <cellStyle name="Migliaia 61 2" xfId="837"/>
    <cellStyle name="Migliaia 61 2 2" xfId="2560"/>
    <cellStyle name="Migliaia 61 2 2 2" xfId="3872"/>
    <cellStyle name="Migliaia 61 3" xfId="838"/>
    <cellStyle name="Migliaia 61 3 2" xfId="839"/>
    <cellStyle name="Migliaia 61 3 2 2" xfId="3873"/>
    <cellStyle name="Migliaia 61 3 2 3" xfId="3874"/>
    <cellStyle name="Migliaia 61 3 3" xfId="840"/>
    <cellStyle name="Migliaia 61 3 3 2" xfId="2561"/>
    <cellStyle name="Migliaia 61 3 4" xfId="2562"/>
    <cellStyle name="Migliaia 61 4" xfId="841"/>
    <cellStyle name="Migliaia 61 4 2" xfId="2563"/>
    <cellStyle name="Migliaia 61 4 2 2" xfId="2564"/>
    <cellStyle name="Migliaia 61 4 2 3" xfId="3875"/>
    <cellStyle name="Migliaia 61 4 3" xfId="2565"/>
    <cellStyle name="Migliaia 61 5" xfId="842"/>
    <cellStyle name="Migliaia 7" xfId="843"/>
    <cellStyle name="Migliaia 7 2" xfId="844"/>
    <cellStyle name="Migliaia 7 2 2" xfId="2566"/>
    <cellStyle name="Migliaia 7 2 2 2" xfId="3876"/>
    <cellStyle name="Migliaia 7 3" xfId="845"/>
    <cellStyle name="Migliaia 7 3 2" xfId="846"/>
    <cellStyle name="Migliaia 7 3 2 2" xfId="3877"/>
    <cellStyle name="Migliaia 7 3 2 3" xfId="3878"/>
    <cellStyle name="Migliaia 7 3 3" xfId="847"/>
    <cellStyle name="Migliaia 7 3 3 2" xfId="2567"/>
    <cellStyle name="Migliaia 7 3 4" xfId="2568"/>
    <cellStyle name="Migliaia 7 4" xfId="848"/>
    <cellStyle name="Migliaia 7 4 2" xfId="2569"/>
    <cellStyle name="Migliaia 7 4 2 2" xfId="2570"/>
    <cellStyle name="Migliaia 7 4 2 3" xfId="3879"/>
    <cellStyle name="Migliaia 7 4 3" xfId="2571"/>
    <cellStyle name="Migliaia 7 5" xfId="849"/>
    <cellStyle name="Migliaia 8" xfId="850"/>
    <cellStyle name="Migliaia 8 2" xfId="851"/>
    <cellStyle name="Migliaia 8 2 2" xfId="2572"/>
    <cellStyle name="Migliaia 8 2 2 2" xfId="3880"/>
    <cellStyle name="Migliaia 8 3" xfId="852"/>
    <cellStyle name="Migliaia 8 3 2" xfId="853"/>
    <cellStyle name="Migliaia 8 3 2 2" xfId="3881"/>
    <cellStyle name="Migliaia 8 3 2 3" xfId="3882"/>
    <cellStyle name="Migliaia 8 3 3" xfId="854"/>
    <cellStyle name="Migliaia 8 3 3 2" xfId="2573"/>
    <cellStyle name="Migliaia 8 3 4" xfId="2574"/>
    <cellStyle name="Migliaia 8 4" xfId="855"/>
    <cellStyle name="Migliaia 8 4 2" xfId="2575"/>
    <cellStyle name="Migliaia 8 4 2 2" xfId="2576"/>
    <cellStyle name="Migliaia 8 4 2 3" xfId="3883"/>
    <cellStyle name="Migliaia 8 4 3" xfId="2577"/>
    <cellStyle name="Migliaia 8 5" xfId="856"/>
    <cellStyle name="Migliaia 9" xfId="857"/>
    <cellStyle name="Migliaia 9 2" xfId="858"/>
    <cellStyle name="Migliaia 9 2 2" xfId="2578"/>
    <cellStyle name="Migliaia 9 2 2 2" xfId="3884"/>
    <cellStyle name="Migliaia 9 3" xfId="859"/>
    <cellStyle name="Migliaia 9 3 2" xfId="860"/>
    <cellStyle name="Migliaia 9 3 2 2" xfId="3885"/>
    <cellStyle name="Migliaia 9 3 2 3" xfId="3886"/>
    <cellStyle name="Migliaia 9 3 3" xfId="861"/>
    <cellStyle name="Migliaia 9 3 3 2" xfId="2579"/>
    <cellStyle name="Migliaia 9 3 4" xfId="2580"/>
    <cellStyle name="Migliaia 9 4" xfId="862"/>
    <cellStyle name="Migliaia 9 4 2" xfId="2581"/>
    <cellStyle name="Migliaia 9 4 2 2" xfId="2582"/>
    <cellStyle name="Migliaia 9 4 2 3" xfId="3887"/>
    <cellStyle name="Migliaia 9 4 3" xfId="2583"/>
    <cellStyle name="Migliaia 9 5" xfId="863"/>
    <cellStyle name="Neutral 2" xfId="3888"/>
    <cellStyle name="Neutrale" xfId="864"/>
    <cellStyle name="Normal" xfId="0" builtinId="0"/>
    <cellStyle name="Normal 10" xfId="865"/>
    <cellStyle name="Normal 10 2" xfId="2584"/>
    <cellStyle name="Normal 11" xfId="1815"/>
    <cellStyle name="Normal 11 2" xfId="2585"/>
    <cellStyle name="Normal 11 3" xfId="3889"/>
    <cellStyle name="Normal 12" xfId="2586"/>
    <cellStyle name="Normal 12 2" xfId="3890"/>
    <cellStyle name="Normal 13" xfId="2587"/>
    <cellStyle name="Normal 14" xfId="3362"/>
    <cellStyle name="Normal 14 2" xfId="3891"/>
    <cellStyle name="Normal 15" xfId="3892"/>
    <cellStyle name="Normal 16" xfId="3893"/>
    <cellStyle name="Normal 16 2" xfId="3894"/>
    <cellStyle name="Normal 16 3" xfId="3895"/>
    <cellStyle name="Normal 17" xfId="3896"/>
    <cellStyle name="Normal 17 2" xfId="3897"/>
    <cellStyle name="Normal 18" xfId="3898"/>
    <cellStyle name="Normal 18 2" xfId="3899"/>
    <cellStyle name="Normal 19" xfId="3900"/>
    <cellStyle name="Normal 19 2" xfId="3901"/>
    <cellStyle name="Normal 19 3" xfId="3902"/>
    <cellStyle name="Normal 2" xfId="866"/>
    <cellStyle name="Normal 2 2" xfId="867"/>
    <cellStyle name="Normal 2 2 2" xfId="2588"/>
    <cellStyle name="Normal 2 2 2 2" xfId="2589"/>
    <cellStyle name="Normal 2 2 2 2 2" xfId="3903"/>
    <cellStyle name="Normal 2 2 2 2 2 2" xfId="3904"/>
    <cellStyle name="Normal 2 2 2 2 3" xfId="3905"/>
    <cellStyle name="Normal 2 2 2 2 4" xfId="3906"/>
    <cellStyle name="Normal 2 2 2 3" xfId="2590"/>
    <cellStyle name="Normal 2 2 3" xfId="3907"/>
    <cellStyle name="Normal 2 2 3 2" xfId="3908"/>
    <cellStyle name="Normal 2 2 3 2 2" xfId="3909"/>
    <cellStyle name="Normal 2 2 3 3" xfId="3910"/>
    <cellStyle name="Normal 2 2 4" xfId="3911"/>
    <cellStyle name="Normal 2 2 4 2" xfId="3912"/>
    <cellStyle name="Normal 2 2 5" xfId="3913"/>
    <cellStyle name="Normal 2 3" xfId="868"/>
    <cellStyle name="Normal 2 3 2" xfId="3364"/>
    <cellStyle name="Normal 2 4" xfId="869"/>
    <cellStyle name="Normal 2 4 2" xfId="2591"/>
    <cellStyle name="Normal 2 4 2 2" xfId="3914"/>
    <cellStyle name="Normal 2 4 2 3" xfId="3915"/>
    <cellStyle name="Normal 2 4 3" xfId="3916"/>
    <cellStyle name="Normal 2 5" xfId="2592"/>
    <cellStyle name="Normal 2 6" xfId="4343"/>
    <cellStyle name="Normal 2 7" xfId="4349"/>
    <cellStyle name="Normal 2_Plants" xfId="3917"/>
    <cellStyle name="Normal 20" xfId="3918"/>
    <cellStyle name="Normal 21" xfId="3919"/>
    <cellStyle name="Normal 22" xfId="3920"/>
    <cellStyle name="Normal 23" xfId="3921"/>
    <cellStyle name="Normal 24" xfId="3922"/>
    <cellStyle name="Normal 25" xfId="3923"/>
    <cellStyle name="Normal 26" xfId="3924"/>
    <cellStyle name="Normal 27" xfId="3925"/>
    <cellStyle name="Normal 28" xfId="3926"/>
    <cellStyle name="Normal 29" xfId="3927"/>
    <cellStyle name="Normal 29 2" xfId="3928"/>
    <cellStyle name="Normal 3" xfId="870"/>
    <cellStyle name="Normal 3 10" xfId="3929"/>
    <cellStyle name="Normal 3 11" xfId="3930"/>
    <cellStyle name="Normal 3 12" xfId="3931"/>
    <cellStyle name="Normal 3 13" xfId="3932"/>
    <cellStyle name="Normal 3 14" xfId="3933"/>
    <cellStyle name="Normal 3 15" xfId="3934"/>
    <cellStyle name="Normal 3 16" xfId="3935"/>
    <cellStyle name="Normal 3 17" xfId="3936"/>
    <cellStyle name="Normal 3 2" xfId="871"/>
    <cellStyle name="Normal 3 2 2" xfId="2593"/>
    <cellStyle name="Normal 3 2 2 2" xfId="2594"/>
    <cellStyle name="Normal 3 2 2 3" xfId="3937"/>
    <cellStyle name="Normal 3 2 2 3 2" xfId="3938"/>
    <cellStyle name="Normal 3 2 2 4" xfId="3939"/>
    <cellStyle name="Normal 3 2 3" xfId="2595"/>
    <cellStyle name="Normal 3 2 3 2" xfId="3940"/>
    <cellStyle name="Normal 3 2 3 2 2" xfId="3941"/>
    <cellStyle name="Normal 3 2 3 3" xfId="3942"/>
    <cellStyle name="Normal 3 2 3 4" xfId="3943"/>
    <cellStyle name="Normal 3 2 4" xfId="3944"/>
    <cellStyle name="Normal 3 2 4 2" xfId="3945"/>
    <cellStyle name="Normal 3 2 5" xfId="3946"/>
    <cellStyle name="Normal 3 2 6" xfId="3947"/>
    <cellStyle name="Normal 3 3" xfId="872"/>
    <cellStyle name="Normal 3 3 2" xfId="2596"/>
    <cellStyle name="Normal 3 3 2 2" xfId="3948"/>
    <cellStyle name="Normal 3 3 2 2 2" xfId="3949"/>
    <cellStyle name="Normal 3 3 2 3" xfId="3950"/>
    <cellStyle name="Normal 3 3 2 4" xfId="3951"/>
    <cellStyle name="Normal 3 3 3" xfId="3952"/>
    <cellStyle name="Normal 3 3 3 2" xfId="3953"/>
    <cellStyle name="Normal 3 3 4" xfId="3954"/>
    <cellStyle name="Normal 3 3 5" xfId="3955"/>
    <cellStyle name="Normal 3 4" xfId="3956"/>
    <cellStyle name="Normal 3 4 2" xfId="3957"/>
    <cellStyle name="Normal 3 5" xfId="3958"/>
    <cellStyle name="Normal 3 6" xfId="3959"/>
    <cellStyle name="Normal 3 6 2" xfId="3960"/>
    <cellStyle name="Normal 3 7" xfId="3961"/>
    <cellStyle name="Normal 3 8" xfId="3962"/>
    <cellStyle name="Normal 3 9" xfId="3963"/>
    <cellStyle name="Normal 30" xfId="3964"/>
    <cellStyle name="Normal 31" xfId="3965"/>
    <cellStyle name="Normal 32" xfId="3966"/>
    <cellStyle name="Normal 33" xfId="3967"/>
    <cellStyle name="Normal 34" xfId="3968"/>
    <cellStyle name="Normal 35" xfId="4335"/>
    <cellStyle name="Normal 36" xfId="4336"/>
    <cellStyle name="Normal 37" xfId="4337"/>
    <cellStyle name="Normal 38" xfId="4338"/>
    <cellStyle name="Normal 39" xfId="4339"/>
    <cellStyle name="Normal 4" xfId="873"/>
    <cellStyle name="Normal 4 10" xfId="3969"/>
    <cellStyle name="Normal 4 11" xfId="3970"/>
    <cellStyle name="Normal 4 12" xfId="3971"/>
    <cellStyle name="Normal 4 13" xfId="3972"/>
    <cellStyle name="Normal 4 14" xfId="3973"/>
    <cellStyle name="Normal 4 15" xfId="3974"/>
    <cellStyle name="Normal 4 2" xfId="2597"/>
    <cellStyle name="Normal 4 2 2" xfId="2598"/>
    <cellStyle name="Normal 4 3" xfId="3975"/>
    <cellStyle name="Normal 4 4" xfId="3976"/>
    <cellStyle name="Normal 4 5" xfId="3977"/>
    <cellStyle name="Normal 4 6" xfId="3978"/>
    <cellStyle name="Normal 4 7" xfId="3979"/>
    <cellStyle name="Normal 4 8" xfId="3980"/>
    <cellStyle name="Normal 4 9" xfId="3981"/>
    <cellStyle name="Normal 40" xfId="4340"/>
    <cellStyle name="Normal 41" xfId="4342"/>
    <cellStyle name="Normal 42" xfId="4348"/>
    <cellStyle name="Normal 43" xfId="4350"/>
    <cellStyle name="Normal 5" xfId="874"/>
    <cellStyle name="Normal 5 2" xfId="2599"/>
    <cellStyle name="Normal 5 2 2" xfId="2600"/>
    <cellStyle name="Normal 5 2 2 2" xfId="2601"/>
    <cellStyle name="Normal 5 2 2 3" xfId="3982"/>
    <cellStyle name="Normal 5 2 3" xfId="3983"/>
    <cellStyle name="Normal 5 2 3 2" xfId="3984"/>
    <cellStyle name="Normal 5 3" xfId="3985"/>
    <cellStyle name="Normal 6" xfId="875"/>
    <cellStyle name="Normal 6 2" xfId="2602"/>
    <cellStyle name="Normal 6 2 2" xfId="2603"/>
    <cellStyle name="Normal 6 2 3" xfId="3986"/>
    <cellStyle name="Normal 6 2 3 2" xfId="3987"/>
    <cellStyle name="Normal 6 2 4" xfId="3988"/>
    <cellStyle name="Normal 6 3" xfId="2604"/>
    <cellStyle name="Normal 6 3 2" xfId="3989"/>
    <cellStyle name="Normal 6 3 2 2" xfId="3990"/>
    <cellStyle name="Normal 6 3 2 2 2" xfId="3991"/>
    <cellStyle name="Normal 6 3 2 3" xfId="3992"/>
    <cellStyle name="Normal 6 3 3" xfId="3993"/>
    <cellStyle name="Normal 6 4" xfId="3994"/>
    <cellStyle name="Normal 6 4 2" xfId="3995"/>
    <cellStyle name="Normal 6 5" xfId="3996"/>
    <cellStyle name="Normal 6 6" xfId="3997"/>
    <cellStyle name="Normal 7" xfId="876"/>
    <cellStyle name="Normal 7 2" xfId="2605"/>
    <cellStyle name="Normal 7 3" xfId="3998"/>
    <cellStyle name="Normal 7 3 2" xfId="3999"/>
    <cellStyle name="Normal 7 3 2 2" xfId="4000"/>
    <cellStyle name="Normal 7 3 3" xfId="4001"/>
    <cellStyle name="Normal 8" xfId="877"/>
    <cellStyle name="Normal 8 2" xfId="2606"/>
    <cellStyle name="Normal 8 2 2" xfId="2607"/>
    <cellStyle name="Normal 8 2 2 2" xfId="4002"/>
    <cellStyle name="Normal 8 2 2 2 2" xfId="4003"/>
    <cellStyle name="Normal 8 2 2 3" xfId="4004"/>
    <cellStyle name="Normal 8 2 2 4" xfId="4005"/>
    <cellStyle name="Normal 8 2 3" xfId="4006"/>
    <cellStyle name="Normal 8 3" xfId="4007"/>
    <cellStyle name="Normal 8 4" xfId="4008"/>
    <cellStyle name="Normal 8 5" xfId="4009"/>
    <cellStyle name="Normal 9" xfId="878"/>
    <cellStyle name="Normal 9 2" xfId="4010"/>
    <cellStyle name="Normal 9 2 2" xfId="4011"/>
    <cellStyle name="Normal 9 3" xfId="4012"/>
    <cellStyle name="Normal GHG Numbers (0.00)" xfId="879"/>
    <cellStyle name="Normal GHG Numbers (0.00) 2" xfId="880"/>
    <cellStyle name="Normal GHG Numbers (0.00) 2 2" xfId="4013"/>
    <cellStyle name="Normal GHG Numbers (0.00) 3" xfId="4014"/>
    <cellStyle name="Normal GHG Numbers (0.00) 4" xfId="4015"/>
    <cellStyle name="Normal GHG Textfiels Bold" xfId="881"/>
    <cellStyle name="Normal GHG-Shade" xfId="882"/>
    <cellStyle name="Normal GHG-Shade 2" xfId="2608"/>
    <cellStyle name="Normale 10" xfId="883"/>
    <cellStyle name="Normale 10 2" xfId="884"/>
    <cellStyle name="Normale 10 2 2" xfId="2609"/>
    <cellStyle name="Normale 10 3" xfId="885"/>
    <cellStyle name="Normale 10 3 2" xfId="2610"/>
    <cellStyle name="Normale 10 4" xfId="2611"/>
    <cellStyle name="Normale 10_EDEN industria 2008 rev" xfId="886"/>
    <cellStyle name="Normale 11" xfId="887"/>
    <cellStyle name="Normale 11 2" xfId="888"/>
    <cellStyle name="Normale 11 2 2" xfId="2612"/>
    <cellStyle name="Normale 11 3" xfId="889"/>
    <cellStyle name="Normale 11 3 2" xfId="2613"/>
    <cellStyle name="Normale 11 4" xfId="2614"/>
    <cellStyle name="Normale 11_EDEN industria 2008 rev" xfId="890"/>
    <cellStyle name="Normale 12" xfId="891"/>
    <cellStyle name="Normale 12 2" xfId="892"/>
    <cellStyle name="Normale 12 2 2" xfId="2615"/>
    <cellStyle name="Normale 12 3" xfId="893"/>
    <cellStyle name="Normale 12 3 2" xfId="2616"/>
    <cellStyle name="Normale 12 4" xfId="2617"/>
    <cellStyle name="Normale 12_EDEN industria 2008 rev" xfId="894"/>
    <cellStyle name="Normale 13" xfId="895"/>
    <cellStyle name="Normale 13 2" xfId="896"/>
    <cellStyle name="Normale 13 2 2" xfId="2618"/>
    <cellStyle name="Normale 13 3" xfId="897"/>
    <cellStyle name="Normale 13 3 2" xfId="2619"/>
    <cellStyle name="Normale 13 4" xfId="2620"/>
    <cellStyle name="Normale 13_EDEN industria 2008 rev" xfId="898"/>
    <cellStyle name="Normale 14" xfId="899"/>
    <cellStyle name="Normale 14 2" xfId="900"/>
    <cellStyle name="Normale 14 2 2" xfId="2621"/>
    <cellStyle name="Normale 14 3" xfId="901"/>
    <cellStyle name="Normale 14 3 2" xfId="2622"/>
    <cellStyle name="Normale 14 4" xfId="2623"/>
    <cellStyle name="Normale 14_EDEN industria 2008 rev" xfId="902"/>
    <cellStyle name="Normale 15" xfId="903"/>
    <cellStyle name="Normale 15 2" xfId="904"/>
    <cellStyle name="Normale 15 2 2" xfId="2624"/>
    <cellStyle name="Normale 15 3" xfId="905"/>
    <cellStyle name="Normale 15 3 2" xfId="2625"/>
    <cellStyle name="Normale 15 4" xfId="2626"/>
    <cellStyle name="Normale 15_EDEN industria 2008 rev" xfId="906"/>
    <cellStyle name="Normale 16" xfId="907"/>
    <cellStyle name="Normale 16 2" xfId="2627"/>
    <cellStyle name="Normale 17" xfId="908"/>
    <cellStyle name="Normale 17 2" xfId="2628"/>
    <cellStyle name="Normale 18" xfId="909"/>
    <cellStyle name="Normale 18 2" xfId="4016"/>
    <cellStyle name="Normale 19" xfId="910"/>
    <cellStyle name="Normale 19 2" xfId="4017"/>
    <cellStyle name="Normale 2" xfId="911"/>
    <cellStyle name="Normale 2 2" xfId="912"/>
    <cellStyle name="Normale 2 2 2" xfId="2629"/>
    <cellStyle name="Normale 2 3" xfId="2630"/>
    <cellStyle name="Normale 2_EDEN industria 2008 rev" xfId="913"/>
    <cellStyle name="Normale 20" xfId="914"/>
    <cellStyle name="Normale 20 2" xfId="2631"/>
    <cellStyle name="Normale 21" xfId="915"/>
    <cellStyle name="Normale 21 2" xfId="2632"/>
    <cellStyle name="Normale 22" xfId="916"/>
    <cellStyle name="Normale 22 2" xfId="2633"/>
    <cellStyle name="Normale 23" xfId="917"/>
    <cellStyle name="Normale 23 2" xfId="2634"/>
    <cellStyle name="Normale 24" xfId="918"/>
    <cellStyle name="Normale 24 2" xfId="2635"/>
    <cellStyle name="Normale 25" xfId="919"/>
    <cellStyle name="Normale 25 2" xfId="2636"/>
    <cellStyle name="Normale 26" xfId="920"/>
    <cellStyle name="Normale 26 2" xfId="2637"/>
    <cellStyle name="Normale 27" xfId="921"/>
    <cellStyle name="Normale 27 2" xfId="2638"/>
    <cellStyle name="Normale 28" xfId="922"/>
    <cellStyle name="Normale 28 2" xfId="2639"/>
    <cellStyle name="Normale 29" xfId="923"/>
    <cellStyle name="Normale 29 2" xfId="2640"/>
    <cellStyle name="Normale 3" xfId="924"/>
    <cellStyle name="Normale 3 2" xfId="925"/>
    <cellStyle name="Normale 3 2 2" xfId="2641"/>
    <cellStyle name="Normale 3 3" xfId="926"/>
    <cellStyle name="Normale 3 3 2" xfId="2642"/>
    <cellStyle name="Normale 3 4" xfId="2643"/>
    <cellStyle name="Normale 3_EDEN industria 2008 rev" xfId="927"/>
    <cellStyle name="Normale 30" xfId="928"/>
    <cellStyle name="Normale 30 2" xfId="2644"/>
    <cellStyle name="Normale 31" xfId="929"/>
    <cellStyle name="Normale 31 2" xfId="2645"/>
    <cellStyle name="Normale 32" xfId="930"/>
    <cellStyle name="Normale 32 2" xfId="2646"/>
    <cellStyle name="Normale 33" xfId="931"/>
    <cellStyle name="Normale 33 2" xfId="2647"/>
    <cellStyle name="Normale 34" xfId="932"/>
    <cellStyle name="Normale 34 2" xfId="2648"/>
    <cellStyle name="Normale 35" xfId="933"/>
    <cellStyle name="Normale 35 2" xfId="2649"/>
    <cellStyle name="Normale 36" xfId="934"/>
    <cellStyle name="Normale 36 2" xfId="2650"/>
    <cellStyle name="Normale 37" xfId="935"/>
    <cellStyle name="Normale 37 2" xfId="2651"/>
    <cellStyle name="Normale 38" xfId="936"/>
    <cellStyle name="Normale 38 2" xfId="2652"/>
    <cellStyle name="Normale 39" xfId="937"/>
    <cellStyle name="Normale 39 2" xfId="2653"/>
    <cellStyle name="Normale 4" xfId="938"/>
    <cellStyle name="Normale 4 2" xfId="939"/>
    <cellStyle name="Normale 4 2 2" xfId="2654"/>
    <cellStyle name="Normale 4 3" xfId="940"/>
    <cellStyle name="Normale 4 3 2" xfId="2655"/>
    <cellStyle name="Normale 4 4" xfId="2656"/>
    <cellStyle name="Normale 4_EDEN industria 2008 rev" xfId="941"/>
    <cellStyle name="Normale 40" xfId="942"/>
    <cellStyle name="Normale 40 2" xfId="2657"/>
    <cellStyle name="Normale 41" xfId="943"/>
    <cellStyle name="Normale 41 2" xfId="2658"/>
    <cellStyle name="Normale 42" xfId="944"/>
    <cellStyle name="Normale 42 2" xfId="2659"/>
    <cellStyle name="Normale 43" xfId="945"/>
    <cellStyle name="Normale 43 2" xfId="2660"/>
    <cellStyle name="Normale 44" xfId="946"/>
    <cellStyle name="Normale 44 2" xfId="2661"/>
    <cellStyle name="Normale 45" xfId="947"/>
    <cellStyle name="Normale 45 2" xfId="2662"/>
    <cellStyle name="Normale 46" xfId="948"/>
    <cellStyle name="Normale 46 2" xfId="2663"/>
    <cellStyle name="Normale 47" xfId="949"/>
    <cellStyle name="Normale 47 2" xfId="2664"/>
    <cellStyle name="Normale 48" xfId="950"/>
    <cellStyle name="Normale 48 2" xfId="2665"/>
    <cellStyle name="Normale 49" xfId="951"/>
    <cellStyle name="Normale 49 2" xfId="2666"/>
    <cellStyle name="Normale 5" xfId="952"/>
    <cellStyle name="Normale 5 2" xfId="953"/>
    <cellStyle name="Normale 5 2 2" xfId="2667"/>
    <cellStyle name="Normale 5 3" xfId="954"/>
    <cellStyle name="Normale 5 3 2" xfId="2668"/>
    <cellStyle name="Normale 5 4" xfId="2669"/>
    <cellStyle name="Normale 5_EDEN industria 2008 rev" xfId="955"/>
    <cellStyle name="Normale 50" xfId="956"/>
    <cellStyle name="Normale 50 2" xfId="2670"/>
    <cellStyle name="Normale 51" xfId="957"/>
    <cellStyle name="Normale 51 2" xfId="2671"/>
    <cellStyle name="Normale 52" xfId="958"/>
    <cellStyle name="Normale 52 2" xfId="2672"/>
    <cellStyle name="Normale 53" xfId="959"/>
    <cellStyle name="Normale 53 2" xfId="2673"/>
    <cellStyle name="Normale 54" xfId="960"/>
    <cellStyle name="Normale 54 2" xfId="2674"/>
    <cellStyle name="Normale 55" xfId="961"/>
    <cellStyle name="Normale 55 2" xfId="2675"/>
    <cellStyle name="Normale 56" xfId="962"/>
    <cellStyle name="Normale 56 2" xfId="2676"/>
    <cellStyle name="Normale 57" xfId="963"/>
    <cellStyle name="Normale 57 2" xfId="2677"/>
    <cellStyle name="Normale 58" xfId="964"/>
    <cellStyle name="Normale 58 2" xfId="2678"/>
    <cellStyle name="Normale 59" xfId="965"/>
    <cellStyle name="Normale 59 2" xfId="2679"/>
    <cellStyle name="Normale 6" xfId="966"/>
    <cellStyle name="Normale 6 2" xfId="967"/>
    <cellStyle name="Normale 6 2 2" xfId="2680"/>
    <cellStyle name="Normale 6 3" xfId="968"/>
    <cellStyle name="Normale 6 3 2" xfId="2681"/>
    <cellStyle name="Normale 6 4" xfId="2682"/>
    <cellStyle name="Normale 6_EDEN industria 2008 rev" xfId="969"/>
    <cellStyle name="Normale 60" xfId="970"/>
    <cellStyle name="Normale 60 2" xfId="2683"/>
    <cellStyle name="Normale 61" xfId="971"/>
    <cellStyle name="Normale 61 2" xfId="2684"/>
    <cellStyle name="Normale 62" xfId="972"/>
    <cellStyle name="Normale 62 2" xfId="2685"/>
    <cellStyle name="Normale 63" xfId="973"/>
    <cellStyle name="Normale 63 2" xfId="2686"/>
    <cellStyle name="Normale 64" xfId="974"/>
    <cellStyle name="Normale 64 2" xfId="2687"/>
    <cellStyle name="Normale 65" xfId="975"/>
    <cellStyle name="Normale 65 2" xfId="2688"/>
    <cellStyle name="Normale 7" xfId="976"/>
    <cellStyle name="Normale 7 2" xfId="977"/>
    <cellStyle name="Normale 7 2 2" xfId="2689"/>
    <cellStyle name="Normale 7 3" xfId="978"/>
    <cellStyle name="Normale 7 3 2" xfId="2690"/>
    <cellStyle name="Normale 7 4" xfId="2691"/>
    <cellStyle name="Normale 7_EDEN industria 2008 rev" xfId="979"/>
    <cellStyle name="Normale 8" xfId="980"/>
    <cellStyle name="Normale 8 2" xfId="981"/>
    <cellStyle name="Normale 8 2 2" xfId="2692"/>
    <cellStyle name="Normale 8 3" xfId="982"/>
    <cellStyle name="Normale 8 3 2" xfId="2693"/>
    <cellStyle name="Normale 8 4" xfId="2694"/>
    <cellStyle name="Normale 8_EDEN industria 2008 rev" xfId="983"/>
    <cellStyle name="Normale 9" xfId="984"/>
    <cellStyle name="Normale 9 2" xfId="985"/>
    <cellStyle name="Normale 9 2 2" xfId="2695"/>
    <cellStyle name="Normale 9 3" xfId="986"/>
    <cellStyle name="Normale 9 3 2" xfId="2696"/>
    <cellStyle name="Normale 9 4" xfId="2697"/>
    <cellStyle name="Normale 9_EDEN industria 2008 rev" xfId="987"/>
    <cellStyle name="Normale_B2020" xfId="988"/>
    <cellStyle name="Nota" xfId="989"/>
    <cellStyle name="Nota 10" xfId="990"/>
    <cellStyle name="Nota 11" xfId="4018"/>
    <cellStyle name="Nota 2" xfId="991"/>
    <cellStyle name="Nota 2 2" xfId="992"/>
    <cellStyle name="Nota 2 2 2" xfId="4019"/>
    <cellStyle name="Nota 2 3" xfId="993"/>
    <cellStyle name="Nota 2 4" xfId="994"/>
    <cellStyle name="Nota 2 5" xfId="995"/>
    <cellStyle name="Nota 2 6" xfId="996"/>
    <cellStyle name="Nota 2 7" xfId="4020"/>
    <cellStyle name="Nota 3" xfId="997"/>
    <cellStyle name="Nota 3 2" xfId="998"/>
    <cellStyle name="Nota 3 2 2" xfId="999"/>
    <cellStyle name="Nota 3 2 2 2" xfId="4021"/>
    <cellStyle name="Nota 3 2 2 3" xfId="4022"/>
    <cellStyle name="Nota 3 2 3" xfId="1000"/>
    <cellStyle name="Nota 3 2 3 2" xfId="4023"/>
    <cellStyle name="Nota 3 2 4" xfId="1001"/>
    <cellStyle name="Nota 3 2 5" xfId="1002"/>
    <cellStyle name="Nota 3 2 6" xfId="1003"/>
    <cellStyle name="Nota 3 2 7" xfId="4024"/>
    <cellStyle name="Nota 3 3" xfId="1004"/>
    <cellStyle name="Nota 3 3 2" xfId="2698"/>
    <cellStyle name="Nota 3 3 3" xfId="4025"/>
    <cellStyle name="Nota 3 4" xfId="1005"/>
    <cellStyle name="Nota 3 5" xfId="1006"/>
    <cellStyle name="Nota 3 6" xfId="1007"/>
    <cellStyle name="Nota 3 7" xfId="1008"/>
    <cellStyle name="Nota 3 8" xfId="4026"/>
    <cellStyle name="Nota 4" xfId="1009"/>
    <cellStyle name="Nota 4 2" xfId="1010"/>
    <cellStyle name="Nota 4 2 2" xfId="2699"/>
    <cellStyle name="Nota 4 2 2 2" xfId="4027"/>
    <cellStyle name="Nota 4 2 3" xfId="4028"/>
    <cellStyle name="Nota 4 3" xfId="1011"/>
    <cellStyle name="Nota 4 3 2" xfId="4029"/>
    <cellStyle name="Nota 4 4" xfId="1012"/>
    <cellStyle name="Nota 4 5" xfId="1013"/>
    <cellStyle name="Nota 4 6" xfId="1014"/>
    <cellStyle name="Nota 4 7" xfId="4030"/>
    <cellStyle name="Nota 5" xfId="1015"/>
    <cellStyle name="Nota 5 2" xfId="1016"/>
    <cellStyle name="Nota 5 2 2" xfId="4031"/>
    <cellStyle name="Nota 5 3" xfId="1017"/>
    <cellStyle name="Nota 5 4" xfId="1018"/>
    <cellStyle name="Nota 5 5" xfId="1019"/>
    <cellStyle name="Nota 5 6" xfId="1020"/>
    <cellStyle name="Nota 5 7" xfId="4032"/>
    <cellStyle name="Nota 6" xfId="1021"/>
    <cellStyle name="Nota 6 2" xfId="4033"/>
    <cellStyle name="Nota 7" xfId="1022"/>
    <cellStyle name="Nota 8" xfId="1023"/>
    <cellStyle name="Nota 9" xfId="1024"/>
    <cellStyle name="Note 2" xfId="4034"/>
    <cellStyle name="Note 2 2" xfId="4035"/>
    <cellStyle name="Note 2 2 2" xfId="4036"/>
    <cellStyle name="Note 2 3" xfId="4037"/>
    <cellStyle name="Nuovo" xfId="1025"/>
    <cellStyle name="Nuovo 10" xfId="1026"/>
    <cellStyle name="Nuovo 10 2" xfId="1027"/>
    <cellStyle name="Nuovo 10 2 2" xfId="2700"/>
    <cellStyle name="Nuovo 10 3" xfId="1028"/>
    <cellStyle name="Nuovo 10 3 2" xfId="1029"/>
    <cellStyle name="Nuovo 10 3 2 2" xfId="4038"/>
    <cellStyle name="Nuovo 10 3 2 3" xfId="4039"/>
    <cellStyle name="Nuovo 10 3 3" xfId="1030"/>
    <cellStyle name="Nuovo 10 3 3 2" xfId="2701"/>
    <cellStyle name="Nuovo 10 3 4" xfId="2702"/>
    <cellStyle name="Nuovo 10 4" xfId="1031"/>
    <cellStyle name="Nuovo 10 4 2" xfId="2703"/>
    <cellStyle name="Nuovo 10 4 2 2" xfId="2704"/>
    <cellStyle name="Nuovo 10 4 3" xfId="2705"/>
    <cellStyle name="Nuovo 10 5" xfId="1032"/>
    <cellStyle name="Nuovo 11" xfId="1033"/>
    <cellStyle name="Nuovo 11 2" xfId="1034"/>
    <cellStyle name="Nuovo 11 2 2" xfId="2706"/>
    <cellStyle name="Nuovo 11 3" xfId="1035"/>
    <cellStyle name="Nuovo 11 3 2" xfId="1036"/>
    <cellStyle name="Nuovo 11 3 2 2" xfId="4040"/>
    <cellStyle name="Nuovo 11 3 2 3" xfId="4041"/>
    <cellStyle name="Nuovo 11 3 3" xfId="1037"/>
    <cellStyle name="Nuovo 11 3 3 2" xfId="2707"/>
    <cellStyle name="Nuovo 11 3 4" xfId="2708"/>
    <cellStyle name="Nuovo 11 4" xfId="1038"/>
    <cellStyle name="Nuovo 11 4 2" xfId="2709"/>
    <cellStyle name="Nuovo 11 4 2 2" xfId="2710"/>
    <cellStyle name="Nuovo 11 4 3" xfId="2711"/>
    <cellStyle name="Nuovo 11 5" xfId="1039"/>
    <cellStyle name="Nuovo 12" xfId="1040"/>
    <cellStyle name="Nuovo 12 2" xfId="1041"/>
    <cellStyle name="Nuovo 12 2 2" xfId="2712"/>
    <cellStyle name="Nuovo 12 3" xfId="1042"/>
    <cellStyle name="Nuovo 12 3 2" xfId="1043"/>
    <cellStyle name="Nuovo 12 3 2 2" xfId="4042"/>
    <cellStyle name="Nuovo 12 3 2 3" xfId="4043"/>
    <cellStyle name="Nuovo 12 3 3" xfId="1044"/>
    <cellStyle name="Nuovo 12 3 3 2" xfId="2713"/>
    <cellStyle name="Nuovo 12 3 4" xfId="2714"/>
    <cellStyle name="Nuovo 12 4" xfId="1045"/>
    <cellStyle name="Nuovo 12 4 2" xfId="2715"/>
    <cellStyle name="Nuovo 12 4 2 2" xfId="2716"/>
    <cellStyle name="Nuovo 12 4 3" xfId="2717"/>
    <cellStyle name="Nuovo 12 5" xfId="1046"/>
    <cellStyle name="Nuovo 13" xfId="1047"/>
    <cellStyle name="Nuovo 13 2" xfId="1048"/>
    <cellStyle name="Nuovo 13 2 2" xfId="2718"/>
    <cellStyle name="Nuovo 13 3" xfId="1049"/>
    <cellStyle name="Nuovo 13 3 2" xfId="1050"/>
    <cellStyle name="Nuovo 13 3 2 2" xfId="4044"/>
    <cellStyle name="Nuovo 13 3 2 3" xfId="4045"/>
    <cellStyle name="Nuovo 13 3 3" xfId="1051"/>
    <cellStyle name="Nuovo 13 3 3 2" xfId="2719"/>
    <cellStyle name="Nuovo 13 3 4" xfId="2720"/>
    <cellStyle name="Nuovo 13 4" xfId="1052"/>
    <cellStyle name="Nuovo 13 4 2" xfId="2721"/>
    <cellStyle name="Nuovo 13 4 2 2" xfId="2722"/>
    <cellStyle name="Nuovo 13 4 3" xfId="2723"/>
    <cellStyle name="Nuovo 13 5" xfId="1053"/>
    <cellStyle name="Nuovo 14" xfId="1054"/>
    <cellStyle name="Nuovo 14 2" xfId="1055"/>
    <cellStyle name="Nuovo 14 2 2" xfId="2724"/>
    <cellStyle name="Nuovo 14 3" xfId="1056"/>
    <cellStyle name="Nuovo 14 3 2" xfId="1057"/>
    <cellStyle name="Nuovo 14 3 2 2" xfId="4046"/>
    <cellStyle name="Nuovo 14 3 2 3" xfId="4047"/>
    <cellStyle name="Nuovo 14 3 3" xfId="1058"/>
    <cellStyle name="Nuovo 14 3 3 2" xfId="2725"/>
    <cellStyle name="Nuovo 14 3 4" xfId="2726"/>
    <cellStyle name="Nuovo 14 4" xfId="1059"/>
    <cellStyle name="Nuovo 14 4 2" xfId="2727"/>
    <cellStyle name="Nuovo 14 4 2 2" xfId="2728"/>
    <cellStyle name="Nuovo 14 4 3" xfId="2729"/>
    <cellStyle name="Nuovo 14 5" xfId="1060"/>
    <cellStyle name="Nuovo 15" xfId="1061"/>
    <cellStyle name="Nuovo 15 2" xfId="1062"/>
    <cellStyle name="Nuovo 15 2 2" xfId="2730"/>
    <cellStyle name="Nuovo 15 3" xfId="1063"/>
    <cellStyle name="Nuovo 15 3 2" xfId="1064"/>
    <cellStyle name="Nuovo 15 3 2 2" xfId="4048"/>
    <cellStyle name="Nuovo 15 3 2 3" xfId="4049"/>
    <cellStyle name="Nuovo 15 3 3" xfId="1065"/>
    <cellStyle name="Nuovo 15 3 3 2" xfId="2731"/>
    <cellStyle name="Nuovo 15 3 4" xfId="2732"/>
    <cellStyle name="Nuovo 15 4" xfId="1066"/>
    <cellStyle name="Nuovo 15 4 2" xfId="2733"/>
    <cellStyle name="Nuovo 15 4 2 2" xfId="2734"/>
    <cellStyle name="Nuovo 15 4 3" xfId="2735"/>
    <cellStyle name="Nuovo 15 5" xfId="1067"/>
    <cellStyle name="Nuovo 16" xfId="1068"/>
    <cellStyle name="Nuovo 16 2" xfId="1069"/>
    <cellStyle name="Nuovo 16 2 2" xfId="2736"/>
    <cellStyle name="Nuovo 16 3" xfId="1070"/>
    <cellStyle name="Nuovo 16 3 2" xfId="1071"/>
    <cellStyle name="Nuovo 16 3 2 2" xfId="4050"/>
    <cellStyle name="Nuovo 16 3 2 3" xfId="4051"/>
    <cellStyle name="Nuovo 16 3 3" xfId="1072"/>
    <cellStyle name="Nuovo 16 3 3 2" xfId="2737"/>
    <cellStyle name="Nuovo 16 3 4" xfId="2738"/>
    <cellStyle name="Nuovo 16 4" xfId="1073"/>
    <cellStyle name="Nuovo 16 4 2" xfId="2739"/>
    <cellStyle name="Nuovo 16 4 2 2" xfId="2740"/>
    <cellStyle name="Nuovo 16 4 3" xfId="2741"/>
    <cellStyle name="Nuovo 16 5" xfId="1074"/>
    <cellStyle name="Nuovo 17" xfId="1075"/>
    <cellStyle name="Nuovo 17 2" xfId="1076"/>
    <cellStyle name="Nuovo 17 2 2" xfId="2742"/>
    <cellStyle name="Nuovo 17 3" xfId="1077"/>
    <cellStyle name="Nuovo 17 3 2" xfId="1078"/>
    <cellStyle name="Nuovo 17 3 2 2" xfId="4052"/>
    <cellStyle name="Nuovo 17 3 2 3" xfId="4053"/>
    <cellStyle name="Nuovo 17 3 3" xfId="1079"/>
    <cellStyle name="Nuovo 17 3 3 2" xfId="2743"/>
    <cellStyle name="Nuovo 17 3 4" xfId="2744"/>
    <cellStyle name="Nuovo 17 4" xfId="1080"/>
    <cellStyle name="Nuovo 17 4 2" xfId="2745"/>
    <cellStyle name="Nuovo 17 4 2 2" xfId="2746"/>
    <cellStyle name="Nuovo 17 4 3" xfId="2747"/>
    <cellStyle name="Nuovo 17 5" xfId="1081"/>
    <cellStyle name="Nuovo 18" xfId="1082"/>
    <cellStyle name="Nuovo 18 2" xfId="1083"/>
    <cellStyle name="Nuovo 18 2 2" xfId="2748"/>
    <cellStyle name="Nuovo 18 3" xfId="1084"/>
    <cellStyle name="Nuovo 18 3 2" xfId="1085"/>
    <cellStyle name="Nuovo 18 3 2 2" xfId="4054"/>
    <cellStyle name="Nuovo 18 3 2 3" xfId="4055"/>
    <cellStyle name="Nuovo 18 3 3" xfId="1086"/>
    <cellStyle name="Nuovo 18 3 3 2" xfId="2749"/>
    <cellStyle name="Nuovo 18 3 4" xfId="2750"/>
    <cellStyle name="Nuovo 18 4" xfId="1087"/>
    <cellStyle name="Nuovo 18 4 2" xfId="2751"/>
    <cellStyle name="Nuovo 18 4 2 2" xfId="2752"/>
    <cellStyle name="Nuovo 18 4 3" xfId="2753"/>
    <cellStyle name="Nuovo 18 5" xfId="1088"/>
    <cellStyle name="Nuovo 19" xfId="1089"/>
    <cellStyle name="Nuovo 19 2" xfId="1090"/>
    <cellStyle name="Nuovo 19 2 2" xfId="2754"/>
    <cellStyle name="Nuovo 19 3" xfId="1091"/>
    <cellStyle name="Nuovo 19 3 2" xfId="1092"/>
    <cellStyle name="Nuovo 19 3 2 2" xfId="4056"/>
    <cellStyle name="Nuovo 19 3 2 3" xfId="4057"/>
    <cellStyle name="Nuovo 19 3 3" xfId="1093"/>
    <cellStyle name="Nuovo 19 3 3 2" xfId="2755"/>
    <cellStyle name="Nuovo 19 3 4" xfId="2756"/>
    <cellStyle name="Nuovo 19 4" xfId="1094"/>
    <cellStyle name="Nuovo 19 4 2" xfId="2757"/>
    <cellStyle name="Nuovo 19 4 2 2" xfId="2758"/>
    <cellStyle name="Nuovo 19 4 3" xfId="2759"/>
    <cellStyle name="Nuovo 19 5" xfId="1095"/>
    <cellStyle name="Nuovo 2" xfId="1096"/>
    <cellStyle name="Nuovo 2 2" xfId="1097"/>
    <cellStyle name="Nuovo 2 2 2" xfId="2760"/>
    <cellStyle name="Nuovo 2 3" xfId="1098"/>
    <cellStyle name="Nuovo 2 3 2" xfId="1099"/>
    <cellStyle name="Nuovo 2 3 2 2" xfId="4058"/>
    <cellStyle name="Nuovo 2 3 2 3" xfId="4059"/>
    <cellStyle name="Nuovo 2 3 3" xfId="1100"/>
    <cellStyle name="Nuovo 2 3 3 2" xfId="2761"/>
    <cellStyle name="Nuovo 2 3 4" xfId="2762"/>
    <cellStyle name="Nuovo 2 4" xfId="1101"/>
    <cellStyle name="Nuovo 2 4 2" xfId="2763"/>
    <cellStyle name="Nuovo 2 4 2 2" xfId="2764"/>
    <cellStyle name="Nuovo 2 4 3" xfId="2765"/>
    <cellStyle name="Nuovo 2 5" xfId="1102"/>
    <cellStyle name="Nuovo 20" xfId="1103"/>
    <cellStyle name="Nuovo 20 2" xfId="1104"/>
    <cellStyle name="Nuovo 20 2 2" xfId="2766"/>
    <cellStyle name="Nuovo 20 3" xfId="1105"/>
    <cellStyle name="Nuovo 20 3 2" xfId="1106"/>
    <cellStyle name="Nuovo 20 3 2 2" xfId="4060"/>
    <cellStyle name="Nuovo 20 3 2 3" xfId="4061"/>
    <cellStyle name="Nuovo 20 3 3" xfId="1107"/>
    <cellStyle name="Nuovo 20 3 3 2" xfId="2767"/>
    <cellStyle name="Nuovo 20 3 4" xfId="2768"/>
    <cellStyle name="Nuovo 20 4" xfId="1108"/>
    <cellStyle name="Nuovo 20 4 2" xfId="2769"/>
    <cellStyle name="Nuovo 20 4 2 2" xfId="2770"/>
    <cellStyle name="Nuovo 20 4 3" xfId="2771"/>
    <cellStyle name="Nuovo 20 5" xfId="1109"/>
    <cellStyle name="Nuovo 21" xfId="1110"/>
    <cellStyle name="Nuovo 21 2" xfId="1111"/>
    <cellStyle name="Nuovo 21 2 2" xfId="2772"/>
    <cellStyle name="Nuovo 21 3" xfId="1112"/>
    <cellStyle name="Nuovo 21 3 2" xfId="1113"/>
    <cellStyle name="Nuovo 21 3 2 2" xfId="4062"/>
    <cellStyle name="Nuovo 21 3 2 3" xfId="4063"/>
    <cellStyle name="Nuovo 21 3 3" xfId="1114"/>
    <cellStyle name="Nuovo 21 3 3 2" xfId="2773"/>
    <cellStyle name="Nuovo 21 3 4" xfId="2774"/>
    <cellStyle name="Nuovo 21 4" xfId="1115"/>
    <cellStyle name="Nuovo 21 4 2" xfId="2775"/>
    <cellStyle name="Nuovo 21 4 2 2" xfId="2776"/>
    <cellStyle name="Nuovo 21 4 3" xfId="2777"/>
    <cellStyle name="Nuovo 21 5" xfId="1116"/>
    <cellStyle name="Nuovo 22" xfId="1117"/>
    <cellStyle name="Nuovo 22 2" xfId="1118"/>
    <cellStyle name="Nuovo 22 2 2" xfId="2778"/>
    <cellStyle name="Nuovo 22 3" xfId="1119"/>
    <cellStyle name="Nuovo 22 3 2" xfId="1120"/>
    <cellStyle name="Nuovo 22 3 2 2" xfId="4064"/>
    <cellStyle name="Nuovo 22 3 2 3" xfId="4065"/>
    <cellStyle name="Nuovo 22 3 3" xfId="1121"/>
    <cellStyle name="Nuovo 22 3 3 2" xfId="2779"/>
    <cellStyle name="Nuovo 22 3 4" xfId="2780"/>
    <cellStyle name="Nuovo 22 4" xfId="1122"/>
    <cellStyle name="Nuovo 22 4 2" xfId="2781"/>
    <cellStyle name="Nuovo 22 4 2 2" xfId="2782"/>
    <cellStyle name="Nuovo 22 4 3" xfId="2783"/>
    <cellStyle name="Nuovo 22 5" xfId="1123"/>
    <cellStyle name="Nuovo 23" xfId="1124"/>
    <cellStyle name="Nuovo 23 2" xfId="1125"/>
    <cellStyle name="Nuovo 23 2 2" xfId="2784"/>
    <cellStyle name="Nuovo 23 3" xfId="1126"/>
    <cellStyle name="Nuovo 23 3 2" xfId="1127"/>
    <cellStyle name="Nuovo 23 3 2 2" xfId="4066"/>
    <cellStyle name="Nuovo 23 3 2 3" xfId="4067"/>
    <cellStyle name="Nuovo 23 3 3" xfId="1128"/>
    <cellStyle name="Nuovo 23 3 3 2" xfId="2785"/>
    <cellStyle name="Nuovo 23 3 4" xfId="2786"/>
    <cellStyle name="Nuovo 23 4" xfId="1129"/>
    <cellStyle name="Nuovo 23 4 2" xfId="2787"/>
    <cellStyle name="Nuovo 23 4 2 2" xfId="2788"/>
    <cellStyle name="Nuovo 23 4 3" xfId="2789"/>
    <cellStyle name="Nuovo 23 5" xfId="1130"/>
    <cellStyle name="Nuovo 24" xfId="1131"/>
    <cellStyle name="Nuovo 24 2" xfId="1132"/>
    <cellStyle name="Nuovo 24 2 2" xfId="2790"/>
    <cellStyle name="Nuovo 24 3" xfId="1133"/>
    <cellStyle name="Nuovo 24 3 2" xfId="1134"/>
    <cellStyle name="Nuovo 24 3 2 2" xfId="4068"/>
    <cellStyle name="Nuovo 24 3 2 3" xfId="4069"/>
    <cellStyle name="Nuovo 24 3 3" xfId="1135"/>
    <cellStyle name="Nuovo 24 3 3 2" xfId="2791"/>
    <cellStyle name="Nuovo 24 3 4" xfId="2792"/>
    <cellStyle name="Nuovo 24 4" xfId="1136"/>
    <cellStyle name="Nuovo 24 4 2" xfId="2793"/>
    <cellStyle name="Nuovo 24 4 2 2" xfId="2794"/>
    <cellStyle name="Nuovo 24 4 3" xfId="2795"/>
    <cellStyle name="Nuovo 24 5" xfId="1137"/>
    <cellStyle name="Nuovo 25" xfId="1138"/>
    <cellStyle name="Nuovo 25 2" xfId="1139"/>
    <cellStyle name="Nuovo 25 2 2" xfId="2796"/>
    <cellStyle name="Nuovo 25 3" xfId="1140"/>
    <cellStyle name="Nuovo 25 3 2" xfId="1141"/>
    <cellStyle name="Nuovo 25 3 2 2" xfId="4070"/>
    <cellStyle name="Nuovo 25 3 2 3" xfId="4071"/>
    <cellStyle name="Nuovo 25 3 3" xfId="1142"/>
    <cellStyle name="Nuovo 25 3 3 2" xfId="2797"/>
    <cellStyle name="Nuovo 25 3 4" xfId="2798"/>
    <cellStyle name="Nuovo 25 4" xfId="1143"/>
    <cellStyle name="Nuovo 25 4 2" xfId="2799"/>
    <cellStyle name="Nuovo 25 4 2 2" xfId="2800"/>
    <cellStyle name="Nuovo 25 4 3" xfId="2801"/>
    <cellStyle name="Nuovo 25 5" xfId="1144"/>
    <cellStyle name="Nuovo 26" xfId="1145"/>
    <cellStyle name="Nuovo 26 2" xfId="1146"/>
    <cellStyle name="Nuovo 26 2 2" xfId="2802"/>
    <cellStyle name="Nuovo 26 3" xfId="1147"/>
    <cellStyle name="Nuovo 26 3 2" xfId="1148"/>
    <cellStyle name="Nuovo 26 3 2 2" xfId="4072"/>
    <cellStyle name="Nuovo 26 3 2 3" xfId="4073"/>
    <cellStyle name="Nuovo 26 3 3" xfId="1149"/>
    <cellStyle name="Nuovo 26 3 3 2" xfId="2803"/>
    <cellStyle name="Nuovo 26 3 4" xfId="2804"/>
    <cellStyle name="Nuovo 26 4" xfId="1150"/>
    <cellStyle name="Nuovo 26 4 2" xfId="2805"/>
    <cellStyle name="Nuovo 26 4 2 2" xfId="2806"/>
    <cellStyle name="Nuovo 26 4 3" xfId="2807"/>
    <cellStyle name="Nuovo 26 5" xfId="1151"/>
    <cellStyle name="Nuovo 27" xfId="1152"/>
    <cellStyle name="Nuovo 27 2" xfId="1153"/>
    <cellStyle name="Nuovo 27 2 2" xfId="2808"/>
    <cellStyle name="Nuovo 27 3" xfId="1154"/>
    <cellStyle name="Nuovo 27 3 2" xfId="1155"/>
    <cellStyle name="Nuovo 27 3 2 2" xfId="4074"/>
    <cellStyle name="Nuovo 27 3 2 3" xfId="4075"/>
    <cellStyle name="Nuovo 27 3 3" xfId="1156"/>
    <cellStyle name="Nuovo 27 3 3 2" xfId="2809"/>
    <cellStyle name="Nuovo 27 3 4" xfId="2810"/>
    <cellStyle name="Nuovo 27 4" xfId="1157"/>
    <cellStyle name="Nuovo 27 4 2" xfId="2811"/>
    <cellStyle name="Nuovo 27 4 2 2" xfId="2812"/>
    <cellStyle name="Nuovo 27 4 3" xfId="2813"/>
    <cellStyle name="Nuovo 27 5" xfId="1158"/>
    <cellStyle name="Nuovo 28" xfId="1159"/>
    <cellStyle name="Nuovo 28 2" xfId="1160"/>
    <cellStyle name="Nuovo 28 2 2" xfId="2814"/>
    <cellStyle name="Nuovo 28 3" xfId="1161"/>
    <cellStyle name="Nuovo 28 3 2" xfId="1162"/>
    <cellStyle name="Nuovo 28 3 2 2" xfId="4076"/>
    <cellStyle name="Nuovo 28 3 2 3" xfId="4077"/>
    <cellStyle name="Nuovo 28 3 3" xfId="1163"/>
    <cellStyle name="Nuovo 28 3 3 2" xfId="2815"/>
    <cellStyle name="Nuovo 28 3 4" xfId="2816"/>
    <cellStyle name="Nuovo 28 4" xfId="1164"/>
    <cellStyle name="Nuovo 28 4 2" xfId="2817"/>
    <cellStyle name="Nuovo 28 4 2 2" xfId="2818"/>
    <cellStyle name="Nuovo 28 4 3" xfId="2819"/>
    <cellStyle name="Nuovo 28 5" xfId="1165"/>
    <cellStyle name="Nuovo 29" xfId="1166"/>
    <cellStyle name="Nuovo 29 2" xfId="1167"/>
    <cellStyle name="Nuovo 29 2 2" xfId="2820"/>
    <cellStyle name="Nuovo 29 3" xfId="1168"/>
    <cellStyle name="Nuovo 29 3 2" xfId="1169"/>
    <cellStyle name="Nuovo 29 3 2 2" xfId="4078"/>
    <cellStyle name="Nuovo 29 3 2 3" xfId="4079"/>
    <cellStyle name="Nuovo 29 3 3" xfId="1170"/>
    <cellStyle name="Nuovo 29 3 3 2" xfId="2821"/>
    <cellStyle name="Nuovo 29 3 4" xfId="2822"/>
    <cellStyle name="Nuovo 29 4" xfId="1171"/>
    <cellStyle name="Nuovo 29 4 2" xfId="2823"/>
    <cellStyle name="Nuovo 29 4 2 2" xfId="2824"/>
    <cellStyle name="Nuovo 29 4 3" xfId="2825"/>
    <cellStyle name="Nuovo 29 5" xfId="1172"/>
    <cellStyle name="Nuovo 3" xfId="1173"/>
    <cellStyle name="Nuovo 3 2" xfId="1174"/>
    <cellStyle name="Nuovo 3 2 2" xfId="2826"/>
    <cellStyle name="Nuovo 3 3" xfId="1175"/>
    <cellStyle name="Nuovo 3 3 2" xfId="1176"/>
    <cellStyle name="Nuovo 3 3 2 2" xfId="4080"/>
    <cellStyle name="Nuovo 3 3 2 3" xfId="4081"/>
    <cellStyle name="Nuovo 3 3 3" xfId="1177"/>
    <cellStyle name="Nuovo 3 3 3 2" xfId="2827"/>
    <cellStyle name="Nuovo 3 3 4" xfId="2828"/>
    <cellStyle name="Nuovo 3 4" xfId="1178"/>
    <cellStyle name="Nuovo 3 4 2" xfId="2829"/>
    <cellStyle name="Nuovo 3 4 2 2" xfId="2830"/>
    <cellStyle name="Nuovo 3 4 3" xfId="2831"/>
    <cellStyle name="Nuovo 3 5" xfId="1179"/>
    <cellStyle name="Nuovo 30" xfId="1180"/>
    <cellStyle name="Nuovo 30 2" xfId="1181"/>
    <cellStyle name="Nuovo 30 2 2" xfId="2832"/>
    <cellStyle name="Nuovo 30 3" xfId="1182"/>
    <cellStyle name="Nuovo 30 3 2" xfId="1183"/>
    <cellStyle name="Nuovo 30 3 2 2" xfId="4082"/>
    <cellStyle name="Nuovo 30 3 2 3" xfId="4083"/>
    <cellStyle name="Nuovo 30 3 3" xfId="1184"/>
    <cellStyle name="Nuovo 30 3 3 2" xfId="2833"/>
    <cellStyle name="Nuovo 30 3 4" xfId="2834"/>
    <cellStyle name="Nuovo 30 4" xfId="1185"/>
    <cellStyle name="Nuovo 30 4 2" xfId="2835"/>
    <cellStyle name="Nuovo 30 4 2 2" xfId="2836"/>
    <cellStyle name="Nuovo 30 4 3" xfId="2837"/>
    <cellStyle name="Nuovo 30 5" xfId="1186"/>
    <cellStyle name="Nuovo 31" xfId="1187"/>
    <cellStyle name="Nuovo 31 2" xfId="1188"/>
    <cellStyle name="Nuovo 31 2 2" xfId="2838"/>
    <cellStyle name="Nuovo 31 3" xfId="1189"/>
    <cellStyle name="Nuovo 31 3 2" xfId="1190"/>
    <cellStyle name="Nuovo 31 3 2 2" xfId="4084"/>
    <cellStyle name="Nuovo 31 3 2 3" xfId="4085"/>
    <cellStyle name="Nuovo 31 3 3" xfId="1191"/>
    <cellStyle name="Nuovo 31 3 3 2" xfId="2839"/>
    <cellStyle name="Nuovo 31 3 4" xfId="2840"/>
    <cellStyle name="Nuovo 31 4" xfId="1192"/>
    <cellStyle name="Nuovo 31 4 2" xfId="2841"/>
    <cellStyle name="Nuovo 31 4 2 2" xfId="2842"/>
    <cellStyle name="Nuovo 31 4 3" xfId="2843"/>
    <cellStyle name="Nuovo 31 5" xfId="1193"/>
    <cellStyle name="Nuovo 32" xfId="1194"/>
    <cellStyle name="Nuovo 32 2" xfId="1195"/>
    <cellStyle name="Nuovo 32 2 2" xfId="2844"/>
    <cellStyle name="Nuovo 32 3" xfId="1196"/>
    <cellStyle name="Nuovo 32 3 2" xfId="1197"/>
    <cellStyle name="Nuovo 32 3 2 2" xfId="4086"/>
    <cellStyle name="Nuovo 32 3 2 3" xfId="4087"/>
    <cellStyle name="Nuovo 32 3 3" xfId="1198"/>
    <cellStyle name="Nuovo 32 3 3 2" xfId="2845"/>
    <cellStyle name="Nuovo 32 3 4" xfId="2846"/>
    <cellStyle name="Nuovo 32 4" xfId="1199"/>
    <cellStyle name="Nuovo 32 4 2" xfId="2847"/>
    <cellStyle name="Nuovo 32 4 2 2" xfId="2848"/>
    <cellStyle name="Nuovo 32 4 3" xfId="2849"/>
    <cellStyle name="Nuovo 32 5" xfId="1200"/>
    <cellStyle name="Nuovo 33" xfId="1201"/>
    <cellStyle name="Nuovo 33 2" xfId="1202"/>
    <cellStyle name="Nuovo 33 2 2" xfId="2850"/>
    <cellStyle name="Nuovo 33 3" xfId="1203"/>
    <cellStyle name="Nuovo 33 3 2" xfId="1204"/>
    <cellStyle name="Nuovo 33 3 2 2" xfId="4088"/>
    <cellStyle name="Nuovo 33 3 2 3" xfId="4089"/>
    <cellStyle name="Nuovo 33 3 3" xfId="1205"/>
    <cellStyle name="Nuovo 33 3 3 2" xfId="2851"/>
    <cellStyle name="Nuovo 33 3 4" xfId="2852"/>
    <cellStyle name="Nuovo 33 4" xfId="1206"/>
    <cellStyle name="Nuovo 33 4 2" xfId="2853"/>
    <cellStyle name="Nuovo 33 4 2 2" xfId="2854"/>
    <cellStyle name="Nuovo 33 4 3" xfId="2855"/>
    <cellStyle name="Nuovo 33 5" xfId="1207"/>
    <cellStyle name="Nuovo 34" xfId="1208"/>
    <cellStyle name="Nuovo 34 2" xfId="1209"/>
    <cellStyle name="Nuovo 34 2 2" xfId="2856"/>
    <cellStyle name="Nuovo 34 3" xfId="1210"/>
    <cellStyle name="Nuovo 34 3 2" xfId="1211"/>
    <cellStyle name="Nuovo 34 3 2 2" xfId="4090"/>
    <cellStyle name="Nuovo 34 3 2 3" xfId="4091"/>
    <cellStyle name="Nuovo 34 3 3" xfId="1212"/>
    <cellStyle name="Nuovo 34 3 3 2" xfId="2857"/>
    <cellStyle name="Nuovo 34 3 4" xfId="2858"/>
    <cellStyle name="Nuovo 34 4" xfId="1213"/>
    <cellStyle name="Nuovo 34 4 2" xfId="2859"/>
    <cellStyle name="Nuovo 34 4 2 2" xfId="2860"/>
    <cellStyle name="Nuovo 34 4 3" xfId="2861"/>
    <cellStyle name="Nuovo 34 5" xfId="1214"/>
    <cellStyle name="Nuovo 35" xfId="1215"/>
    <cellStyle name="Nuovo 35 2" xfId="1216"/>
    <cellStyle name="Nuovo 35 2 2" xfId="2862"/>
    <cellStyle name="Nuovo 35 3" xfId="1217"/>
    <cellStyle name="Nuovo 35 3 2" xfId="1218"/>
    <cellStyle name="Nuovo 35 3 2 2" xfId="4092"/>
    <cellStyle name="Nuovo 35 3 2 3" xfId="4093"/>
    <cellStyle name="Nuovo 35 3 3" xfId="1219"/>
    <cellStyle name="Nuovo 35 3 3 2" xfId="2863"/>
    <cellStyle name="Nuovo 35 3 4" xfId="2864"/>
    <cellStyle name="Nuovo 35 4" xfId="1220"/>
    <cellStyle name="Nuovo 35 4 2" xfId="2865"/>
    <cellStyle name="Nuovo 35 4 2 2" xfId="2866"/>
    <cellStyle name="Nuovo 35 4 3" xfId="2867"/>
    <cellStyle name="Nuovo 35 5" xfId="1221"/>
    <cellStyle name="Nuovo 36" xfId="1222"/>
    <cellStyle name="Nuovo 36 2" xfId="1223"/>
    <cellStyle name="Nuovo 36 2 2" xfId="2868"/>
    <cellStyle name="Nuovo 36 3" xfId="1224"/>
    <cellStyle name="Nuovo 36 3 2" xfId="1225"/>
    <cellStyle name="Nuovo 36 3 2 2" xfId="4094"/>
    <cellStyle name="Nuovo 36 3 2 3" xfId="4095"/>
    <cellStyle name="Nuovo 36 3 3" xfId="1226"/>
    <cellStyle name="Nuovo 36 3 3 2" xfId="2869"/>
    <cellStyle name="Nuovo 36 3 4" xfId="2870"/>
    <cellStyle name="Nuovo 36 4" xfId="1227"/>
    <cellStyle name="Nuovo 36 4 2" xfId="2871"/>
    <cellStyle name="Nuovo 36 4 2 2" xfId="2872"/>
    <cellStyle name="Nuovo 36 4 3" xfId="2873"/>
    <cellStyle name="Nuovo 36 5" xfId="1228"/>
    <cellStyle name="Nuovo 37" xfId="1229"/>
    <cellStyle name="Nuovo 37 2" xfId="1230"/>
    <cellStyle name="Nuovo 37 2 2" xfId="2874"/>
    <cellStyle name="Nuovo 37 3" xfId="1231"/>
    <cellStyle name="Nuovo 37 3 2" xfId="1232"/>
    <cellStyle name="Nuovo 37 3 2 2" xfId="4096"/>
    <cellStyle name="Nuovo 37 3 2 3" xfId="4097"/>
    <cellStyle name="Nuovo 37 3 3" xfId="1233"/>
    <cellStyle name="Nuovo 37 3 3 2" xfId="2875"/>
    <cellStyle name="Nuovo 37 3 4" xfId="2876"/>
    <cellStyle name="Nuovo 37 4" xfId="1234"/>
    <cellStyle name="Nuovo 37 4 2" xfId="2877"/>
    <cellStyle name="Nuovo 37 4 2 2" xfId="2878"/>
    <cellStyle name="Nuovo 37 4 3" xfId="2879"/>
    <cellStyle name="Nuovo 37 5" xfId="1235"/>
    <cellStyle name="Nuovo 38" xfId="1236"/>
    <cellStyle name="Nuovo 38 2" xfId="1237"/>
    <cellStyle name="Nuovo 38 2 2" xfId="2880"/>
    <cellStyle name="Nuovo 38 3" xfId="1238"/>
    <cellStyle name="Nuovo 38 3 2" xfId="1239"/>
    <cellStyle name="Nuovo 38 3 2 2" xfId="4098"/>
    <cellStyle name="Nuovo 38 3 2 3" xfId="4099"/>
    <cellStyle name="Nuovo 38 3 3" xfId="1240"/>
    <cellStyle name="Nuovo 38 3 3 2" xfId="2881"/>
    <cellStyle name="Nuovo 38 3 4" xfId="2882"/>
    <cellStyle name="Nuovo 38 4" xfId="1241"/>
    <cellStyle name="Nuovo 38 4 2" xfId="2883"/>
    <cellStyle name="Nuovo 38 4 2 2" xfId="2884"/>
    <cellStyle name="Nuovo 38 4 3" xfId="2885"/>
    <cellStyle name="Nuovo 38 5" xfId="1242"/>
    <cellStyle name="Nuovo 39" xfId="1243"/>
    <cellStyle name="Nuovo 39 2" xfId="1244"/>
    <cellStyle name="Nuovo 39 2 2" xfId="2886"/>
    <cellStyle name="Nuovo 39 3" xfId="1245"/>
    <cellStyle name="Nuovo 39 3 2" xfId="1246"/>
    <cellStyle name="Nuovo 39 3 2 2" xfId="4100"/>
    <cellStyle name="Nuovo 39 3 2 3" xfId="4101"/>
    <cellStyle name="Nuovo 39 3 3" xfId="1247"/>
    <cellStyle name="Nuovo 39 3 3 2" xfId="2887"/>
    <cellStyle name="Nuovo 39 3 4" xfId="2888"/>
    <cellStyle name="Nuovo 39 4" xfId="1248"/>
    <cellStyle name="Nuovo 39 4 2" xfId="2889"/>
    <cellStyle name="Nuovo 39 4 2 2" xfId="2890"/>
    <cellStyle name="Nuovo 39 4 3" xfId="2891"/>
    <cellStyle name="Nuovo 39 5" xfId="1249"/>
    <cellStyle name="Nuovo 4" xfId="1250"/>
    <cellStyle name="Nuovo 4 2" xfId="1251"/>
    <cellStyle name="Nuovo 4 2 2" xfId="2892"/>
    <cellStyle name="Nuovo 4 3" xfId="1252"/>
    <cellStyle name="Nuovo 4 3 2" xfId="1253"/>
    <cellStyle name="Nuovo 4 3 2 2" xfId="4102"/>
    <cellStyle name="Nuovo 4 3 2 3" xfId="4103"/>
    <cellStyle name="Nuovo 4 3 3" xfId="1254"/>
    <cellStyle name="Nuovo 4 3 3 2" xfId="2893"/>
    <cellStyle name="Nuovo 4 3 4" xfId="2894"/>
    <cellStyle name="Nuovo 4 4" xfId="1255"/>
    <cellStyle name="Nuovo 4 4 2" xfId="2895"/>
    <cellStyle name="Nuovo 4 4 2 2" xfId="2896"/>
    <cellStyle name="Nuovo 4 4 3" xfId="2897"/>
    <cellStyle name="Nuovo 4 5" xfId="1256"/>
    <cellStyle name="Nuovo 40" xfId="1257"/>
    <cellStyle name="Nuovo 40 2" xfId="1258"/>
    <cellStyle name="Nuovo 40 2 2" xfId="2898"/>
    <cellStyle name="Nuovo 40 3" xfId="1259"/>
    <cellStyle name="Nuovo 40 3 2" xfId="1260"/>
    <cellStyle name="Nuovo 40 3 2 2" xfId="4104"/>
    <cellStyle name="Nuovo 40 3 2 3" xfId="4105"/>
    <cellStyle name="Nuovo 40 3 3" xfId="1261"/>
    <cellStyle name="Nuovo 40 3 3 2" xfId="2899"/>
    <cellStyle name="Nuovo 40 3 4" xfId="2900"/>
    <cellStyle name="Nuovo 40 4" xfId="1262"/>
    <cellStyle name="Nuovo 40 4 2" xfId="2901"/>
    <cellStyle name="Nuovo 40 4 2 2" xfId="2902"/>
    <cellStyle name="Nuovo 40 4 3" xfId="2903"/>
    <cellStyle name="Nuovo 40 5" xfId="1263"/>
    <cellStyle name="Nuovo 41" xfId="1264"/>
    <cellStyle name="Nuovo 41 2" xfId="1265"/>
    <cellStyle name="Nuovo 41 2 2" xfId="2904"/>
    <cellStyle name="Nuovo 41 3" xfId="1266"/>
    <cellStyle name="Nuovo 41 3 2" xfId="1267"/>
    <cellStyle name="Nuovo 41 3 2 2" xfId="4106"/>
    <cellStyle name="Nuovo 41 3 2 3" xfId="4107"/>
    <cellStyle name="Nuovo 41 3 3" xfId="1268"/>
    <cellStyle name="Nuovo 41 3 3 2" xfId="2905"/>
    <cellStyle name="Nuovo 41 3 4" xfId="2906"/>
    <cellStyle name="Nuovo 41 4" xfId="1269"/>
    <cellStyle name="Nuovo 41 4 2" xfId="2907"/>
    <cellStyle name="Nuovo 41 4 2 2" xfId="2908"/>
    <cellStyle name="Nuovo 41 4 3" xfId="2909"/>
    <cellStyle name="Nuovo 41 5" xfId="1270"/>
    <cellStyle name="Nuovo 42" xfId="1271"/>
    <cellStyle name="Nuovo 42 2" xfId="1272"/>
    <cellStyle name="Nuovo 42 2 2" xfId="2910"/>
    <cellStyle name="Nuovo 42 3" xfId="1273"/>
    <cellStyle name="Nuovo 42 3 2" xfId="1274"/>
    <cellStyle name="Nuovo 42 3 2 2" xfId="4108"/>
    <cellStyle name="Nuovo 42 3 2 3" xfId="4109"/>
    <cellStyle name="Nuovo 42 3 3" xfId="1275"/>
    <cellStyle name="Nuovo 42 3 3 2" xfId="2911"/>
    <cellStyle name="Nuovo 42 3 4" xfId="2912"/>
    <cellStyle name="Nuovo 42 4" xfId="1276"/>
    <cellStyle name="Nuovo 42 4 2" xfId="2913"/>
    <cellStyle name="Nuovo 42 4 2 2" xfId="2914"/>
    <cellStyle name="Nuovo 42 4 3" xfId="2915"/>
    <cellStyle name="Nuovo 42 5" xfId="1277"/>
    <cellStyle name="Nuovo 43" xfId="1278"/>
    <cellStyle name="Nuovo 43 2" xfId="1279"/>
    <cellStyle name="Nuovo 43 2 2" xfId="2916"/>
    <cellStyle name="Nuovo 43 3" xfId="1280"/>
    <cellStyle name="Nuovo 43 3 2" xfId="1281"/>
    <cellStyle name="Nuovo 43 3 2 2" xfId="4110"/>
    <cellStyle name="Nuovo 43 3 2 3" xfId="4111"/>
    <cellStyle name="Nuovo 43 3 3" xfId="1282"/>
    <cellStyle name="Nuovo 43 3 3 2" xfId="2917"/>
    <cellStyle name="Nuovo 43 3 4" xfId="2918"/>
    <cellStyle name="Nuovo 43 4" xfId="1283"/>
    <cellStyle name="Nuovo 43 4 2" xfId="2919"/>
    <cellStyle name="Nuovo 43 4 2 2" xfId="2920"/>
    <cellStyle name="Nuovo 43 4 3" xfId="2921"/>
    <cellStyle name="Nuovo 43 5" xfId="1284"/>
    <cellStyle name="Nuovo 44" xfId="1285"/>
    <cellStyle name="Nuovo 44 2" xfId="1286"/>
    <cellStyle name="Nuovo 44 2 2" xfId="2922"/>
    <cellStyle name="Nuovo 44 3" xfId="1287"/>
    <cellStyle name="Nuovo 44 3 2" xfId="1288"/>
    <cellStyle name="Nuovo 44 3 2 2" xfId="4112"/>
    <cellStyle name="Nuovo 44 3 2 3" xfId="4113"/>
    <cellStyle name="Nuovo 44 3 3" xfId="1289"/>
    <cellStyle name="Nuovo 44 3 3 2" xfId="2923"/>
    <cellStyle name="Nuovo 44 3 4" xfId="2924"/>
    <cellStyle name="Nuovo 44 4" xfId="1290"/>
    <cellStyle name="Nuovo 44 4 2" xfId="2925"/>
    <cellStyle name="Nuovo 44 4 2 2" xfId="2926"/>
    <cellStyle name="Nuovo 44 4 3" xfId="2927"/>
    <cellStyle name="Nuovo 44 5" xfId="1291"/>
    <cellStyle name="Nuovo 45" xfId="1292"/>
    <cellStyle name="Nuovo 45 2" xfId="2928"/>
    <cellStyle name="Nuovo 46" xfId="1293"/>
    <cellStyle name="Nuovo 46 2" xfId="1294"/>
    <cellStyle name="Nuovo 46 2 2" xfId="4114"/>
    <cellStyle name="Nuovo 46 2 3" xfId="4115"/>
    <cellStyle name="Nuovo 46 3" xfId="1295"/>
    <cellStyle name="Nuovo 46 3 2" xfId="2929"/>
    <cellStyle name="Nuovo 46 4" xfId="2930"/>
    <cellStyle name="Nuovo 47" xfId="1296"/>
    <cellStyle name="Nuovo 47 2" xfId="2931"/>
    <cellStyle name="Nuovo 47 2 2" xfId="2932"/>
    <cellStyle name="Nuovo 47 3" xfId="2933"/>
    <cellStyle name="Nuovo 48" xfId="1297"/>
    <cellStyle name="Nuovo 5" xfId="1298"/>
    <cellStyle name="Nuovo 5 2" xfId="1299"/>
    <cellStyle name="Nuovo 5 2 2" xfId="2934"/>
    <cellStyle name="Nuovo 5 3" xfId="1300"/>
    <cellStyle name="Nuovo 5 3 2" xfId="1301"/>
    <cellStyle name="Nuovo 5 3 2 2" xfId="4116"/>
    <cellStyle name="Nuovo 5 3 2 3" xfId="4117"/>
    <cellStyle name="Nuovo 5 3 3" xfId="1302"/>
    <cellStyle name="Nuovo 5 3 3 2" xfId="2935"/>
    <cellStyle name="Nuovo 5 3 4" xfId="2936"/>
    <cellStyle name="Nuovo 5 4" xfId="1303"/>
    <cellStyle name="Nuovo 5 4 2" xfId="2937"/>
    <cellStyle name="Nuovo 5 4 2 2" xfId="2938"/>
    <cellStyle name="Nuovo 5 4 3" xfId="2939"/>
    <cellStyle name="Nuovo 5 5" xfId="1304"/>
    <cellStyle name="Nuovo 6" xfId="1305"/>
    <cellStyle name="Nuovo 6 2" xfId="1306"/>
    <cellStyle name="Nuovo 6 2 2" xfId="2940"/>
    <cellStyle name="Nuovo 6 3" xfId="1307"/>
    <cellStyle name="Nuovo 6 3 2" xfId="1308"/>
    <cellStyle name="Nuovo 6 3 2 2" xfId="4118"/>
    <cellStyle name="Nuovo 6 3 2 3" xfId="4119"/>
    <cellStyle name="Nuovo 6 3 3" xfId="1309"/>
    <cellStyle name="Nuovo 6 3 3 2" xfId="2941"/>
    <cellStyle name="Nuovo 6 3 4" xfId="2942"/>
    <cellStyle name="Nuovo 6 4" xfId="1310"/>
    <cellStyle name="Nuovo 6 4 2" xfId="2943"/>
    <cellStyle name="Nuovo 6 4 2 2" xfId="2944"/>
    <cellStyle name="Nuovo 6 4 3" xfId="2945"/>
    <cellStyle name="Nuovo 6 5" xfId="1311"/>
    <cellStyle name="Nuovo 7" xfId="1312"/>
    <cellStyle name="Nuovo 7 2" xfId="1313"/>
    <cellStyle name="Nuovo 7 2 2" xfId="2946"/>
    <cellStyle name="Nuovo 7 3" xfId="1314"/>
    <cellStyle name="Nuovo 7 3 2" xfId="1315"/>
    <cellStyle name="Nuovo 7 3 2 2" xfId="4120"/>
    <cellStyle name="Nuovo 7 3 2 3" xfId="4121"/>
    <cellStyle name="Nuovo 7 3 3" xfId="1316"/>
    <cellStyle name="Nuovo 7 3 3 2" xfId="2947"/>
    <cellStyle name="Nuovo 7 3 4" xfId="2948"/>
    <cellStyle name="Nuovo 7 4" xfId="1317"/>
    <cellStyle name="Nuovo 7 4 2" xfId="2949"/>
    <cellStyle name="Nuovo 7 4 2 2" xfId="2950"/>
    <cellStyle name="Nuovo 7 4 3" xfId="2951"/>
    <cellStyle name="Nuovo 7 5" xfId="1318"/>
    <cellStyle name="Nuovo 8" xfId="1319"/>
    <cellStyle name="Nuovo 8 2" xfId="1320"/>
    <cellStyle name="Nuovo 8 2 2" xfId="2952"/>
    <cellStyle name="Nuovo 8 3" xfId="1321"/>
    <cellStyle name="Nuovo 8 3 2" xfId="1322"/>
    <cellStyle name="Nuovo 8 3 2 2" xfId="4122"/>
    <cellStyle name="Nuovo 8 3 2 3" xfId="4123"/>
    <cellStyle name="Nuovo 8 3 3" xfId="1323"/>
    <cellStyle name="Nuovo 8 3 3 2" xfId="2953"/>
    <cellStyle name="Nuovo 8 3 4" xfId="2954"/>
    <cellStyle name="Nuovo 8 4" xfId="1324"/>
    <cellStyle name="Nuovo 8 4 2" xfId="2955"/>
    <cellStyle name="Nuovo 8 4 2 2" xfId="2956"/>
    <cellStyle name="Nuovo 8 4 3" xfId="2957"/>
    <cellStyle name="Nuovo 8 5" xfId="1325"/>
    <cellStyle name="Nuovo 9" xfId="1326"/>
    <cellStyle name="Nuovo 9 2" xfId="1327"/>
    <cellStyle name="Nuovo 9 2 2" xfId="2958"/>
    <cellStyle name="Nuovo 9 3" xfId="1328"/>
    <cellStyle name="Nuovo 9 3 2" xfId="1329"/>
    <cellStyle name="Nuovo 9 3 2 2" xfId="4124"/>
    <cellStyle name="Nuovo 9 3 2 3" xfId="4125"/>
    <cellStyle name="Nuovo 9 3 3" xfId="1330"/>
    <cellStyle name="Nuovo 9 3 3 2" xfId="2959"/>
    <cellStyle name="Nuovo 9 3 4" xfId="2960"/>
    <cellStyle name="Nuovo 9 4" xfId="1331"/>
    <cellStyle name="Nuovo 9 4 2" xfId="2961"/>
    <cellStyle name="Nuovo 9 4 2 2" xfId="2962"/>
    <cellStyle name="Nuovo 9 4 3" xfId="2963"/>
    <cellStyle name="Nuovo 9 5" xfId="1332"/>
    <cellStyle name="Output" xfId="1333" builtinId="21" customBuiltin="1"/>
    <cellStyle name="Output 2" xfId="1334"/>
    <cellStyle name="Output 2 2" xfId="1335"/>
    <cellStyle name="Output 2 2 2" xfId="4126"/>
    <cellStyle name="Output 2 2 3" xfId="4127"/>
    <cellStyle name="Output 2 3" xfId="1336"/>
    <cellStyle name="Output 2 3 2" xfId="4128"/>
    <cellStyle name="Output 2 4" xfId="1337"/>
    <cellStyle name="Output 2 5" xfId="1338"/>
    <cellStyle name="Output 2 6" xfId="1339"/>
    <cellStyle name="Output 2 7" xfId="4129"/>
    <cellStyle name="Output 3" xfId="1340"/>
    <cellStyle name="Output 3 2" xfId="1341"/>
    <cellStyle name="Output 3 2 2" xfId="4130"/>
    <cellStyle name="Output 3 3" xfId="1342"/>
    <cellStyle name="Output 3 4" xfId="1343"/>
    <cellStyle name="Output 3 5" xfId="1344"/>
    <cellStyle name="Output 3 6" xfId="4131"/>
    <cellStyle name="Output 4" xfId="2964"/>
    <cellStyle name="Overskrift 1 2" xfId="2965"/>
    <cellStyle name="Overskrift 2 2" xfId="2966"/>
    <cellStyle name="Overskrift 3 2" xfId="2967"/>
    <cellStyle name="Overskrift 4 2" xfId="2968"/>
    <cellStyle name="Percen - Type1" xfId="1345"/>
    <cellStyle name="Percent 2" xfId="1346"/>
    <cellStyle name="Percent 2 2" xfId="2969"/>
    <cellStyle name="Percent 2 2 2" xfId="4132"/>
    <cellStyle name="Percent 2 2 3" xfId="4133"/>
    <cellStyle name="Percent 2 2 3 2" xfId="4134"/>
    <cellStyle name="Percent 2 2 4" xfId="4135"/>
    <cellStyle name="Percent 2 3" xfId="4136"/>
    <cellStyle name="Percent 2 3 2" xfId="4137"/>
    <cellStyle name="Percent 3" xfId="1347"/>
    <cellStyle name="Percent 3 2" xfId="1348"/>
    <cellStyle name="Percent 3 3" xfId="1349"/>
    <cellStyle name="Percent 3 3 2" xfId="1350"/>
    <cellStyle name="Percent 3 3 2 2" xfId="4138"/>
    <cellStyle name="Percent 3 3 3" xfId="1351"/>
    <cellStyle name="Percent 3 3 3 2" xfId="2970"/>
    <cellStyle name="Percent 3 3 4" xfId="2971"/>
    <cellStyle name="Percent 3 4" xfId="1352"/>
    <cellStyle name="Percent 3 4 2" xfId="4139"/>
    <cellStyle name="Percent 3 5" xfId="2972"/>
    <cellStyle name="Percent 3 5 2" xfId="2973"/>
    <cellStyle name="Percent 4" xfId="1353"/>
    <cellStyle name="Percent 4 2" xfId="2974"/>
    <cellStyle name="Percent 4 2 2" xfId="2975"/>
    <cellStyle name="Percent 4 3" xfId="2976"/>
    <cellStyle name="Percent 5" xfId="1354"/>
    <cellStyle name="Percent 6" xfId="1355"/>
    <cellStyle name="Percent 7" xfId="4140"/>
    <cellStyle name="Percent 8" xfId="4345"/>
    <cellStyle name="Percentuale 10" xfId="1356"/>
    <cellStyle name="Percentuale 10 2" xfId="1357"/>
    <cellStyle name="Percentuale 10 2 2" xfId="2977"/>
    <cellStyle name="Percentuale 10 3" xfId="1358"/>
    <cellStyle name="Percentuale 10 3 2" xfId="1359"/>
    <cellStyle name="Percentuale 10 3 2 2" xfId="4141"/>
    <cellStyle name="Percentuale 10 3 2 3" xfId="4142"/>
    <cellStyle name="Percentuale 10 3 3" xfId="1360"/>
    <cellStyle name="Percentuale 10 3 3 2" xfId="2978"/>
    <cellStyle name="Percentuale 10 3 4" xfId="2979"/>
    <cellStyle name="Percentuale 10 4" xfId="1361"/>
    <cellStyle name="Percentuale 10 4 2" xfId="2980"/>
    <cellStyle name="Percentuale 10 4 2 2" xfId="2981"/>
    <cellStyle name="Percentuale 10 4 3" xfId="2982"/>
    <cellStyle name="Percentuale 10 5" xfId="1362"/>
    <cellStyle name="Percentuale 11" xfId="1363"/>
    <cellStyle name="Percentuale 11 2" xfId="1364"/>
    <cellStyle name="Percentuale 11 2 2" xfId="2983"/>
    <cellStyle name="Percentuale 11 3" xfId="1365"/>
    <cellStyle name="Percentuale 11 3 2" xfId="1366"/>
    <cellStyle name="Percentuale 11 3 2 2" xfId="4143"/>
    <cellStyle name="Percentuale 11 3 2 3" xfId="4144"/>
    <cellStyle name="Percentuale 11 3 3" xfId="1367"/>
    <cellStyle name="Percentuale 11 3 3 2" xfId="2984"/>
    <cellStyle name="Percentuale 11 3 4" xfId="2985"/>
    <cellStyle name="Percentuale 11 4" xfId="1368"/>
    <cellStyle name="Percentuale 11 4 2" xfId="2986"/>
    <cellStyle name="Percentuale 11 4 2 2" xfId="2987"/>
    <cellStyle name="Percentuale 11 4 3" xfId="2988"/>
    <cellStyle name="Percentuale 11 5" xfId="1369"/>
    <cellStyle name="Percentuale 12" xfId="1370"/>
    <cellStyle name="Percentuale 12 2" xfId="1371"/>
    <cellStyle name="Percentuale 12 2 2" xfId="2989"/>
    <cellStyle name="Percentuale 12 3" xfId="1372"/>
    <cellStyle name="Percentuale 12 3 2" xfId="1373"/>
    <cellStyle name="Percentuale 12 3 2 2" xfId="4145"/>
    <cellStyle name="Percentuale 12 3 2 3" xfId="4146"/>
    <cellStyle name="Percentuale 12 3 3" xfId="1374"/>
    <cellStyle name="Percentuale 12 3 3 2" xfId="2990"/>
    <cellStyle name="Percentuale 12 3 4" xfId="2991"/>
    <cellStyle name="Percentuale 12 4" xfId="1375"/>
    <cellStyle name="Percentuale 12 4 2" xfId="2992"/>
    <cellStyle name="Percentuale 12 4 2 2" xfId="2993"/>
    <cellStyle name="Percentuale 12 4 3" xfId="2994"/>
    <cellStyle name="Percentuale 12 5" xfId="1376"/>
    <cellStyle name="Percentuale 13" xfId="1377"/>
    <cellStyle name="Percentuale 13 2" xfId="1378"/>
    <cellStyle name="Percentuale 13 2 2" xfId="2995"/>
    <cellStyle name="Percentuale 13 3" xfId="1379"/>
    <cellStyle name="Percentuale 13 3 2" xfId="1380"/>
    <cellStyle name="Percentuale 13 3 2 2" xfId="4147"/>
    <cellStyle name="Percentuale 13 3 2 3" xfId="4148"/>
    <cellStyle name="Percentuale 13 3 3" xfId="1381"/>
    <cellStyle name="Percentuale 13 3 3 2" xfId="2996"/>
    <cellStyle name="Percentuale 13 3 4" xfId="2997"/>
    <cellStyle name="Percentuale 13 4" xfId="1382"/>
    <cellStyle name="Percentuale 13 4 2" xfId="2998"/>
    <cellStyle name="Percentuale 13 4 2 2" xfId="2999"/>
    <cellStyle name="Percentuale 13 4 3" xfId="3000"/>
    <cellStyle name="Percentuale 13 5" xfId="1383"/>
    <cellStyle name="Percentuale 14" xfId="1384"/>
    <cellStyle name="Percentuale 14 2" xfId="1385"/>
    <cellStyle name="Percentuale 14 2 2" xfId="3001"/>
    <cellStyle name="Percentuale 14 3" xfId="1386"/>
    <cellStyle name="Percentuale 14 3 2" xfId="1387"/>
    <cellStyle name="Percentuale 14 3 2 2" xfId="4149"/>
    <cellStyle name="Percentuale 14 3 2 3" xfId="4150"/>
    <cellStyle name="Percentuale 14 3 3" xfId="1388"/>
    <cellStyle name="Percentuale 14 3 3 2" xfId="3002"/>
    <cellStyle name="Percentuale 14 3 4" xfId="3003"/>
    <cellStyle name="Percentuale 14 4" xfId="1389"/>
    <cellStyle name="Percentuale 14 4 2" xfId="3004"/>
    <cellStyle name="Percentuale 14 4 2 2" xfId="3005"/>
    <cellStyle name="Percentuale 14 4 3" xfId="3006"/>
    <cellStyle name="Percentuale 14 5" xfId="1390"/>
    <cellStyle name="Percentuale 15" xfId="1391"/>
    <cellStyle name="Percentuale 15 2" xfId="1392"/>
    <cellStyle name="Percentuale 15 2 2" xfId="3007"/>
    <cellStyle name="Percentuale 15 3" xfId="1393"/>
    <cellStyle name="Percentuale 15 3 2" xfId="1394"/>
    <cellStyle name="Percentuale 15 3 2 2" xfId="4151"/>
    <cellStyle name="Percentuale 15 3 2 3" xfId="4152"/>
    <cellStyle name="Percentuale 15 3 3" xfId="1395"/>
    <cellStyle name="Percentuale 15 3 3 2" xfId="3008"/>
    <cellStyle name="Percentuale 15 3 4" xfId="3009"/>
    <cellStyle name="Percentuale 15 4" xfId="1396"/>
    <cellStyle name="Percentuale 15 4 2" xfId="3010"/>
    <cellStyle name="Percentuale 15 4 2 2" xfId="3011"/>
    <cellStyle name="Percentuale 15 4 3" xfId="3012"/>
    <cellStyle name="Percentuale 15 5" xfId="1397"/>
    <cellStyle name="Percentuale 16" xfId="1398"/>
    <cellStyle name="Percentuale 16 2" xfId="1399"/>
    <cellStyle name="Percentuale 16 2 2" xfId="3013"/>
    <cellStyle name="Percentuale 16 3" xfId="1400"/>
    <cellStyle name="Percentuale 16 3 2" xfId="1401"/>
    <cellStyle name="Percentuale 16 3 2 2" xfId="4153"/>
    <cellStyle name="Percentuale 16 3 2 3" xfId="4154"/>
    <cellStyle name="Percentuale 16 3 3" xfId="1402"/>
    <cellStyle name="Percentuale 16 3 3 2" xfId="3014"/>
    <cellStyle name="Percentuale 16 3 4" xfId="3015"/>
    <cellStyle name="Percentuale 16 4" xfId="1403"/>
    <cellStyle name="Percentuale 16 4 2" xfId="3016"/>
    <cellStyle name="Percentuale 16 4 2 2" xfId="3017"/>
    <cellStyle name="Percentuale 16 4 3" xfId="3018"/>
    <cellStyle name="Percentuale 16 5" xfId="1404"/>
    <cellStyle name="Percentuale 17" xfId="1405"/>
    <cellStyle name="Percentuale 17 2" xfId="1406"/>
    <cellStyle name="Percentuale 17 2 2" xfId="3019"/>
    <cellStyle name="Percentuale 17 3" xfId="1407"/>
    <cellStyle name="Percentuale 17 3 2" xfId="1408"/>
    <cellStyle name="Percentuale 17 3 2 2" xfId="4155"/>
    <cellStyle name="Percentuale 17 3 2 3" xfId="4156"/>
    <cellStyle name="Percentuale 17 3 3" xfId="1409"/>
    <cellStyle name="Percentuale 17 3 3 2" xfId="3020"/>
    <cellStyle name="Percentuale 17 3 4" xfId="3021"/>
    <cellStyle name="Percentuale 17 4" xfId="1410"/>
    <cellStyle name="Percentuale 17 4 2" xfId="3022"/>
    <cellStyle name="Percentuale 17 4 2 2" xfId="3023"/>
    <cellStyle name="Percentuale 17 4 3" xfId="3024"/>
    <cellStyle name="Percentuale 17 5" xfId="1411"/>
    <cellStyle name="Percentuale 18" xfId="1412"/>
    <cellStyle name="Percentuale 18 2" xfId="1413"/>
    <cellStyle name="Percentuale 18 2 2" xfId="3025"/>
    <cellStyle name="Percentuale 18 3" xfId="1414"/>
    <cellStyle name="Percentuale 18 3 2" xfId="1415"/>
    <cellStyle name="Percentuale 18 3 2 2" xfId="4157"/>
    <cellStyle name="Percentuale 18 3 2 3" xfId="4158"/>
    <cellStyle name="Percentuale 18 3 3" xfId="1416"/>
    <cellStyle name="Percentuale 18 3 3 2" xfId="3026"/>
    <cellStyle name="Percentuale 18 3 4" xfId="3027"/>
    <cellStyle name="Percentuale 18 4" xfId="1417"/>
    <cellStyle name="Percentuale 18 4 2" xfId="3028"/>
    <cellStyle name="Percentuale 18 4 2 2" xfId="3029"/>
    <cellStyle name="Percentuale 18 4 3" xfId="3030"/>
    <cellStyle name="Percentuale 18 5" xfId="1418"/>
    <cellStyle name="Percentuale 19" xfId="1419"/>
    <cellStyle name="Percentuale 19 2" xfId="1420"/>
    <cellStyle name="Percentuale 19 2 2" xfId="3031"/>
    <cellStyle name="Percentuale 19 3" xfId="1421"/>
    <cellStyle name="Percentuale 19 3 2" xfId="1422"/>
    <cellStyle name="Percentuale 19 3 2 2" xfId="4159"/>
    <cellStyle name="Percentuale 19 3 2 3" xfId="4160"/>
    <cellStyle name="Percentuale 19 3 3" xfId="1423"/>
    <cellStyle name="Percentuale 19 3 3 2" xfId="3032"/>
    <cellStyle name="Percentuale 19 3 4" xfId="3033"/>
    <cellStyle name="Percentuale 19 4" xfId="1424"/>
    <cellStyle name="Percentuale 19 4 2" xfId="3034"/>
    <cellStyle name="Percentuale 19 4 2 2" xfId="3035"/>
    <cellStyle name="Percentuale 19 4 3" xfId="3036"/>
    <cellStyle name="Percentuale 19 5" xfId="1425"/>
    <cellStyle name="Percentuale 2" xfId="1426"/>
    <cellStyle name="Percentuale 2 2" xfId="1427"/>
    <cellStyle name="Percentuale 2 2 2" xfId="3037"/>
    <cellStyle name="Percentuale 2 3" xfId="1428"/>
    <cellStyle name="Percentuale 2 3 2" xfId="1429"/>
    <cellStyle name="Percentuale 2 3 2 2" xfId="4161"/>
    <cellStyle name="Percentuale 2 3 2 3" xfId="4162"/>
    <cellStyle name="Percentuale 2 3 3" xfId="1430"/>
    <cellStyle name="Percentuale 2 3 3 2" xfId="3038"/>
    <cellStyle name="Percentuale 2 3 4" xfId="3039"/>
    <cellStyle name="Percentuale 2 4" xfId="1431"/>
    <cellStyle name="Percentuale 2 4 2" xfId="3040"/>
    <cellStyle name="Percentuale 2 4 2 2" xfId="3041"/>
    <cellStyle name="Percentuale 2 4 3" xfId="3042"/>
    <cellStyle name="Percentuale 2 5" xfId="1432"/>
    <cellStyle name="Percentuale 20" xfId="1433"/>
    <cellStyle name="Percentuale 20 2" xfId="1434"/>
    <cellStyle name="Percentuale 20 2 2" xfId="3043"/>
    <cellStyle name="Percentuale 20 3" xfId="1435"/>
    <cellStyle name="Percentuale 20 3 2" xfId="1436"/>
    <cellStyle name="Percentuale 20 3 2 2" xfId="4163"/>
    <cellStyle name="Percentuale 20 3 2 3" xfId="4164"/>
    <cellStyle name="Percentuale 20 3 3" xfId="1437"/>
    <cellStyle name="Percentuale 20 3 3 2" xfId="3044"/>
    <cellStyle name="Percentuale 20 3 4" xfId="3045"/>
    <cellStyle name="Percentuale 20 4" xfId="1438"/>
    <cellStyle name="Percentuale 20 4 2" xfId="3046"/>
    <cellStyle name="Percentuale 20 4 2 2" xfId="3047"/>
    <cellStyle name="Percentuale 20 4 3" xfId="3048"/>
    <cellStyle name="Percentuale 20 5" xfId="1439"/>
    <cellStyle name="Percentuale 21" xfId="1440"/>
    <cellStyle name="Percentuale 21 2" xfId="1441"/>
    <cellStyle name="Percentuale 21 2 2" xfId="3049"/>
    <cellStyle name="Percentuale 21 3" xfId="1442"/>
    <cellStyle name="Percentuale 21 3 2" xfId="1443"/>
    <cellStyle name="Percentuale 21 3 2 2" xfId="4165"/>
    <cellStyle name="Percentuale 21 3 2 3" xfId="4166"/>
    <cellStyle name="Percentuale 21 3 3" xfId="1444"/>
    <cellStyle name="Percentuale 21 3 3 2" xfId="3050"/>
    <cellStyle name="Percentuale 21 3 4" xfId="3051"/>
    <cellStyle name="Percentuale 21 4" xfId="1445"/>
    <cellStyle name="Percentuale 21 4 2" xfId="3052"/>
    <cellStyle name="Percentuale 21 4 2 2" xfId="3053"/>
    <cellStyle name="Percentuale 21 4 3" xfId="3054"/>
    <cellStyle name="Percentuale 21 5" xfId="1446"/>
    <cellStyle name="Percentuale 22" xfId="1447"/>
    <cellStyle name="Percentuale 22 2" xfId="1448"/>
    <cellStyle name="Percentuale 22 2 2" xfId="3055"/>
    <cellStyle name="Percentuale 22 3" xfId="1449"/>
    <cellStyle name="Percentuale 22 3 2" xfId="1450"/>
    <cellStyle name="Percentuale 22 3 2 2" xfId="4167"/>
    <cellStyle name="Percentuale 22 3 2 3" xfId="4168"/>
    <cellStyle name="Percentuale 22 3 3" xfId="1451"/>
    <cellStyle name="Percentuale 22 3 3 2" xfId="3056"/>
    <cellStyle name="Percentuale 22 3 4" xfId="3057"/>
    <cellStyle name="Percentuale 22 4" xfId="1452"/>
    <cellStyle name="Percentuale 22 4 2" xfId="3058"/>
    <cellStyle name="Percentuale 22 4 2 2" xfId="3059"/>
    <cellStyle name="Percentuale 22 4 3" xfId="3060"/>
    <cellStyle name="Percentuale 22 5" xfId="1453"/>
    <cellStyle name="Percentuale 23" xfId="1454"/>
    <cellStyle name="Percentuale 23 2" xfId="1455"/>
    <cellStyle name="Percentuale 23 2 2" xfId="3061"/>
    <cellStyle name="Percentuale 23 3" xfId="1456"/>
    <cellStyle name="Percentuale 23 3 2" xfId="1457"/>
    <cellStyle name="Percentuale 23 3 2 2" xfId="4169"/>
    <cellStyle name="Percentuale 23 3 2 3" xfId="4170"/>
    <cellStyle name="Percentuale 23 3 3" xfId="1458"/>
    <cellStyle name="Percentuale 23 3 3 2" xfId="3062"/>
    <cellStyle name="Percentuale 23 3 4" xfId="3063"/>
    <cellStyle name="Percentuale 23 4" xfId="1459"/>
    <cellStyle name="Percentuale 23 4 2" xfId="3064"/>
    <cellStyle name="Percentuale 23 4 2 2" xfId="3065"/>
    <cellStyle name="Percentuale 23 4 3" xfId="3066"/>
    <cellStyle name="Percentuale 23 5" xfId="1460"/>
    <cellStyle name="Percentuale 24" xfId="1461"/>
    <cellStyle name="Percentuale 24 2" xfId="1462"/>
    <cellStyle name="Percentuale 24 2 2" xfId="3067"/>
    <cellStyle name="Percentuale 24 3" xfId="1463"/>
    <cellStyle name="Percentuale 24 3 2" xfId="1464"/>
    <cellStyle name="Percentuale 24 3 2 2" xfId="4171"/>
    <cellStyle name="Percentuale 24 3 2 3" xfId="4172"/>
    <cellStyle name="Percentuale 24 3 3" xfId="1465"/>
    <cellStyle name="Percentuale 24 3 3 2" xfId="3068"/>
    <cellStyle name="Percentuale 24 3 4" xfId="3069"/>
    <cellStyle name="Percentuale 24 4" xfId="1466"/>
    <cellStyle name="Percentuale 24 4 2" xfId="3070"/>
    <cellStyle name="Percentuale 24 4 2 2" xfId="3071"/>
    <cellStyle name="Percentuale 24 4 3" xfId="3072"/>
    <cellStyle name="Percentuale 24 5" xfId="1467"/>
    <cellStyle name="Percentuale 25" xfId="1468"/>
    <cellStyle name="Percentuale 25 2" xfId="1469"/>
    <cellStyle name="Percentuale 25 2 2" xfId="3073"/>
    <cellStyle name="Percentuale 25 3" xfId="1470"/>
    <cellStyle name="Percentuale 25 3 2" xfId="1471"/>
    <cellStyle name="Percentuale 25 3 2 2" xfId="4173"/>
    <cellStyle name="Percentuale 25 3 2 3" xfId="4174"/>
    <cellStyle name="Percentuale 25 3 3" xfId="1472"/>
    <cellStyle name="Percentuale 25 3 3 2" xfId="3074"/>
    <cellStyle name="Percentuale 25 3 4" xfId="3075"/>
    <cellStyle name="Percentuale 25 4" xfId="1473"/>
    <cellStyle name="Percentuale 25 4 2" xfId="3076"/>
    <cellStyle name="Percentuale 25 4 2 2" xfId="3077"/>
    <cellStyle name="Percentuale 25 4 3" xfId="3078"/>
    <cellStyle name="Percentuale 25 5" xfId="1474"/>
    <cellStyle name="Percentuale 26" xfId="1475"/>
    <cellStyle name="Percentuale 26 2" xfId="1476"/>
    <cellStyle name="Percentuale 26 2 2" xfId="3079"/>
    <cellStyle name="Percentuale 26 3" xfId="1477"/>
    <cellStyle name="Percentuale 26 3 2" xfId="1478"/>
    <cellStyle name="Percentuale 26 3 2 2" xfId="4175"/>
    <cellStyle name="Percentuale 26 3 2 3" xfId="4176"/>
    <cellStyle name="Percentuale 26 3 3" xfId="1479"/>
    <cellStyle name="Percentuale 26 3 3 2" xfId="3080"/>
    <cellStyle name="Percentuale 26 3 4" xfId="3081"/>
    <cellStyle name="Percentuale 26 4" xfId="1480"/>
    <cellStyle name="Percentuale 26 4 2" xfId="3082"/>
    <cellStyle name="Percentuale 26 4 2 2" xfId="3083"/>
    <cellStyle name="Percentuale 26 4 3" xfId="3084"/>
    <cellStyle name="Percentuale 26 5" xfId="1481"/>
    <cellStyle name="Percentuale 27" xfId="1482"/>
    <cellStyle name="Percentuale 27 2" xfId="1483"/>
    <cellStyle name="Percentuale 27 2 2" xfId="3085"/>
    <cellStyle name="Percentuale 27 3" xfId="1484"/>
    <cellStyle name="Percentuale 27 3 2" xfId="1485"/>
    <cellStyle name="Percentuale 27 3 2 2" xfId="4177"/>
    <cellStyle name="Percentuale 27 3 2 3" xfId="4178"/>
    <cellStyle name="Percentuale 27 3 3" xfId="1486"/>
    <cellStyle name="Percentuale 27 3 3 2" xfId="3086"/>
    <cellStyle name="Percentuale 27 3 4" xfId="3087"/>
    <cellStyle name="Percentuale 27 4" xfId="1487"/>
    <cellStyle name="Percentuale 27 4 2" xfId="3088"/>
    <cellStyle name="Percentuale 27 4 2 2" xfId="3089"/>
    <cellStyle name="Percentuale 27 4 3" xfId="3090"/>
    <cellStyle name="Percentuale 27 5" xfId="1488"/>
    <cellStyle name="Percentuale 28" xfId="1489"/>
    <cellStyle name="Percentuale 28 2" xfId="1490"/>
    <cellStyle name="Percentuale 28 2 2" xfId="3091"/>
    <cellStyle name="Percentuale 28 3" xfId="1491"/>
    <cellStyle name="Percentuale 28 3 2" xfId="1492"/>
    <cellStyle name="Percentuale 28 3 2 2" xfId="4179"/>
    <cellStyle name="Percentuale 28 3 2 3" xfId="4180"/>
    <cellStyle name="Percentuale 28 3 3" xfId="1493"/>
    <cellStyle name="Percentuale 28 3 3 2" xfId="3092"/>
    <cellStyle name="Percentuale 28 3 4" xfId="3093"/>
    <cellStyle name="Percentuale 28 4" xfId="1494"/>
    <cellStyle name="Percentuale 28 4 2" xfId="3094"/>
    <cellStyle name="Percentuale 28 4 2 2" xfId="3095"/>
    <cellStyle name="Percentuale 28 4 3" xfId="3096"/>
    <cellStyle name="Percentuale 28 5" xfId="1495"/>
    <cellStyle name="Percentuale 29" xfId="1496"/>
    <cellStyle name="Percentuale 29 2" xfId="1497"/>
    <cellStyle name="Percentuale 29 2 2" xfId="3097"/>
    <cellStyle name="Percentuale 29 3" xfId="1498"/>
    <cellStyle name="Percentuale 29 3 2" xfId="1499"/>
    <cellStyle name="Percentuale 29 3 2 2" xfId="4181"/>
    <cellStyle name="Percentuale 29 3 2 3" xfId="4182"/>
    <cellStyle name="Percentuale 29 3 3" xfId="1500"/>
    <cellStyle name="Percentuale 29 3 3 2" xfId="3098"/>
    <cellStyle name="Percentuale 29 3 4" xfId="3099"/>
    <cellStyle name="Percentuale 29 4" xfId="1501"/>
    <cellStyle name="Percentuale 29 4 2" xfId="3100"/>
    <cellStyle name="Percentuale 29 4 2 2" xfId="3101"/>
    <cellStyle name="Percentuale 29 4 3" xfId="3102"/>
    <cellStyle name="Percentuale 29 5" xfId="1502"/>
    <cellStyle name="Percentuale 3" xfId="1503"/>
    <cellStyle name="Percentuale 3 2" xfId="1504"/>
    <cellStyle name="Percentuale 3 2 2" xfId="3103"/>
    <cellStyle name="Percentuale 3 3" xfId="1505"/>
    <cellStyle name="Percentuale 3 3 2" xfId="1506"/>
    <cellStyle name="Percentuale 3 3 2 2" xfId="4183"/>
    <cellStyle name="Percentuale 3 3 2 3" xfId="4184"/>
    <cellStyle name="Percentuale 3 3 3" xfId="1507"/>
    <cellStyle name="Percentuale 3 3 3 2" xfId="3104"/>
    <cellStyle name="Percentuale 3 3 4" xfId="3105"/>
    <cellStyle name="Percentuale 3 4" xfId="1508"/>
    <cellStyle name="Percentuale 3 4 2" xfId="3106"/>
    <cellStyle name="Percentuale 3 4 2 2" xfId="3107"/>
    <cellStyle name="Percentuale 3 4 3" xfId="3108"/>
    <cellStyle name="Percentuale 3 5" xfId="1509"/>
    <cellStyle name="Percentuale 30" xfId="1510"/>
    <cellStyle name="Percentuale 30 2" xfId="1511"/>
    <cellStyle name="Percentuale 30 2 2" xfId="3109"/>
    <cellStyle name="Percentuale 30 3" xfId="1512"/>
    <cellStyle name="Percentuale 30 3 2" xfId="1513"/>
    <cellStyle name="Percentuale 30 3 2 2" xfId="4185"/>
    <cellStyle name="Percentuale 30 3 2 3" xfId="4186"/>
    <cellStyle name="Percentuale 30 3 3" xfId="1514"/>
    <cellStyle name="Percentuale 30 3 3 2" xfId="3110"/>
    <cellStyle name="Percentuale 30 3 4" xfId="3111"/>
    <cellStyle name="Percentuale 30 4" xfId="1515"/>
    <cellStyle name="Percentuale 30 4 2" xfId="3112"/>
    <cellStyle name="Percentuale 30 4 2 2" xfId="3113"/>
    <cellStyle name="Percentuale 30 4 3" xfId="3114"/>
    <cellStyle name="Percentuale 30 5" xfId="1516"/>
    <cellStyle name="Percentuale 31" xfId="1517"/>
    <cellStyle name="Percentuale 31 2" xfId="1518"/>
    <cellStyle name="Percentuale 31 2 2" xfId="3115"/>
    <cellStyle name="Percentuale 31 3" xfId="1519"/>
    <cellStyle name="Percentuale 31 3 2" xfId="1520"/>
    <cellStyle name="Percentuale 31 3 2 2" xfId="4187"/>
    <cellStyle name="Percentuale 31 3 2 3" xfId="4188"/>
    <cellStyle name="Percentuale 31 3 3" xfId="1521"/>
    <cellStyle name="Percentuale 31 3 3 2" xfId="3116"/>
    <cellStyle name="Percentuale 31 3 4" xfId="3117"/>
    <cellStyle name="Percentuale 31 4" xfId="1522"/>
    <cellStyle name="Percentuale 31 4 2" xfId="3118"/>
    <cellStyle name="Percentuale 31 4 2 2" xfId="3119"/>
    <cellStyle name="Percentuale 31 4 3" xfId="3120"/>
    <cellStyle name="Percentuale 31 5" xfId="1523"/>
    <cellStyle name="Percentuale 32" xfId="1524"/>
    <cellStyle name="Percentuale 32 2" xfId="1525"/>
    <cellStyle name="Percentuale 32 2 2" xfId="3121"/>
    <cellStyle name="Percentuale 32 3" xfId="1526"/>
    <cellStyle name="Percentuale 32 3 2" xfId="1527"/>
    <cellStyle name="Percentuale 32 3 2 2" xfId="4189"/>
    <cellStyle name="Percentuale 32 3 2 3" xfId="4190"/>
    <cellStyle name="Percentuale 32 3 3" xfId="1528"/>
    <cellStyle name="Percentuale 32 3 3 2" xfId="3122"/>
    <cellStyle name="Percentuale 32 3 4" xfId="3123"/>
    <cellStyle name="Percentuale 32 4" xfId="1529"/>
    <cellStyle name="Percentuale 32 4 2" xfId="3124"/>
    <cellStyle name="Percentuale 32 4 2 2" xfId="3125"/>
    <cellStyle name="Percentuale 32 4 3" xfId="3126"/>
    <cellStyle name="Percentuale 32 5" xfId="1530"/>
    <cellStyle name="Percentuale 33" xfId="1531"/>
    <cellStyle name="Percentuale 33 2" xfId="1532"/>
    <cellStyle name="Percentuale 33 2 2" xfId="3127"/>
    <cellStyle name="Percentuale 33 3" xfId="1533"/>
    <cellStyle name="Percentuale 33 3 2" xfId="1534"/>
    <cellStyle name="Percentuale 33 3 2 2" xfId="4191"/>
    <cellStyle name="Percentuale 33 3 2 3" xfId="4192"/>
    <cellStyle name="Percentuale 33 3 3" xfId="1535"/>
    <cellStyle name="Percentuale 33 3 3 2" xfId="3128"/>
    <cellStyle name="Percentuale 33 3 4" xfId="3129"/>
    <cellStyle name="Percentuale 33 4" xfId="1536"/>
    <cellStyle name="Percentuale 33 4 2" xfId="3130"/>
    <cellStyle name="Percentuale 33 4 2 2" xfId="3131"/>
    <cellStyle name="Percentuale 33 4 3" xfId="3132"/>
    <cellStyle name="Percentuale 33 5" xfId="1537"/>
    <cellStyle name="Percentuale 34" xfId="1538"/>
    <cellStyle name="Percentuale 34 2" xfId="1539"/>
    <cellStyle name="Percentuale 34 2 2" xfId="3133"/>
    <cellStyle name="Percentuale 34 3" xfId="1540"/>
    <cellStyle name="Percentuale 34 3 2" xfId="1541"/>
    <cellStyle name="Percentuale 34 3 2 2" xfId="4193"/>
    <cellStyle name="Percentuale 34 3 2 3" xfId="4194"/>
    <cellStyle name="Percentuale 34 3 3" xfId="1542"/>
    <cellStyle name="Percentuale 34 3 3 2" xfId="3134"/>
    <cellStyle name="Percentuale 34 3 4" xfId="3135"/>
    <cellStyle name="Percentuale 34 4" xfId="1543"/>
    <cellStyle name="Percentuale 34 4 2" xfId="3136"/>
    <cellStyle name="Percentuale 34 4 2 2" xfId="3137"/>
    <cellStyle name="Percentuale 34 4 3" xfId="3138"/>
    <cellStyle name="Percentuale 34 5" xfId="1544"/>
    <cellStyle name="Percentuale 35" xfId="1545"/>
    <cellStyle name="Percentuale 35 2" xfId="1546"/>
    <cellStyle name="Percentuale 35 2 2" xfId="3139"/>
    <cellStyle name="Percentuale 35 3" xfId="1547"/>
    <cellStyle name="Percentuale 35 3 2" xfId="1548"/>
    <cellStyle name="Percentuale 35 3 2 2" xfId="4195"/>
    <cellStyle name="Percentuale 35 3 2 3" xfId="4196"/>
    <cellStyle name="Percentuale 35 3 3" xfId="1549"/>
    <cellStyle name="Percentuale 35 3 3 2" xfId="3140"/>
    <cellStyle name="Percentuale 35 3 4" xfId="3141"/>
    <cellStyle name="Percentuale 35 4" xfId="1550"/>
    <cellStyle name="Percentuale 35 4 2" xfId="3142"/>
    <cellStyle name="Percentuale 35 4 2 2" xfId="3143"/>
    <cellStyle name="Percentuale 35 4 3" xfId="3144"/>
    <cellStyle name="Percentuale 35 5" xfId="1551"/>
    <cellStyle name="Percentuale 36" xfId="1552"/>
    <cellStyle name="Percentuale 36 2" xfId="1553"/>
    <cellStyle name="Percentuale 36 2 2" xfId="3145"/>
    <cellStyle name="Percentuale 36 3" xfId="1554"/>
    <cellStyle name="Percentuale 36 3 2" xfId="1555"/>
    <cellStyle name="Percentuale 36 3 2 2" xfId="4197"/>
    <cellStyle name="Percentuale 36 3 2 3" xfId="4198"/>
    <cellStyle name="Percentuale 36 3 3" xfId="1556"/>
    <cellStyle name="Percentuale 36 3 3 2" xfId="3146"/>
    <cellStyle name="Percentuale 36 3 4" xfId="3147"/>
    <cellStyle name="Percentuale 36 4" xfId="1557"/>
    <cellStyle name="Percentuale 36 4 2" xfId="3148"/>
    <cellStyle name="Percentuale 36 4 2 2" xfId="3149"/>
    <cellStyle name="Percentuale 36 4 3" xfId="3150"/>
    <cellStyle name="Percentuale 36 5" xfId="1558"/>
    <cellStyle name="Percentuale 37" xfId="1559"/>
    <cellStyle name="Percentuale 37 2" xfId="1560"/>
    <cellStyle name="Percentuale 37 2 2" xfId="3151"/>
    <cellStyle name="Percentuale 37 3" xfId="1561"/>
    <cellStyle name="Percentuale 37 3 2" xfId="1562"/>
    <cellStyle name="Percentuale 37 3 2 2" xfId="4199"/>
    <cellStyle name="Percentuale 37 3 2 3" xfId="4200"/>
    <cellStyle name="Percentuale 37 3 3" xfId="1563"/>
    <cellStyle name="Percentuale 37 3 3 2" xfId="3152"/>
    <cellStyle name="Percentuale 37 3 4" xfId="3153"/>
    <cellStyle name="Percentuale 37 4" xfId="1564"/>
    <cellStyle name="Percentuale 37 4 2" xfId="3154"/>
    <cellStyle name="Percentuale 37 4 2 2" xfId="3155"/>
    <cellStyle name="Percentuale 37 4 3" xfId="3156"/>
    <cellStyle name="Percentuale 37 5" xfId="1565"/>
    <cellStyle name="Percentuale 38" xfId="1566"/>
    <cellStyle name="Percentuale 38 2" xfId="1567"/>
    <cellStyle name="Percentuale 38 2 2" xfId="3157"/>
    <cellStyle name="Percentuale 38 3" xfId="1568"/>
    <cellStyle name="Percentuale 38 3 2" xfId="1569"/>
    <cellStyle name="Percentuale 38 3 2 2" xfId="4201"/>
    <cellStyle name="Percentuale 38 3 2 3" xfId="4202"/>
    <cellStyle name="Percentuale 38 3 3" xfId="1570"/>
    <cellStyle name="Percentuale 38 3 3 2" xfId="3158"/>
    <cellStyle name="Percentuale 38 3 4" xfId="3159"/>
    <cellStyle name="Percentuale 38 4" xfId="1571"/>
    <cellStyle name="Percentuale 38 4 2" xfId="3160"/>
    <cellStyle name="Percentuale 38 4 2 2" xfId="3161"/>
    <cellStyle name="Percentuale 38 4 3" xfId="3162"/>
    <cellStyle name="Percentuale 38 5" xfId="1572"/>
    <cellStyle name="Percentuale 39" xfId="1573"/>
    <cellStyle name="Percentuale 39 2" xfId="1574"/>
    <cellStyle name="Percentuale 39 2 2" xfId="3163"/>
    <cellStyle name="Percentuale 39 3" xfId="1575"/>
    <cellStyle name="Percentuale 39 3 2" xfId="1576"/>
    <cellStyle name="Percentuale 39 3 2 2" xfId="4203"/>
    <cellStyle name="Percentuale 39 3 2 3" xfId="4204"/>
    <cellStyle name="Percentuale 39 3 3" xfId="1577"/>
    <cellStyle name="Percentuale 39 3 3 2" xfId="3164"/>
    <cellStyle name="Percentuale 39 3 4" xfId="3165"/>
    <cellStyle name="Percentuale 39 4" xfId="1578"/>
    <cellStyle name="Percentuale 39 4 2" xfId="3166"/>
    <cellStyle name="Percentuale 39 4 2 2" xfId="3167"/>
    <cellStyle name="Percentuale 39 4 3" xfId="3168"/>
    <cellStyle name="Percentuale 39 5" xfId="1579"/>
    <cellStyle name="Percentuale 4" xfId="1580"/>
    <cellStyle name="Percentuale 4 2" xfId="1581"/>
    <cellStyle name="Percentuale 4 2 2" xfId="3169"/>
    <cellStyle name="Percentuale 4 3" xfId="1582"/>
    <cellStyle name="Percentuale 4 3 2" xfId="1583"/>
    <cellStyle name="Percentuale 4 3 2 2" xfId="4205"/>
    <cellStyle name="Percentuale 4 3 2 3" xfId="4206"/>
    <cellStyle name="Percentuale 4 3 3" xfId="1584"/>
    <cellStyle name="Percentuale 4 3 3 2" xfId="3170"/>
    <cellStyle name="Percentuale 4 3 4" xfId="3171"/>
    <cellStyle name="Percentuale 4 4" xfId="1585"/>
    <cellStyle name="Percentuale 4 4 2" xfId="3172"/>
    <cellStyle name="Percentuale 4 4 2 2" xfId="3173"/>
    <cellStyle name="Percentuale 4 4 3" xfId="3174"/>
    <cellStyle name="Percentuale 4 5" xfId="1586"/>
    <cellStyle name="Percentuale 40" xfId="1587"/>
    <cellStyle name="Percentuale 40 2" xfId="1588"/>
    <cellStyle name="Percentuale 40 2 2" xfId="3175"/>
    <cellStyle name="Percentuale 40 3" xfId="1589"/>
    <cellStyle name="Percentuale 40 3 2" xfId="1590"/>
    <cellStyle name="Percentuale 40 3 2 2" xfId="4207"/>
    <cellStyle name="Percentuale 40 3 2 3" xfId="4208"/>
    <cellStyle name="Percentuale 40 3 3" xfId="1591"/>
    <cellStyle name="Percentuale 40 3 3 2" xfId="3176"/>
    <cellStyle name="Percentuale 40 3 4" xfId="3177"/>
    <cellStyle name="Percentuale 40 4" xfId="1592"/>
    <cellStyle name="Percentuale 40 4 2" xfId="3178"/>
    <cellStyle name="Percentuale 40 4 2 2" xfId="3179"/>
    <cellStyle name="Percentuale 40 4 3" xfId="3180"/>
    <cellStyle name="Percentuale 40 5" xfId="1593"/>
    <cellStyle name="Percentuale 41" xfId="1594"/>
    <cellStyle name="Percentuale 41 2" xfId="1595"/>
    <cellStyle name="Percentuale 41 2 2" xfId="3181"/>
    <cellStyle name="Percentuale 41 3" xfId="1596"/>
    <cellStyle name="Percentuale 41 3 2" xfId="1597"/>
    <cellStyle name="Percentuale 41 3 2 2" xfId="4209"/>
    <cellStyle name="Percentuale 41 3 2 3" xfId="4210"/>
    <cellStyle name="Percentuale 41 3 3" xfId="1598"/>
    <cellStyle name="Percentuale 41 3 3 2" xfId="3182"/>
    <cellStyle name="Percentuale 41 3 4" xfId="3183"/>
    <cellStyle name="Percentuale 41 4" xfId="1599"/>
    <cellStyle name="Percentuale 41 4 2" xfId="3184"/>
    <cellStyle name="Percentuale 41 4 2 2" xfId="3185"/>
    <cellStyle name="Percentuale 41 4 3" xfId="3186"/>
    <cellStyle name="Percentuale 41 5" xfId="1600"/>
    <cellStyle name="Percentuale 42" xfId="1601"/>
    <cellStyle name="Percentuale 42 2" xfId="1602"/>
    <cellStyle name="Percentuale 42 2 2" xfId="3187"/>
    <cellStyle name="Percentuale 42 3" xfId="1603"/>
    <cellStyle name="Percentuale 42 3 2" xfId="1604"/>
    <cellStyle name="Percentuale 42 3 2 2" xfId="4211"/>
    <cellStyle name="Percentuale 42 3 2 3" xfId="4212"/>
    <cellStyle name="Percentuale 42 3 3" xfId="1605"/>
    <cellStyle name="Percentuale 42 3 3 2" xfId="3188"/>
    <cellStyle name="Percentuale 42 3 4" xfId="3189"/>
    <cellStyle name="Percentuale 42 4" xfId="1606"/>
    <cellStyle name="Percentuale 42 4 2" xfId="3190"/>
    <cellStyle name="Percentuale 42 4 2 2" xfId="3191"/>
    <cellStyle name="Percentuale 42 4 3" xfId="3192"/>
    <cellStyle name="Percentuale 42 5" xfId="1607"/>
    <cellStyle name="Percentuale 43" xfId="1608"/>
    <cellStyle name="Percentuale 43 2" xfId="1609"/>
    <cellStyle name="Percentuale 43 2 2" xfId="3193"/>
    <cellStyle name="Percentuale 43 3" xfId="1610"/>
    <cellStyle name="Percentuale 43 3 2" xfId="1611"/>
    <cellStyle name="Percentuale 43 3 2 2" xfId="4213"/>
    <cellStyle name="Percentuale 43 3 2 3" xfId="4214"/>
    <cellStyle name="Percentuale 43 3 3" xfId="1612"/>
    <cellStyle name="Percentuale 43 3 3 2" xfId="3194"/>
    <cellStyle name="Percentuale 43 3 4" xfId="3195"/>
    <cellStyle name="Percentuale 43 4" xfId="1613"/>
    <cellStyle name="Percentuale 43 4 2" xfId="3196"/>
    <cellStyle name="Percentuale 43 4 2 2" xfId="3197"/>
    <cellStyle name="Percentuale 43 4 3" xfId="3198"/>
    <cellStyle name="Percentuale 43 5" xfId="1614"/>
    <cellStyle name="Percentuale 44" xfId="1615"/>
    <cellStyle name="Percentuale 44 2" xfId="1616"/>
    <cellStyle name="Percentuale 44 2 2" xfId="3199"/>
    <cellStyle name="Percentuale 44 3" xfId="1617"/>
    <cellStyle name="Percentuale 44 3 2" xfId="1618"/>
    <cellStyle name="Percentuale 44 3 2 2" xfId="4215"/>
    <cellStyle name="Percentuale 44 3 2 3" xfId="4216"/>
    <cellStyle name="Percentuale 44 3 3" xfId="1619"/>
    <cellStyle name="Percentuale 44 3 3 2" xfId="3200"/>
    <cellStyle name="Percentuale 44 3 4" xfId="3201"/>
    <cellStyle name="Percentuale 44 4" xfId="1620"/>
    <cellStyle name="Percentuale 44 4 2" xfId="3202"/>
    <cellStyle name="Percentuale 44 4 2 2" xfId="3203"/>
    <cellStyle name="Percentuale 44 4 3" xfId="3204"/>
    <cellStyle name="Percentuale 44 5" xfId="1621"/>
    <cellStyle name="Percentuale 45" xfId="1622"/>
    <cellStyle name="Percentuale 45 2" xfId="1623"/>
    <cellStyle name="Percentuale 45 2 2" xfId="3205"/>
    <cellStyle name="Percentuale 45 3" xfId="1624"/>
    <cellStyle name="Percentuale 45 3 2" xfId="1625"/>
    <cellStyle name="Percentuale 45 3 2 2" xfId="4217"/>
    <cellStyle name="Percentuale 45 3 2 3" xfId="4218"/>
    <cellStyle name="Percentuale 45 3 3" xfId="1626"/>
    <cellStyle name="Percentuale 45 3 3 2" xfId="3206"/>
    <cellStyle name="Percentuale 45 3 4" xfId="3207"/>
    <cellStyle name="Percentuale 45 4" xfId="1627"/>
    <cellStyle name="Percentuale 45 4 2" xfId="3208"/>
    <cellStyle name="Percentuale 45 4 2 2" xfId="3209"/>
    <cellStyle name="Percentuale 45 4 3" xfId="3210"/>
    <cellStyle name="Percentuale 45 5" xfId="1628"/>
    <cellStyle name="Percentuale 46" xfId="1629"/>
    <cellStyle name="Percentuale 46 2" xfId="1630"/>
    <cellStyle name="Percentuale 46 2 2" xfId="3211"/>
    <cellStyle name="Percentuale 46 3" xfId="1631"/>
    <cellStyle name="Percentuale 46 3 2" xfId="1632"/>
    <cellStyle name="Percentuale 46 3 2 2" xfId="4219"/>
    <cellStyle name="Percentuale 46 3 2 3" xfId="4220"/>
    <cellStyle name="Percentuale 46 3 3" xfId="1633"/>
    <cellStyle name="Percentuale 46 3 3 2" xfId="3212"/>
    <cellStyle name="Percentuale 46 3 4" xfId="3213"/>
    <cellStyle name="Percentuale 46 4" xfId="1634"/>
    <cellStyle name="Percentuale 46 4 2" xfId="3214"/>
    <cellStyle name="Percentuale 46 4 2 2" xfId="3215"/>
    <cellStyle name="Percentuale 46 4 3" xfId="3216"/>
    <cellStyle name="Percentuale 46 5" xfId="1635"/>
    <cellStyle name="Percentuale 47" xfId="1636"/>
    <cellStyle name="Percentuale 47 2" xfId="1637"/>
    <cellStyle name="Percentuale 47 2 2" xfId="3217"/>
    <cellStyle name="Percentuale 47 3" xfId="1638"/>
    <cellStyle name="Percentuale 47 3 2" xfId="1639"/>
    <cellStyle name="Percentuale 47 3 2 2" xfId="4221"/>
    <cellStyle name="Percentuale 47 3 2 3" xfId="4222"/>
    <cellStyle name="Percentuale 47 3 3" xfId="1640"/>
    <cellStyle name="Percentuale 47 3 3 2" xfId="3218"/>
    <cellStyle name="Percentuale 47 3 4" xfId="3219"/>
    <cellStyle name="Percentuale 47 4" xfId="1641"/>
    <cellStyle name="Percentuale 47 4 2" xfId="3220"/>
    <cellStyle name="Percentuale 47 4 2 2" xfId="3221"/>
    <cellStyle name="Percentuale 47 4 3" xfId="3222"/>
    <cellStyle name="Percentuale 47 5" xfId="1642"/>
    <cellStyle name="Percentuale 48" xfId="1643"/>
    <cellStyle name="Percentuale 48 2" xfId="1644"/>
    <cellStyle name="Percentuale 48 2 2" xfId="3223"/>
    <cellStyle name="Percentuale 48 3" xfId="1645"/>
    <cellStyle name="Percentuale 48 3 2" xfId="1646"/>
    <cellStyle name="Percentuale 48 3 2 2" xfId="4223"/>
    <cellStyle name="Percentuale 48 3 2 3" xfId="4224"/>
    <cellStyle name="Percentuale 48 3 3" xfId="1647"/>
    <cellStyle name="Percentuale 48 3 3 2" xfId="3224"/>
    <cellStyle name="Percentuale 48 3 4" xfId="3225"/>
    <cellStyle name="Percentuale 48 4" xfId="1648"/>
    <cellStyle name="Percentuale 48 4 2" xfId="3226"/>
    <cellStyle name="Percentuale 48 4 2 2" xfId="3227"/>
    <cellStyle name="Percentuale 48 4 3" xfId="3228"/>
    <cellStyle name="Percentuale 48 5" xfId="1649"/>
    <cellStyle name="Percentuale 49" xfId="1650"/>
    <cellStyle name="Percentuale 49 2" xfId="1651"/>
    <cellStyle name="Percentuale 49 2 2" xfId="3229"/>
    <cellStyle name="Percentuale 49 3" xfId="1652"/>
    <cellStyle name="Percentuale 49 3 2" xfId="1653"/>
    <cellStyle name="Percentuale 49 3 2 2" xfId="4225"/>
    <cellStyle name="Percentuale 49 3 2 3" xfId="4226"/>
    <cellStyle name="Percentuale 49 3 3" xfId="1654"/>
    <cellStyle name="Percentuale 49 3 3 2" xfId="3230"/>
    <cellStyle name="Percentuale 49 3 4" xfId="3231"/>
    <cellStyle name="Percentuale 49 4" xfId="1655"/>
    <cellStyle name="Percentuale 49 4 2" xfId="3232"/>
    <cellStyle name="Percentuale 49 4 2 2" xfId="3233"/>
    <cellStyle name="Percentuale 49 4 3" xfId="3234"/>
    <cellStyle name="Percentuale 49 5" xfId="1656"/>
    <cellStyle name="Percentuale 5" xfId="1657"/>
    <cellStyle name="Percentuale 5 2" xfId="1658"/>
    <cellStyle name="Percentuale 5 2 2" xfId="3235"/>
    <cellStyle name="Percentuale 5 3" xfId="1659"/>
    <cellStyle name="Percentuale 5 3 2" xfId="1660"/>
    <cellStyle name="Percentuale 5 3 2 2" xfId="4227"/>
    <cellStyle name="Percentuale 5 3 2 3" xfId="4228"/>
    <cellStyle name="Percentuale 5 3 3" xfId="1661"/>
    <cellStyle name="Percentuale 5 3 3 2" xfId="3236"/>
    <cellStyle name="Percentuale 5 3 4" xfId="3237"/>
    <cellStyle name="Percentuale 5 4" xfId="1662"/>
    <cellStyle name="Percentuale 5 4 2" xfId="3238"/>
    <cellStyle name="Percentuale 5 4 2 2" xfId="3239"/>
    <cellStyle name="Percentuale 5 4 3" xfId="3240"/>
    <cellStyle name="Percentuale 5 5" xfId="1663"/>
    <cellStyle name="Percentuale 50" xfId="1664"/>
    <cellStyle name="Percentuale 50 2" xfId="1665"/>
    <cellStyle name="Percentuale 50 2 2" xfId="3241"/>
    <cellStyle name="Percentuale 50 3" xfId="1666"/>
    <cellStyle name="Percentuale 50 3 2" xfId="1667"/>
    <cellStyle name="Percentuale 50 3 2 2" xfId="4229"/>
    <cellStyle name="Percentuale 50 3 2 3" xfId="4230"/>
    <cellStyle name="Percentuale 50 3 3" xfId="1668"/>
    <cellStyle name="Percentuale 50 3 3 2" xfId="3242"/>
    <cellStyle name="Percentuale 50 3 4" xfId="3243"/>
    <cellStyle name="Percentuale 50 4" xfId="1669"/>
    <cellStyle name="Percentuale 50 4 2" xfId="3244"/>
    <cellStyle name="Percentuale 50 4 2 2" xfId="3245"/>
    <cellStyle name="Percentuale 50 4 3" xfId="3246"/>
    <cellStyle name="Percentuale 50 5" xfId="1670"/>
    <cellStyle name="Percentuale 51" xfId="1671"/>
    <cellStyle name="Percentuale 51 2" xfId="1672"/>
    <cellStyle name="Percentuale 51 2 2" xfId="3247"/>
    <cellStyle name="Percentuale 51 3" xfId="1673"/>
    <cellStyle name="Percentuale 51 3 2" xfId="1674"/>
    <cellStyle name="Percentuale 51 3 2 2" xfId="4231"/>
    <cellStyle name="Percentuale 51 3 2 3" xfId="4232"/>
    <cellStyle name="Percentuale 51 3 3" xfId="1675"/>
    <cellStyle name="Percentuale 51 3 3 2" xfId="3248"/>
    <cellStyle name="Percentuale 51 3 4" xfId="3249"/>
    <cellStyle name="Percentuale 51 4" xfId="1676"/>
    <cellStyle name="Percentuale 51 4 2" xfId="3250"/>
    <cellStyle name="Percentuale 51 4 2 2" xfId="3251"/>
    <cellStyle name="Percentuale 51 4 3" xfId="3252"/>
    <cellStyle name="Percentuale 51 5" xfId="1677"/>
    <cellStyle name="Percentuale 52" xfId="1678"/>
    <cellStyle name="Percentuale 52 2" xfId="1679"/>
    <cellStyle name="Percentuale 52 2 2" xfId="3253"/>
    <cellStyle name="Percentuale 52 3" xfId="1680"/>
    <cellStyle name="Percentuale 52 3 2" xfId="1681"/>
    <cellStyle name="Percentuale 52 3 2 2" xfId="4233"/>
    <cellStyle name="Percentuale 52 3 2 3" xfId="4234"/>
    <cellStyle name="Percentuale 52 3 3" xfId="1682"/>
    <cellStyle name="Percentuale 52 3 3 2" xfId="3254"/>
    <cellStyle name="Percentuale 52 3 4" xfId="3255"/>
    <cellStyle name="Percentuale 52 4" xfId="1683"/>
    <cellStyle name="Percentuale 52 4 2" xfId="3256"/>
    <cellStyle name="Percentuale 52 4 2 2" xfId="3257"/>
    <cellStyle name="Percentuale 52 4 3" xfId="3258"/>
    <cellStyle name="Percentuale 52 5" xfId="1684"/>
    <cellStyle name="Percentuale 53" xfId="1685"/>
    <cellStyle name="Percentuale 53 2" xfId="1686"/>
    <cellStyle name="Percentuale 53 2 2" xfId="3259"/>
    <cellStyle name="Percentuale 53 3" xfId="1687"/>
    <cellStyle name="Percentuale 53 3 2" xfId="1688"/>
    <cellStyle name="Percentuale 53 3 2 2" xfId="4235"/>
    <cellStyle name="Percentuale 53 3 2 3" xfId="4236"/>
    <cellStyle name="Percentuale 53 3 3" xfId="1689"/>
    <cellStyle name="Percentuale 53 3 3 2" xfId="3260"/>
    <cellStyle name="Percentuale 53 3 4" xfId="3261"/>
    <cellStyle name="Percentuale 53 4" xfId="1690"/>
    <cellStyle name="Percentuale 53 4 2" xfId="3262"/>
    <cellStyle name="Percentuale 53 4 2 2" xfId="3263"/>
    <cellStyle name="Percentuale 53 4 3" xfId="3264"/>
    <cellStyle name="Percentuale 53 5" xfId="1691"/>
    <cellStyle name="Percentuale 54" xfId="1692"/>
    <cellStyle name="Percentuale 54 2" xfId="1693"/>
    <cellStyle name="Percentuale 54 2 2" xfId="3265"/>
    <cellStyle name="Percentuale 54 3" xfId="1694"/>
    <cellStyle name="Percentuale 54 3 2" xfId="1695"/>
    <cellStyle name="Percentuale 54 3 2 2" xfId="4237"/>
    <cellStyle name="Percentuale 54 3 2 3" xfId="4238"/>
    <cellStyle name="Percentuale 54 3 3" xfId="1696"/>
    <cellStyle name="Percentuale 54 3 3 2" xfId="3266"/>
    <cellStyle name="Percentuale 54 3 4" xfId="3267"/>
    <cellStyle name="Percentuale 54 4" xfId="1697"/>
    <cellStyle name="Percentuale 54 4 2" xfId="3268"/>
    <cellStyle name="Percentuale 54 4 2 2" xfId="3269"/>
    <cellStyle name="Percentuale 54 4 3" xfId="3270"/>
    <cellStyle name="Percentuale 54 5" xfId="1698"/>
    <cellStyle name="Percentuale 55" xfId="1699"/>
    <cellStyle name="Percentuale 55 2" xfId="1700"/>
    <cellStyle name="Percentuale 55 2 2" xfId="3271"/>
    <cellStyle name="Percentuale 55 3" xfId="1701"/>
    <cellStyle name="Percentuale 55 3 2" xfId="1702"/>
    <cellStyle name="Percentuale 55 3 2 2" xfId="4239"/>
    <cellStyle name="Percentuale 55 3 2 3" xfId="4240"/>
    <cellStyle name="Percentuale 55 3 3" xfId="1703"/>
    <cellStyle name="Percentuale 55 3 3 2" xfId="3272"/>
    <cellStyle name="Percentuale 55 3 4" xfId="3273"/>
    <cellStyle name="Percentuale 55 4" xfId="1704"/>
    <cellStyle name="Percentuale 55 4 2" xfId="3274"/>
    <cellStyle name="Percentuale 55 4 2 2" xfId="3275"/>
    <cellStyle name="Percentuale 55 4 3" xfId="3276"/>
    <cellStyle name="Percentuale 55 5" xfId="1705"/>
    <cellStyle name="Percentuale 56" xfId="1706"/>
    <cellStyle name="Percentuale 56 2" xfId="1707"/>
    <cellStyle name="Percentuale 56 2 2" xfId="3277"/>
    <cellStyle name="Percentuale 56 3" xfId="1708"/>
    <cellStyle name="Percentuale 56 3 2" xfId="1709"/>
    <cellStyle name="Percentuale 56 3 2 2" xfId="4241"/>
    <cellStyle name="Percentuale 56 3 2 3" xfId="4242"/>
    <cellStyle name="Percentuale 56 3 3" xfId="1710"/>
    <cellStyle name="Percentuale 56 3 3 2" xfId="3278"/>
    <cellStyle name="Percentuale 56 3 4" xfId="3279"/>
    <cellStyle name="Percentuale 56 4" xfId="1711"/>
    <cellStyle name="Percentuale 56 4 2" xfId="3280"/>
    <cellStyle name="Percentuale 56 4 2 2" xfId="3281"/>
    <cellStyle name="Percentuale 56 4 3" xfId="3282"/>
    <cellStyle name="Percentuale 56 5" xfId="1712"/>
    <cellStyle name="Percentuale 57" xfId="1713"/>
    <cellStyle name="Percentuale 57 2" xfId="1714"/>
    <cellStyle name="Percentuale 57 2 2" xfId="3283"/>
    <cellStyle name="Percentuale 57 3" xfId="1715"/>
    <cellStyle name="Percentuale 57 3 2" xfId="1716"/>
    <cellStyle name="Percentuale 57 3 2 2" xfId="4243"/>
    <cellStyle name="Percentuale 57 3 2 3" xfId="4244"/>
    <cellStyle name="Percentuale 57 3 3" xfId="1717"/>
    <cellStyle name="Percentuale 57 3 3 2" xfId="3284"/>
    <cellStyle name="Percentuale 57 3 4" xfId="3285"/>
    <cellStyle name="Percentuale 57 4" xfId="1718"/>
    <cellStyle name="Percentuale 57 4 2" xfId="3286"/>
    <cellStyle name="Percentuale 57 4 2 2" xfId="3287"/>
    <cellStyle name="Percentuale 57 4 3" xfId="3288"/>
    <cellStyle name="Percentuale 57 5" xfId="1719"/>
    <cellStyle name="Percentuale 58" xfId="1720"/>
    <cellStyle name="Percentuale 58 2" xfId="1721"/>
    <cellStyle name="Percentuale 58 2 2" xfId="3289"/>
    <cellStyle name="Percentuale 58 3" xfId="1722"/>
    <cellStyle name="Percentuale 58 3 2" xfId="1723"/>
    <cellStyle name="Percentuale 58 3 2 2" xfId="4245"/>
    <cellStyle name="Percentuale 58 3 2 3" xfId="4246"/>
    <cellStyle name="Percentuale 58 3 3" xfId="1724"/>
    <cellStyle name="Percentuale 58 3 3 2" xfId="3290"/>
    <cellStyle name="Percentuale 58 3 4" xfId="3291"/>
    <cellStyle name="Percentuale 58 4" xfId="1725"/>
    <cellStyle name="Percentuale 58 4 2" xfId="3292"/>
    <cellStyle name="Percentuale 58 4 2 2" xfId="3293"/>
    <cellStyle name="Percentuale 58 4 3" xfId="3294"/>
    <cellStyle name="Percentuale 58 5" xfId="1726"/>
    <cellStyle name="Percentuale 59" xfId="1727"/>
    <cellStyle name="Percentuale 59 2" xfId="1728"/>
    <cellStyle name="Percentuale 59 2 2" xfId="3295"/>
    <cellStyle name="Percentuale 59 3" xfId="1729"/>
    <cellStyle name="Percentuale 59 3 2" xfId="1730"/>
    <cellStyle name="Percentuale 59 3 2 2" xfId="4247"/>
    <cellStyle name="Percentuale 59 3 2 3" xfId="4248"/>
    <cellStyle name="Percentuale 59 3 3" xfId="1731"/>
    <cellStyle name="Percentuale 59 3 3 2" xfId="3296"/>
    <cellStyle name="Percentuale 59 3 4" xfId="3297"/>
    <cellStyle name="Percentuale 59 4" xfId="1732"/>
    <cellStyle name="Percentuale 59 4 2" xfId="3298"/>
    <cellStyle name="Percentuale 59 4 2 2" xfId="3299"/>
    <cellStyle name="Percentuale 59 4 3" xfId="3300"/>
    <cellStyle name="Percentuale 59 5" xfId="1733"/>
    <cellStyle name="Percentuale 6" xfId="1734"/>
    <cellStyle name="Percentuale 6 2" xfId="1735"/>
    <cellStyle name="Percentuale 6 2 2" xfId="3301"/>
    <cellStyle name="Percentuale 6 3" xfId="1736"/>
    <cellStyle name="Percentuale 6 3 2" xfId="1737"/>
    <cellStyle name="Percentuale 6 3 2 2" xfId="4249"/>
    <cellStyle name="Percentuale 6 3 2 3" xfId="4250"/>
    <cellStyle name="Percentuale 6 3 3" xfId="1738"/>
    <cellStyle name="Percentuale 6 3 3 2" xfId="3302"/>
    <cellStyle name="Percentuale 6 3 4" xfId="3303"/>
    <cellStyle name="Percentuale 6 4" xfId="1739"/>
    <cellStyle name="Percentuale 6 4 2" xfId="3304"/>
    <cellStyle name="Percentuale 6 4 2 2" xfId="3305"/>
    <cellStyle name="Percentuale 6 4 3" xfId="3306"/>
    <cellStyle name="Percentuale 6 5" xfId="1740"/>
    <cellStyle name="Percentuale 60" xfId="1741"/>
    <cellStyle name="Percentuale 60 2" xfId="1742"/>
    <cellStyle name="Percentuale 60 2 2" xfId="3307"/>
    <cellStyle name="Percentuale 60 3" xfId="1743"/>
    <cellStyle name="Percentuale 60 3 2" xfId="1744"/>
    <cellStyle name="Percentuale 60 3 2 2" xfId="4251"/>
    <cellStyle name="Percentuale 60 3 2 3" xfId="4252"/>
    <cellStyle name="Percentuale 60 3 3" xfId="1745"/>
    <cellStyle name="Percentuale 60 3 3 2" xfId="3308"/>
    <cellStyle name="Percentuale 60 3 4" xfId="3309"/>
    <cellStyle name="Percentuale 60 4" xfId="1746"/>
    <cellStyle name="Percentuale 60 4 2" xfId="3310"/>
    <cellStyle name="Percentuale 60 4 2 2" xfId="3311"/>
    <cellStyle name="Percentuale 60 4 3" xfId="3312"/>
    <cellStyle name="Percentuale 60 5" xfId="1747"/>
    <cellStyle name="Percentuale 61" xfId="1748"/>
    <cellStyle name="Percentuale 61 2" xfId="1749"/>
    <cellStyle name="Percentuale 61 2 2" xfId="3313"/>
    <cellStyle name="Percentuale 61 3" xfId="1750"/>
    <cellStyle name="Percentuale 61 3 2" xfId="1751"/>
    <cellStyle name="Percentuale 61 3 2 2" xfId="4253"/>
    <cellStyle name="Percentuale 61 3 2 3" xfId="4254"/>
    <cellStyle name="Percentuale 61 3 3" xfId="1752"/>
    <cellStyle name="Percentuale 61 3 3 2" xfId="3314"/>
    <cellStyle name="Percentuale 61 3 4" xfId="3315"/>
    <cellStyle name="Percentuale 61 4" xfId="1753"/>
    <cellStyle name="Percentuale 61 4 2" xfId="3316"/>
    <cellStyle name="Percentuale 61 4 2 2" xfId="3317"/>
    <cellStyle name="Percentuale 61 4 3" xfId="3318"/>
    <cellStyle name="Percentuale 61 5" xfId="1754"/>
    <cellStyle name="Percentuale 62" xfId="1755"/>
    <cellStyle name="Percentuale 62 2" xfId="3319"/>
    <cellStyle name="Percentuale 63" xfId="1756"/>
    <cellStyle name="Percentuale 63 2" xfId="3320"/>
    <cellStyle name="Percentuale 64" xfId="1757"/>
    <cellStyle name="Percentuale 64 2" xfId="3321"/>
    <cellStyle name="Percentuale 65" xfId="1758"/>
    <cellStyle name="Percentuale 65 2" xfId="3322"/>
    <cellStyle name="Percentuale 66" xfId="1759"/>
    <cellStyle name="Percentuale 66 2" xfId="3323"/>
    <cellStyle name="Percentuale 67" xfId="1760"/>
    <cellStyle name="Percentuale 67 2" xfId="3324"/>
    <cellStyle name="Percentuale 68" xfId="1761"/>
    <cellStyle name="Percentuale 68 2" xfId="1762"/>
    <cellStyle name="Percentuale 68 2 2" xfId="3325"/>
    <cellStyle name="Percentuale 68 3" xfId="1763"/>
    <cellStyle name="Percentuale 68 3 2" xfId="1764"/>
    <cellStyle name="Percentuale 68 3 2 2" xfId="4255"/>
    <cellStyle name="Percentuale 68 3 2 3" xfId="4256"/>
    <cellStyle name="Percentuale 68 3 3" xfId="1765"/>
    <cellStyle name="Percentuale 68 3 3 2" xfId="3326"/>
    <cellStyle name="Percentuale 68 3 4" xfId="3327"/>
    <cellStyle name="Percentuale 68 4" xfId="1766"/>
    <cellStyle name="Percentuale 68 4 2" xfId="3328"/>
    <cellStyle name="Percentuale 68 4 2 2" xfId="3329"/>
    <cellStyle name="Percentuale 68 4 3" xfId="3330"/>
    <cellStyle name="Percentuale 68 5" xfId="1767"/>
    <cellStyle name="Percentuale 69" xfId="1768"/>
    <cellStyle name="Percentuale 69 2" xfId="1769"/>
    <cellStyle name="Percentuale 69 2 2" xfId="3331"/>
    <cellStyle name="Percentuale 69 3" xfId="1770"/>
    <cellStyle name="Percentuale 69 3 2" xfId="1771"/>
    <cellStyle name="Percentuale 69 3 2 2" xfId="4257"/>
    <cellStyle name="Percentuale 69 3 2 3" xfId="4258"/>
    <cellStyle name="Percentuale 69 3 3" xfId="1772"/>
    <cellStyle name="Percentuale 69 3 3 2" xfId="3332"/>
    <cellStyle name="Percentuale 69 3 4" xfId="3333"/>
    <cellStyle name="Percentuale 69 4" xfId="1773"/>
    <cellStyle name="Percentuale 69 4 2" xfId="3334"/>
    <cellStyle name="Percentuale 69 4 2 2" xfId="3335"/>
    <cellStyle name="Percentuale 69 4 3" xfId="3336"/>
    <cellStyle name="Percentuale 69 5" xfId="1774"/>
    <cellStyle name="Percentuale 7" xfId="1775"/>
    <cellStyle name="Percentuale 7 2" xfId="1776"/>
    <cellStyle name="Percentuale 7 2 2" xfId="3337"/>
    <cellStyle name="Percentuale 7 3" xfId="1777"/>
    <cellStyle name="Percentuale 7 3 2" xfId="1778"/>
    <cellStyle name="Percentuale 7 3 2 2" xfId="4259"/>
    <cellStyle name="Percentuale 7 3 2 3" xfId="4260"/>
    <cellStyle name="Percentuale 7 3 3" xfId="1779"/>
    <cellStyle name="Percentuale 7 3 3 2" xfId="3338"/>
    <cellStyle name="Percentuale 7 3 4" xfId="3339"/>
    <cellStyle name="Percentuale 7 4" xfId="1780"/>
    <cellStyle name="Percentuale 7 4 2" xfId="3340"/>
    <cellStyle name="Percentuale 7 4 2 2" xfId="3341"/>
    <cellStyle name="Percentuale 7 4 3" xfId="3342"/>
    <cellStyle name="Percentuale 7 5" xfId="1781"/>
    <cellStyle name="Percentuale 8" xfId="1782"/>
    <cellStyle name="Percentuale 8 2" xfId="1783"/>
    <cellStyle name="Percentuale 8 2 2" xfId="3343"/>
    <cellStyle name="Percentuale 8 3" xfId="1784"/>
    <cellStyle name="Percentuale 8 3 2" xfId="1785"/>
    <cellStyle name="Percentuale 8 3 2 2" xfId="4261"/>
    <cellStyle name="Percentuale 8 3 2 3" xfId="4262"/>
    <cellStyle name="Percentuale 8 3 3" xfId="1786"/>
    <cellStyle name="Percentuale 8 3 3 2" xfId="3344"/>
    <cellStyle name="Percentuale 8 3 4" xfId="3345"/>
    <cellStyle name="Percentuale 8 4" xfId="1787"/>
    <cellStyle name="Percentuale 8 4 2" xfId="3346"/>
    <cellStyle name="Percentuale 8 4 2 2" xfId="3347"/>
    <cellStyle name="Percentuale 8 4 3" xfId="3348"/>
    <cellStyle name="Percentuale 8 5" xfId="1788"/>
    <cellStyle name="Percentuale 9" xfId="1789"/>
    <cellStyle name="Percentuale 9 2" xfId="1790"/>
    <cellStyle name="Percentuale 9 2 2" xfId="3349"/>
    <cellStyle name="Percentuale 9 3" xfId="1791"/>
    <cellStyle name="Percentuale 9 3 2" xfId="1792"/>
    <cellStyle name="Percentuale 9 3 2 2" xfId="4263"/>
    <cellStyle name="Percentuale 9 3 2 3" xfId="4264"/>
    <cellStyle name="Percentuale 9 3 3" xfId="1793"/>
    <cellStyle name="Percentuale 9 3 3 2" xfId="3350"/>
    <cellStyle name="Percentuale 9 3 4" xfId="3351"/>
    <cellStyle name="Percentuale 9 4" xfId="1794"/>
    <cellStyle name="Percentuale 9 4 2" xfId="3352"/>
    <cellStyle name="Percentuale 9 4 2 2" xfId="3353"/>
    <cellStyle name="Percentuale 9 4 3" xfId="3354"/>
    <cellStyle name="Percentuale 9 5" xfId="1795"/>
    <cellStyle name="Procent 2" xfId="1796"/>
    <cellStyle name="Procent 2 2" xfId="3355"/>
    <cellStyle name="Procent 2 2 2" xfId="4265"/>
    <cellStyle name="Procent 2 2 3" xfId="4266"/>
    <cellStyle name="Procent 3" xfId="3356"/>
    <cellStyle name="Procent 3 2" xfId="3357"/>
    <cellStyle name="Procent 3 2 2" xfId="4267"/>
    <cellStyle name="Procent 3 3" xfId="4268"/>
    <cellStyle name="Procent 4" xfId="3358"/>
    <cellStyle name="Procent 4 2" xfId="3359"/>
    <cellStyle name="Standard_Sce_D_Extraction" xfId="1797"/>
    <cellStyle name="Style 155" xfId="4269"/>
    <cellStyle name="Style 156" xfId="4270"/>
    <cellStyle name="Style 157" xfId="4271"/>
    <cellStyle name="Style 158" xfId="4272"/>
    <cellStyle name="Style 159" xfId="4273"/>
    <cellStyle name="Style 161" xfId="4274"/>
    <cellStyle name="Style 162" xfId="4275"/>
    <cellStyle name="Style 163" xfId="4276"/>
    <cellStyle name="Style 223" xfId="4277"/>
    <cellStyle name="Style 224" xfId="4278"/>
    <cellStyle name="Style 225" xfId="4279"/>
    <cellStyle name="Style 226" xfId="4280"/>
    <cellStyle name="Style 227" xfId="4281"/>
    <cellStyle name="Style 229" xfId="4282"/>
    <cellStyle name="Style 230" xfId="4283"/>
    <cellStyle name="Style 231" xfId="4284"/>
    <cellStyle name="Style 257" xfId="4285"/>
    <cellStyle name="Style 258" xfId="4286"/>
    <cellStyle name="Style 259" xfId="4287"/>
    <cellStyle name="Style 260" xfId="4288"/>
    <cellStyle name="Style 261" xfId="4289"/>
    <cellStyle name="Style 263" xfId="4290"/>
    <cellStyle name="Style 264" xfId="4291"/>
    <cellStyle name="Style 265" xfId="4292"/>
    <cellStyle name="Style 461" xfId="4293"/>
    <cellStyle name="Style 467" xfId="4294"/>
    <cellStyle name="Style 468" xfId="4295"/>
    <cellStyle name="Style 469" xfId="4296"/>
    <cellStyle name="Style 478" xfId="4297"/>
    <cellStyle name="Style 479" xfId="4298"/>
    <cellStyle name="Style 480" xfId="4299"/>
    <cellStyle name="Style 481" xfId="4300"/>
    <cellStyle name="Style 482" xfId="4301"/>
    <cellStyle name="Style 484" xfId="4302"/>
    <cellStyle name="Style 485" xfId="4303"/>
    <cellStyle name="Style 486" xfId="4304"/>
    <cellStyle name="Style 495" xfId="4305"/>
    <cellStyle name="Style 496" xfId="4306"/>
    <cellStyle name="Style 497" xfId="4307"/>
    <cellStyle name="Style 498" xfId="4308"/>
    <cellStyle name="Style 499" xfId="4309"/>
    <cellStyle name="Style 501" xfId="4310"/>
    <cellStyle name="Style 502" xfId="4311"/>
    <cellStyle name="Style 503" xfId="4312"/>
    <cellStyle name="Style 580" xfId="4313"/>
    <cellStyle name="Style 581" xfId="4314"/>
    <cellStyle name="Style 582" xfId="4315"/>
    <cellStyle name="Style 583" xfId="4316"/>
    <cellStyle name="Style 584" xfId="4317"/>
    <cellStyle name="Style 586" xfId="4318"/>
    <cellStyle name="Style 587" xfId="4319"/>
    <cellStyle name="Style 588" xfId="4320"/>
    <cellStyle name="Testo avviso" xfId="1798"/>
    <cellStyle name="Testo descrittivo" xfId="1799"/>
    <cellStyle name="Titolo" xfId="1800"/>
    <cellStyle name="Titolo 1" xfId="1801"/>
    <cellStyle name="Titolo 1 2" xfId="4321"/>
    <cellStyle name="Titolo 1 3" xfId="4322"/>
    <cellStyle name="Titolo 2" xfId="1802"/>
    <cellStyle name="Titolo 2 2" xfId="4323"/>
    <cellStyle name="Titolo 2 3" xfId="4324"/>
    <cellStyle name="Titolo 3" xfId="1803"/>
    <cellStyle name="Titolo 3 2" xfId="1804"/>
    <cellStyle name="Titolo 3 2 2" xfId="4325"/>
    <cellStyle name="Titolo 3 3" xfId="4326"/>
    <cellStyle name="Titolo 4" xfId="1805"/>
    <cellStyle name="Total 2" xfId="4327"/>
    <cellStyle name="Total 2 2" xfId="4328"/>
    <cellStyle name="Totale" xfId="1806"/>
    <cellStyle name="Totale 2" xfId="1807"/>
    <cellStyle name="Totale 2 2" xfId="4329"/>
    <cellStyle name="Totale 2 3" xfId="4330"/>
    <cellStyle name="Totale 3" xfId="1808"/>
    <cellStyle name="Totale 3 2" xfId="4331"/>
    <cellStyle name="Totale 3 3" xfId="4332"/>
    <cellStyle name="Totale 4" xfId="1809"/>
    <cellStyle name="Totale 4 2" xfId="4333"/>
    <cellStyle name="Totale 5" xfId="1810"/>
    <cellStyle name="Totale 6" xfId="1811"/>
    <cellStyle name="Totale 7" xfId="4334"/>
    <cellStyle name="Uncertain" xfId="3360"/>
    <cellStyle name="Valore non valido" xfId="1812"/>
    <cellStyle name="Valore valido" xfId="1813"/>
    <cellStyle name="Years" xfId="3361"/>
    <cellStyle name="Обычный_CRF2002 (1)" xfId="181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7.xml"/><Relationship Id="rId3" Type="http://schemas.openxmlformats.org/officeDocument/2006/relationships/worksheet" Target="worksheets/sheet3.xml"/><Relationship Id="rId21" Type="http://schemas.openxmlformats.org/officeDocument/2006/relationships/externalLink" Target="externalLinks/externalLink2.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externalLink" Target="externalLinks/externalLink11.xml"/><Relationship Id="rId35" Type="http://schemas.openxmlformats.org/officeDocument/2006/relationships/calcChain" Target="calcChain.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3" name="TextBox 2">
          <a:extLst>
            <a:ext uri="{FF2B5EF4-FFF2-40B4-BE49-F238E27FC236}">
              <a16:creationId xmlns="" xmlns:a16="http://schemas.microsoft.com/office/drawing/2014/main" id="{00000000-0008-0000-0200-000003000000}"/>
            </a:ext>
          </a:extLst>
        </xdr:cNvPr>
        <xdr:cNvSpPr txBox="1"/>
      </xdr:nvSpPr>
      <xdr:spPr>
        <a:xfrm>
          <a:off x="20345376" y="1114426"/>
          <a:ext cx="1222375"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4" name="TextBox 3">
          <a:extLst>
            <a:ext uri="{FF2B5EF4-FFF2-40B4-BE49-F238E27FC236}">
              <a16:creationId xmlns="" xmlns:a16="http://schemas.microsoft.com/office/drawing/2014/main" id="{00000000-0008-0000-0200-000004000000}"/>
            </a:ext>
          </a:extLst>
        </xdr:cNvPr>
        <xdr:cNvSpPr txBox="1"/>
      </xdr:nvSpPr>
      <xdr:spPr>
        <a:xfrm>
          <a:off x="21353439" y="1588501"/>
          <a:ext cx="1025525"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6" name="TextBox 5">
          <a:extLst>
            <a:ext uri="{FF2B5EF4-FFF2-40B4-BE49-F238E27FC236}">
              <a16:creationId xmlns="" xmlns:a16="http://schemas.microsoft.com/office/drawing/2014/main" id="{00000000-0008-0000-0200-000006000000}"/>
            </a:ext>
          </a:extLst>
        </xdr:cNvPr>
        <xdr:cNvSpPr txBox="1"/>
      </xdr:nvSpPr>
      <xdr:spPr>
        <a:xfrm>
          <a:off x="23098100" y="1588501"/>
          <a:ext cx="1757364"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8" name="TextBox 7">
          <a:extLst>
            <a:ext uri="{FF2B5EF4-FFF2-40B4-BE49-F238E27FC236}">
              <a16:creationId xmlns="" xmlns:a16="http://schemas.microsoft.com/office/drawing/2014/main" id="{00000000-0008-0000-0200-000008000000}"/>
            </a:ext>
          </a:extLst>
        </xdr:cNvPr>
        <xdr:cNvSpPr txBox="1"/>
      </xdr:nvSpPr>
      <xdr:spPr>
        <a:xfrm>
          <a:off x="28108251" y="149225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20</xdr:row>
      <xdr:rowOff>58738</xdr:rowOff>
    </xdr:to>
    <xdr:cxnSp macro="">
      <xdr:nvCxnSpPr>
        <xdr:cNvPr id="10" name="Straight Connector 9">
          <a:extLst>
            <a:ext uri="{FF2B5EF4-FFF2-40B4-BE49-F238E27FC236}">
              <a16:creationId xmlns="" xmlns:a16="http://schemas.microsoft.com/office/drawing/2014/main" id="{00000000-0008-0000-0200-00000A000000}"/>
            </a:ext>
          </a:extLst>
        </xdr:cNvPr>
        <xdr:cNvCxnSpPr/>
      </xdr:nvCxnSpPr>
      <xdr:spPr bwMode="auto">
        <a:xfrm flipH="1">
          <a:off x="20947039"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11" name="TextBox 10">
          <a:extLst>
            <a:ext uri="{FF2B5EF4-FFF2-40B4-BE49-F238E27FC236}">
              <a16:creationId xmlns="" xmlns:a16="http://schemas.microsoft.com/office/drawing/2014/main" id="{00000000-0008-0000-0200-00000B000000}"/>
            </a:ext>
          </a:extLst>
        </xdr:cNvPr>
        <xdr:cNvSpPr txBox="1"/>
      </xdr:nvSpPr>
      <xdr:spPr>
        <a:xfrm>
          <a:off x="22088451" y="1004887"/>
          <a:ext cx="1433513" cy="4460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20</xdr:row>
      <xdr:rowOff>46038</xdr:rowOff>
    </xdr:to>
    <xdr:cxnSp macro="">
      <xdr:nvCxnSpPr>
        <xdr:cNvPr id="12" name="Straight Connector 11">
          <a:extLst>
            <a:ext uri="{FF2B5EF4-FFF2-40B4-BE49-F238E27FC236}">
              <a16:creationId xmlns="" xmlns:a16="http://schemas.microsoft.com/office/drawing/2014/main" id="{00000000-0008-0000-0200-00000C000000}"/>
            </a:ext>
          </a:extLst>
        </xdr:cNvPr>
        <xdr:cNvCxnSpPr/>
      </xdr:nvCxnSpPr>
      <xdr:spPr bwMode="auto">
        <a:xfrm flipH="1">
          <a:off x="22796476" y="1438276"/>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13" name="TextBox 12">
          <a:extLst>
            <a:ext uri="{FF2B5EF4-FFF2-40B4-BE49-F238E27FC236}">
              <a16:creationId xmlns="" xmlns:a16="http://schemas.microsoft.com/office/drawing/2014/main" id="{00000000-0008-0000-0200-00000D000000}"/>
            </a:ext>
          </a:extLst>
        </xdr:cNvPr>
        <xdr:cNvSpPr txBox="1"/>
      </xdr:nvSpPr>
      <xdr:spPr>
        <a:xfrm>
          <a:off x="24517326" y="1169992"/>
          <a:ext cx="1433513"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20</xdr:row>
      <xdr:rowOff>58738</xdr:rowOff>
    </xdr:to>
    <xdr:cxnSp macro="">
      <xdr:nvCxnSpPr>
        <xdr:cNvPr id="14" name="Straight Connector 13">
          <a:extLst>
            <a:ext uri="{FF2B5EF4-FFF2-40B4-BE49-F238E27FC236}">
              <a16:creationId xmlns="" xmlns:a16="http://schemas.microsoft.com/office/drawing/2014/main" id="{00000000-0008-0000-0200-00000E000000}"/>
            </a:ext>
          </a:extLst>
        </xdr:cNvPr>
        <xdr:cNvCxnSpPr/>
      </xdr:nvCxnSpPr>
      <xdr:spPr bwMode="auto">
        <a:xfrm flipH="1">
          <a:off x="25225351"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7" name="TextBox 16">
          <a:extLst>
            <a:ext uri="{FF2B5EF4-FFF2-40B4-BE49-F238E27FC236}">
              <a16:creationId xmlns="" xmlns:a16="http://schemas.microsoft.com/office/drawing/2014/main" id="{00000000-0008-0000-0200-000011000000}"/>
            </a:ext>
          </a:extLst>
        </xdr:cNvPr>
        <xdr:cNvSpPr txBox="1"/>
      </xdr:nvSpPr>
      <xdr:spPr>
        <a:xfrm>
          <a:off x="25698426" y="1485901"/>
          <a:ext cx="1550988" cy="444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8" name="TextBox 17">
          <a:extLst>
            <a:ext uri="{FF2B5EF4-FFF2-40B4-BE49-F238E27FC236}">
              <a16:creationId xmlns="" xmlns:a16="http://schemas.microsoft.com/office/drawing/2014/main" id="{00000000-0008-0000-0200-000012000000}"/>
            </a:ext>
          </a:extLst>
        </xdr:cNvPr>
        <xdr:cNvSpPr txBox="1"/>
      </xdr:nvSpPr>
      <xdr:spPr>
        <a:xfrm>
          <a:off x="26039739" y="942971"/>
          <a:ext cx="3259137" cy="4587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20</xdr:row>
      <xdr:rowOff>39689</xdr:rowOff>
    </xdr:to>
    <xdr:cxnSp macro="">
      <xdr:nvCxnSpPr>
        <xdr:cNvPr id="19" name="Straight Connector 18">
          <a:extLst>
            <a:ext uri="{FF2B5EF4-FFF2-40B4-BE49-F238E27FC236}">
              <a16:creationId xmlns="" xmlns:a16="http://schemas.microsoft.com/office/drawing/2014/main" id="{00000000-0008-0000-0200-000013000000}"/>
            </a:ext>
          </a:extLst>
        </xdr:cNvPr>
        <xdr:cNvCxnSpPr/>
      </xdr:nvCxnSpPr>
      <xdr:spPr bwMode="auto">
        <a:xfrm flipH="1">
          <a:off x="27666927" y="1431927"/>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29" name="Straight Connector 28">
          <a:extLst>
            <a:ext uri="{FF2B5EF4-FFF2-40B4-BE49-F238E27FC236}">
              <a16:creationId xmlns="" xmlns:a16="http://schemas.microsoft.com/office/drawing/2014/main" id="{00000000-0008-0000-0200-00001D000000}"/>
            </a:ext>
          </a:extLst>
        </xdr:cNvPr>
        <xdr:cNvCxnSpPr>
          <a:endCxn id="4" idx="1"/>
        </xdr:cNvCxnSpPr>
      </xdr:nvCxnSpPr>
      <xdr:spPr bwMode="auto">
        <a:xfrm>
          <a:off x="20954976" y="1706563"/>
          <a:ext cx="398463"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34" name="Straight Connector 33">
          <a:extLst>
            <a:ext uri="{FF2B5EF4-FFF2-40B4-BE49-F238E27FC236}">
              <a16:creationId xmlns="" xmlns:a16="http://schemas.microsoft.com/office/drawing/2014/main" id="{00000000-0008-0000-0200-000022000000}"/>
            </a:ext>
          </a:extLst>
        </xdr:cNvPr>
        <xdr:cNvCxnSpPr>
          <a:stCxn id="4" idx="3"/>
        </xdr:cNvCxnSpPr>
      </xdr:nvCxnSpPr>
      <xdr:spPr bwMode="auto">
        <a:xfrm>
          <a:off x="22378964" y="1708151"/>
          <a:ext cx="433387"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35" name="Straight Connector 34">
          <a:extLst>
            <a:ext uri="{FF2B5EF4-FFF2-40B4-BE49-F238E27FC236}">
              <a16:creationId xmlns="" xmlns:a16="http://schemas.microsoft.com/office/drawing/2014/main" id="{00000000-0008-0000-0200-000023000000}"/>
            </a:ext>
          </a:extLst>
        </xdr:cNvPr>
        <xdr:cNvCxnSpPr>
          <a:endCxn id="6" idx="1"/>
        </xdr:cNvCxnSpPr>
      </xdr:nvCxnSpPr>
      <xdr:spPr bwMode="auto">
        <a:xfrm>
          <a:off x="22804414" y="1706563"/>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41" name="Straight Connector 40">
          <a:extLst>
            <a:ext uri="{FF2B5EF4-FFF2-40B4-BE49-F238E27FC236}">
              <a16:creationId xmlns="" xmlns:a16="http://schemas.microsoft.com/office/drawing/2014/main" id="{00000000-0008-0000-0200-000029000000}"/>
            </a:ext>
          </a:extLst>
        </xdr:cNvPr>
        <xdr:cNvCxnSpPr/>
      </xdr:nvCxnSpPr>
      <xdr:spPr bwMode="auto">
        <a:xfrm flipV="1">
          <a:off x="24845961" y="1698626"/>
          <a:ext cx="395265"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43" name="Straight Connector 42">
          <a:extLst>
            <a:ext uri="{FF2B5EF4-FFF2-40B4-BE49-F238E27FC236}">
              <a16:creationId xmlns="" xmlns:a16="http://schemas.microsoft.com/office/drawing/2014/main" id="{00000000-0008-0000-0200-00002B000000}"/>
            </a:ext>
          </a:extLst>
        </xdr:cNvPr>
        <xdr:cNvCxnSpPr>
          <a:endCxn id="17" idx="1"/>
        </xdr:cNvCxnSpPr>
      </xdr:nvCxnSpPr>
      <xdr:spPr bwMode="auto">
        <a:xfrm>
          <a:off x="25220611" y="1701800"/>
          <a:ext cx="477815"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45" name="Straight Connector 44">
          <a:extLst>
            <a:ext uri="{FF2B5EF4-FFF2-40B4-BE49-F238E27FC236}">
              <a16:creationId xmlns="" xmlns:a16="http://schemas.microsoft.com/office/drawing/2014/main" id="{00000000-0008-0000-0200-00002D000000}"/>
            </a:ext>
          </a:extLst>
        </xdr:cNvPr>
        <xdr:cNvCxnSpPr/>
      </xdr:nvCxnSpPr>
      <xdr:spPr bwMode="auto">
        <a:xfrm flipV="1">
          <a:off x="27246261" y="1706564"/>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47" name="Straight Connector 46">
          <a:extLst>
            <a:ext uri="{FF2B5EF4-FFF2-40B4-BE49-F238E27FC236}">
              <a16:creationId xmlns="" xmlns:a16="http://schemas.microsoft.com/office/drawing/2014/main" id="{00000000-0008-0000-0200-00002F000000}"/>
            </a:ext>
          </a:extLst>
        </xdr:cNvPr>
        <xdr:cNvCxnSpPr/>
      </xdr:nvCxnSpPr>
      <xdr:spPr bwMode="auto">
        <a:xfrm>
          <a:off x="27660599" y="170497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20</xdr:row>
      <xdr:rowOff>128620</xdr:rowOff>
    </xdr:from>
    <xdr:to>
      <xdr:col>44</xdr:col>
      <xdr:colOff>57118</xdr:colOff>
      <xdr:row>26</xdr:row>
      <xdr:rowOff>96871</xdr:rowOff>
    </xdr:to>
    <xdr:sp macro="" textlink="">
      <xdr:nvSpPr>
        <xdr:cNvPr id="56" name="TextBox 55">
          <a:extLst>
            <a:ext uri="{FF2B5EF4-FFF2-40B4-BE49-F238E27FC236}">
              <a16:creationId xmlns="" xmlns:a16="http://schemas.microsoft.com/office/drawing/2014/main" id="{00000000-0008-0000-0200-000038000000}"/>
            </a:ext>
          </a:extLst>
        </xdr:cNvPr>
        <xdr:cNvSpPr txBox="1"/>
      </xdr:nvSpPr>
      <xdr:spPr>
        <a:xfrm>
          <a:off x="28125705" y="2168558"/>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24</xdr:row>
      <xdr:rowOff>23844</xdr:rowOff>
    </xdr:from>
    <xdr:to>
      <xdr:col>41</xdr:col>
      <xdr:colOff>447643</xdr:colOff>
      <xdr:row>24</xdr:row>
      <xdr:rowOff>27020</xdr:rowOff>
    </xdr:to>
    <xdr:cxnSp macro="">
      <xdr:nvCxnSpPr>
        <xdr:cNvPr id="57" name="Straight Connector 56">
          <a:extLst>
            <a:ext uri="{FF2B5EF4-FFF2-40B4-BE49-F238E27FC236}">
              <a16:creationId xmlns="" xmlns:a16="http://schemas.microsoft.com/office/drawing/2014/main" id="{00000000-0008-0000-0200-000039000000}"/>
            </a:ext>
          </a:extLst>
        </xdr:cNvPr>
        <xdr:cNvCxnSpPr/>
      </xdr:nvCxnSpPr>
      <xdr:spPr bwMode="auto">
        <a:xfrm>
          <a:off x="27678053" y="238128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27</xdr:row>
      <xdr:rowOff>0</xdr:rowOff>
    </xdr:from>
    <xdr:to>
      <xdr:col>44</xdr:col>
      <xdr:colOff>66634</xdr:colOff>
      <xdr:row>35</xdr:row>
      <xdr:rowOff>50863</xdr:rowOff>
    </xdr:to>
    <xdr:sp macro="" textlink="">
      <xdr:nvSpPr>
        <xdr:cNvPr id="58" name="TextBox 57">
          <a:extLst>
            <a:ext uri="{FF2B5EF4-FFF2-40B4-BE49-F238E27FC236}">
              <a16:creationId xmlns="" xmlns:a16="http://schemas.microsoft.com/office/drawing/2014/main" id="{00000000-0008-0000-0200-00003A000000}"/>
            </a:ext>
          </a:extLst>
        </xdr:cNvPr>
        <xdr:cNvSpPr txBox="1"/>
      </xdr:nvSpPr>
      <xdr:spPr>
        <a:xfrm>
          <a:off x="28135221" y="278930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32</xdr:row>
      <xdr:rowOff>152461</xdr:rowOff>
    </xdr:from>
    <xdr:to>
      <xdr:col>41</xdr:col>
      <xdr:colOff>457159</xdr:colOff>
      <xdr:row>32</xdr:row>
      <xdr:rowOff>155637</xdr:rowOff>
    </xdr:to>
    <xdr:cxnSp macro="">
      <xdr:nvCxnSpPr>
        <xdr:cNvPr id="59" name="Straight Connector 58">
          <a:extLst>
            <a:ext uri="{FF2B5EF4-FFF2-40B4-BE49-F238E27FC236}">
              <a16:creationId xmlns="" xmlns:a16="http://schemas.microsoft.com/office/drawing/2014/main" id="{00000000-0008-0000-0200-00003B000000}"/>
            </a:ext>
          </a:extLst>
        </xdr:cNvPr>
        <xdr:cNvCxnSpPr/>
      </xdr:nvCxnSpPr>
      <xdr:spPr bwMode="auto">
        <a:xfrm>
          <a:off x="27687569" y="300202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34</xdr:row>
      <xdr:rowOff>166687</xdr:rowOff>
    </xdr:to>
    <xdr:cxnSp macro="">
      <xdr:nvCxnSpPr>
        <xdr:cNvPr id="60" name="Straight Connector 59">
          <a:extLst>
            <a:ext uri="{FF2B5EF4-FFF2-40B4-BE49-F238E27FC236}">
              <a16:creationId xmlns="" xmlns:a16="http://schemas.microsoft.com/office/drawing/2014/main" id="{00000000-0008-0000-0200-00003C000000}"/>
            </a:ext>
          </a:extLst>
        </xdr:cNvPr>
        <xdr:cNvCxnSpPr/>
      </xdr:nvCxnSpPr>
      <xdr:spPr bwMode="auto">
        <a:xfrm>
          <a:off x="30121202" y="1568452"/>
          <a:ext cx="1611" cy="160654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22</xdr:row>
      <xdr:rowOff>158749</xdr:rowOff>
    </xdr:from>
    <xdr:to>
      <xdr:col>45</xdr:col>
      <xdr:colOff>441436</xdr:colOff>
      <xdr:row>24</xdr:row>
      <xdr:rowOff>11135</xdr:rowOff>
    </xdr:to>
    <xdr:cxnSp macro="">
      <xdr:nvCxnSpPr>
        <xdr:cNvPr id="61" name="Straight Connector 60">
          <a:extLst>
            <a:ext uri="{FF2B5EF4-FFF2-40B4-BE49-F238E27FC236}">
              <a16:creationId xmlns="" xmlns:a16="http://schemas.microsoft.com/office/drawing/2014/main" id="{00000000-0008-0000-0200-00003D000000}"/>
            </a:ext>
          </a:extLst>
        </xdr:cNvPr>
        <xdr:cNvCxnSpPr>
          <a:endCxn id="67" idx="1"/>
        </xdr:cNvCxnSpPr>
      </xdr:nvCxnSpPr>
      <xdr:spPr bwMode="auto">
        <a:xfrm>
          <a:off x="30114874" y="2357437"/>
          <a:ext cx="449375" cy="1113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20</xdr:row>
      <xdr:rowOff>106384</xdr:rowOff>
    </xdr:from>
    <xdr:to>
      <xdr:col>48</xdr:col>
      <xdr:colOff>50912</xdr:colOff>
      <xdr:row>26</xdr:row>
      <xdr:rowOff>74635</xdr:rowOff>
    </xdr:to>
    <xdr:sp macro="" textlink="">
      <xdr:nvSpPr>
        <xdr:cNvPr id="67" name="TextBox 66">
          <a:extLst>
            <a:ext uri="{FF2B5EF4-FFF2-40B4-BE49-F238E27FC236}">
              <a16:creationId xmlns="" xmlns:a16="http://schemas.microsoft.com/office/drawing/2014/main" id="{00000000-0008-0000-0200-000043000000}"/>
            </a:ext>
          </a:extLst>
        </xdr:cNvPr>
        <xdr:cNvSpPr txBox="1"/>
      </xdr:nvSpPr>
      <xdr:spPr>
        <a:xfrm>
          <a:off x="30564249" y="2146322"/>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70" name="TextBox 69">
          <a:extLst>
            <a:ext uri="{FF2B5EF4-FFF2-40B4-BE49-F238E27FC236}">
              <a16:creationId xmlns="" xmlns:a16="http://schemas.microsoft.com/office/drawing/2014/main" id="{00000000-0008-0000-0200-000046000000}"/>
            </a:ext>
          </a:extLst>
        </xdr:cNvPr>
        <xdr:cNvSpPr txBox="1"/>
      </xdr:nvSpPr>
      <xdr:spPr>
        <a:xfrm>
          <a:off x="29479866" y="1266830"/>
          <a:ext cx="1309688"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71" name="Straight Connector 70">
          <a:extLst>
            <a:ext uri="{FF2B5EF4-FFF2-40B4-BE49-F238E27FC236}">
              <a16:creationId xmlns="" xmlns:a16="http://schemas.microsoft.com/office/drawing/2014/main" id="{00000000-0008-0000-0200-000047000000}"/>
            </a:ext>
          </a:extLst>
        </xdr:cNvPr>
        <xdr:cNvCxnSpPr>
          <a:cxnSpLocks/>
          <a:stCxn id="8" idx="3"/>
        </xdr:cNvCxnSpPr>
      </xdr:nvCxnSpPr>
      <xdr:spPr bwMode="auto">
        <a:xfrm flipV="1">
          <a:off x="29551289" y="1714500"/>
          <a:ext cx="587399"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24</xdr:row>
      <xdr:rowOff>31751</xdr:rowOff>
    </xdr:from>
    <xdr:to>
      <xdr:col>44</xdr:col>
      <xdr:colOff>603250</xdr:colOff>
      <xdr:row>24</xdr:row>
      <xdr:rowOff>33371</xdr:rowOff>
    </xdr:to>
    <xdr:cxnSp macro="">
      <xdr:nvCxnSpPr>
        <xdr:cNvPr id="72" name="Straight Connector 71">
          <a:extLst>
            <a:ext uri="{FF2B5EF4-FFF2-40B4-BE49-F238E27FC236}">
              <a16:creationId xmlns="" xmlns:a16="http://schemas.microsoft.com/office/drawing/2014/main" id="{00000000-0008-0000-0200-000048000000}"/>
            </a:ext>
          </a:extLst>
        </xdr:cNvPr>
        <xdr:cNvCxnSpPr>
          <a:stCxn id="56" idx="3"/>
        </xdr:cNvCxnSpPr>
      </xdr:nvCxnSpPr>
      <xdr:spPr bwMode="auto">
        <a:xfrm flipV="1">
          <a:off x="29568743" y="2389189"/>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32</xdr:row>
      <xdr:rowOff>150812</xdr:rowOff>
    </xdr:from>
    <xdr:to>
      <xdr:col>45</xdr:col>
      <xdr:colOff>31750</xdr:colOff>
      <xdr:row>34</xdr:row>
      <xdr:rowOff>3238</xdr:rowOff>
    </xdr:to>
    <xdr:cxnSp macro="">
      <xdr:nvCxnSpPr>
        <xdr:cNvPr id="73" name="Straight Connector 72">
          <a:extLst>
            <a:ext uri="{FF2B5EF4-FFF2-40B4-BE49-F238E27FC236}">
              <a16:creationId xmlns="" xmlns:a16="http://schemas.microsoft.com/office/drawing/2014/main" id="{00000000-0008-0000-0200-000049000000}"/>
            </a:ext>
          </a:extLst>
        </xdr:cNvPr>
        <xdr:cNvCxnSpPr>
          <a:stCxn id="58" idx="3"/>
        </xdr:cNvCxnSpPr>
      </xdr:nvCxnSpPr>
      <xdr:spPr bwMode="auto">
        <a:xfrm flipV="1">
          <a:off x="29578259" y="3000375"/>
          <a:ext cx="576304" cy="11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39</xdr:row>
      <xdr:rowOff>7937</xdr:rowOff>
    </xdr:to>
    <xdr:sp macro="" textlink="">
      <xdr:nvSpPr>
        <xdr:cNvPr id="104" name="Rectangle 103">
          <a:extLst>
            <a:ext uri="{FF2B5EF4-FFF2-40B4-BE49-F238E27FC236}">
              <a16:creationId xmlns="" xmlns:a16="http://schemas.microsoft.com/office/drawing/2014/main" id="{00000000-0008-0000-0200-000068000000}"/>
            </a:ext>
          </a:extLst>
        </xdr:cNvPr>
        <xdr:cNvSpPr/>
      </xdr:nvSpPr>
      <xdr:spPr bwMode="auto">
        <a:xfrm>
          <a:off x="12032503" y="952537"/>
          <a:ext cx="11787188" cy="4945212"/>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twoCellAnchor>
    <xdr:from>
      <xdr:col>41</xdr:col>
      <xdr:colOff>9506</xdr:colOff>
      <xdr:row>33</xdr:row>
      <xdr:rowOff>152461</xdr:rowOff>
    </xdr:from>
    <xdr:to>
      <xdr:col>41</xdr:col>
      <xdr:colOff>457159</xdr:colOff>
      <xdr:row>33</xdr:row>
      <xdr:rowOff>155637</xdr:rowOff>
    </xdr:to>
    <xdr:cxnSp macro="">
      <xdr:nvCxnSpPr>
        <xdr:cNvPr id="33" name="Straight Connector 32">
          <a:extLst>
            <a:ext uri="{FF2B5EF4-FFF2-40B4-BE49-F238E27FC236}">
              <a16:creationId xmlns="" xmlns:a16="http://schemas.microsoft.com/office/drawing/2014/main" id="{00000000-0008-0000-0200-000021000000}"/>
            </a:ext>
          </a:extLst>
        </xdr:cNvPr>
        <xdr:cNvCxnSpPr/>
      </xdr:nvCxnSpPr>
      <xdr:spPr bwMode="auto">
        <a:xfrm>
          <a:off x="34800249" y="596543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56</xdr:row>
      <xdr:rowOff>0</xdr:rowOff>
    </xdr:from>
    <xdr:to>
      <xdr:col>30</xdr:col>
      <xdr:colOff>581025</xdr:colOff>
      <xdr:row>62</xdr:row>
      <xdr:rowOff>47625</xdr:rowOff>
    </xdr:to>
    <xdr:sp macro="" textlink="">
      <xdr:nvSpPr>
        <xdr:cNvPr id="2" name="TextBox 1">
          <a:extLst>
            <a:ext uri="{FF2B5EF4-FFF2-40B4-BE49-F238E27FC236}">
              <a16:creationId xmlns="" xmlns:a16="http://schemas.microsoft.com/office/drawing/2014/main" id="{00000000-0008-0000-0300-000002000000}"/>
            </a:ext>
          </a:extLst>
        </xdr:cNvPr>
        <xdr:cNvSpPr txBox="1"/>
      </xdr:nvSpPr>
      <xdr:spPr>
        <a:xfrm>
          <a:off x="20424774" y="85058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35</xdr:row>
      <xdr:rowOff>47625</xdr:rowOff>
    </xdr:from>
    <xdr:to>
      <xdr:col>31</xdr:col>
      <xdr:colOff>0</xdr:colOff>
      <xdr:row>53</xdr:row>
      <xdr:rowOff>76200</xdr:rowOff>
    </xdr:to>
    <xdr:sp macro="" textlink="">
      <xdr:nvSpPr>
        <xdr:cNvPr id="3" name="TextBox 2">
          <a:extLst>
            <a:ext uri="{FF2B5EF4-FFF2-40B4-BE49-F238E27FC236}">
              <a16:creationId xmlns="" xmlns:a16="http://schemas.microsoft.com/office/drawing/2014/main" id="{00000000-0008-0000-0300-000003000000}"/>
            </a:ext>
          </a:extLst>
        </xdr:cNvPr>
        <xdr:cNvSpPr txBox="1"/>
      </xdr:nvSpPr>
      <xdr:spPr>
        <a:xfrm>
          <a:off x="20377149" y="6324600"/>
          <a:ext cx="5473701" cy="1743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76</xdr:row>
      <xdr:rowOff>0</xdr:rowOff>
    </xdr:from>
    <xdr:to>
      <xdr:col>30</xdr:col>
      <xdr:colOff>581025</xdr:colOff>
      <xdr:row>82</xdr:row>
      <xdr:rowOff>47625</xdr:rowOff>
    </xdr:to>
    <xdr:sp macro="" textlink="">
      <xdr:nvSpPr>
        <xdr:cNvPr id="4" name="TextBox 3">
          <a:extLst>
            <a:ext uri="{FF2B5EF4-FFF2-40B4-BE49-F238E27FC236}">
              <a16:creationId xmlns="" xmlns:a16="http://schemas.microsoft.com/office/drawing/2014/main" id="{00000000-0008-0000-0300-000004000000}"/>
            </a:ext>
          </a:extLst>
        </xdr:cNvPr>
        <xdr:cNvSpPr txBox="1"/>
      </xdr:nvSpPr>
      <xdr:spPr>
        <a:xfrm>
          <a:off x="20015199" y="87725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782954</xdr:colOff>
      <xdr:row>31</xdr:row>
      <xdr:rowOff>45720</xdr:rowOff>
    </xdr:from>
    <xdr:to>
      <xdr:col>4</xdr:col>
      <xdr:colOff>729614</xdr:colOff>
      <xdr:row>40</xdr:row>
      <xdr:rowOff>146686</xdr:rowOff>
    </xdr:to>
    <xdr:sp macro="" textlink="">
      <xdr:nvSpPr>
        <xdr:cNvPr id="3" name="TextBox 2">
          <a:extLst>
            <a:ext uri="{FF2B5EF4-FFF2-40B4-BE49-F238E27FC236}">
              <a16:creationId xmlns="" xmlns:a16="http://schemas.microsoft.com/office/drawing/2014/main" id="{00000000-0008-0000-0400-000003000000}"/>
            </a:ext>
          </a:extLst>
        </xdr:cNvPr>
        <xdr:cNvSpPr txBox="1"/>
      </xdr:nvSpPr>
      <xdr:spPr>
        <a:xfrm>
          <a:off x="1102994" y="4602480"/>
          <a:ext cx="5448300" cy="162496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Times New Roman" panose="02020603050405020304" pitchFamily="18" charset="0"/>
              <a:ea typeface="+mn-ea"/>
              <a:cs typeface="Times New Roman" panose="02020603050405020304" pitchFamily="18" charset="0"/>
            </a:rPr>
            <a:t>FT processes</a:t>
          </a:r>
          <a:r>
            <a:rPr lang="da-DK" sz="1100">
              <a:solidFill>
                <a:schemeClr val="dk1"/>
              </a:solidFill>
              <a:effectLst/>
              <a:latin typeface="Times New Roman" panose="02020603050405020304" pitchFamily="18" charset="0"/>
              <a:ea typeface="+mn-ea"/>
              <a:cs typeface="Times New Roman" panose="02020603050405020304" pitchFamily="18" charset="0"/>
            </a:rPr>
            <a:t> are converting "general" commodities (such as NGA, DSL WPE,etc.) to residential comodities with efficiency</a:t>
          </a:r>
          <a:r>
            <a:rPr lang="da-DK" sz="1100" baseline="0">
              <a:solidFill>
                <a:schemeClr val="dk1"/>
              </a:solidFill>
              <a:effectLst/>
              <a:latin typeface="Times New Roman" panose="02020603050405020304" pitchFamily="18" charset="0"/>
              <a:ea typeface="+mn-ea"/>
              <a:cs typeface="Times New Roman" panose="02020603050405020304" pitchFamily="18" charset="0"/>
            </a:rPr>
            <a:t> of 1</a:t>
          </a:r>
          <a:r>
            <a:rPr lang="da-DK" sz="1100">
              <a:solidFill>
                <a:schemeClr val="dk1"/>
              </a:solidFill>
              <a:effectLst/>
              <a:latin typeface="Times New Roman" panose="02020603050405020304" pitchFamily="18" charset="0"/>
              <a:ea typeface="+mn-ea"/>
              <a:cs typeface="Times New Roman" panose="02020603050405020304" pitchFamily="18" charset="0"/>
            </a:rPr>
            <a:t> (converting</a:t>
          </a:r>
          <a:r>
            <a:rPr lang="da-DK" sz="1100" baseline="0">
              <a:solidFill>
                <a:schemeClr val="dk1"/>
              </a:solidFill>
              <a:effectLst/>
              <a:latin typeface="Times New Roman" panose="02020603050405020304" pitchFamily="18" charset="0"/>
              <a:ea typeface="+mn-ea"/>
              <a:cs typeface="Times New Roman" panose="02020603050405020304" pitchFamily="18" charset="0"/>
            </a:rPr>
            <a:t> commodities in column D into commodities in column E)</a:t>
          </a:r>
          <a:r>
            <a:rPr lang="da-DK" sz="1100">
              <a:solidFill>
                <a:schemeClr val="dk1"/>
              </a:solidFill>
              <a:effectLst/>
              <a:latin typeface="Times New Roman" panose="02020603050405020304" pitchFamily="18" charset="0"/>
              <a:ea typeface="+mn-ea"/>
              <a:cs typeface="Times New Roman" panose="02020603050405020304" pitchFamily="18" charset="0"/>
            </a:rPr>
            <a:t>. The only purpose of these processes is to be able to track the use of commodities in a specific sector</a:t>
          </a:r>
          <a:r>
            <a:rPr lang="da-DK" sz="1100" baseline="0">
              <a:solidFill>
                <a:schemeClr val="dk1"/>
              </a:solidFill>
              <a:effectLst/>
              <a:latin typeface="Times New Roman" panose="02020603050405020304" pitchFamily="18" charset="0"/>
              <a:ea typeface="+mn-ea"/>
              <a:cs typeface="Times New Roman" panose="02020603050405020304" pitchFamily="18" charset="0"/>
            </a:rPr>
            <a:t> (in this case </a:t>
          </a:r>
          <a:r>
            <a:rPr lang="da-DK" sz="1100">
              <a:solidFill>
                <a:schemeClr val="dk1"/>
              </a:solidFill>
              <a:effectLst/>
              <a:latin typeface="Times New Roman" panose="02020603050405020304" pitchFamily="18" charset="0"/>
              <a:ea typeface="+mn-ea"/>
              <a:cs typeface="Times New Roman" panose="02020603050405020304" pitchFamily="18" charset="0"/>
            </a:rPr>
            <a:t>residential sector).</a:t>
          </a:r>
        </a:p>
        <a:p>
          <a:pPr marL="0" marR="0" indent="0" defTabSz="914400" eaLnBrk="1" fontAlgn="auto" latinLnBrk="0" hangingPunct="1">
            <a:lnSpc>
              <a:spcPct val="100000"/>
            </a:lnSpc>
            <a:spcBef>
              <a:spcPts val="0"/>
            </a:spcBef>
            <a:spcAft>
              <a:spcPts val="0"/>
            </a:spcAft>
            <a:buClrTx/>
            <a:buSzTx/>
            <a:buFontTx/>
            <a:buNone/>
            <a:tabLst/>
            <a:defRPr/>
          </a:pPr>
          <a:endParaRPr lang="da-DK" sz="1100">
            <a:solidFill>
              <a:schemeClr val="dk1"/>
            </a:solidFill>
            <a:effectLst/>
            <a:latin typeface="Times New Roman" panose="02020603050405020304" pitchFamily="18" charset="0"/>
            <a:ea typeface="+mn-ea"/>
            <a:cs typeface="Times New Roman" panose="02020603050405020304" pitchFamily="18" charset="0"/>
          </a:endParaRPr>
        </a:p>
        <a:p>
          <a:r>
            <a:rPr lang="da-DK" sz="1100" b="1" baseline="0">
              <a:solidFill>
                <a:schemeClr val="dk1"/>
              </a:solidFill>
              <a:effectLst/>
              <a:latin typeface="Times New Roman" panose="02020603050405020304" pitchFamily="18" charset="0"/>
              <a:ea typeface="+mn-ea"/>
              <a:cs typeface="Times New Roman" panose="02020603050405020304" pitchFamily="18" charset="0"/>
            </a:rPr>
            <a:t>LIFE</a:t>
          </a:r>
          <a:r>
            <a:rPr lang="da-DK" sz="1100" baseline="0">
              <a:solidFill>
                <a:schemeClr val="dk1"/>
              </a:solidFill>
              <a:effectLst/>
              <a:latin typeface="Times New Roman" panose="02020603050405020304" pitchFamily="18" charset="0"/>
              <a:ea typeface="+mn-ea"/>
              <a:cs typeface="Times New Roman" panose="02020603050405020304" pitchFamily="18" charset="0"/>
            </a:rPr>
            <a:t> specifies the lifetime of new capacity. Any number greater than 40 could be chosen - the only idea is that the new buildings live until the end of analysed period (2050).</a:t>
          </a:r>
        </a:p>
        <a:p>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b="1">
              <a:effectLst/>
              <a:latin typeface="Times New Roman" panose="02020603050405020304" pitchFamily="18" charset="0"/>
              <a:cs typeface="Times New Roman" panose="02020603050405020304" pitchFamily="18" charset="0"/>
            </a:rPr>
            <a:t>PASTI </a:t>
          </a:r>
          <a:r>
            <a:rPr lang="da-DK" b="0">
              <a:effectLst/>
              <a:latin typeface="Times New Roman" panose="02020603050405020304" pitchFamily="18" charset="0"/>
              <a:cs typeface="Times New Roman" panose="02020603050405020304" pitchFamily="18" charset="0"/>
            </a:rPr>
            <a:t>denotes</a:t>
          </a:r>
          <a:r>
            <a:rPr lang="da-DK" b="0" baseline="0">
              <a:effectLst/>
              <a:latin typeface="Times New Roman" panose="02020603050405020304" pitchFamily="18" charset="0"/>
              <a:cs typeface="Times New Roman" panose="02020603050405020304" pitchFamily="18" charset="0"/>
            </a:rPr>
            <a:t> past investments.</a:t>
          </a:r>
          <a:endParaRPr lang="da-DK" b="1">
            <a:effectLst/>
            <a:latin typeface="Times New Roman" panose="02020603050405020304" pitchFamily="18" charset="0"/>
            <a:cs typeface="Times New Roman" panose="02020603050405020304" pitchFamily="18" charset="0"/>
          </a:endParaRPr>
        </a:p>
        <a:p>
          <a:endParaRPr lang="da-DK">
            <a:effectLst/>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59</xdr:col>
      <xdr:colOff>27214</xdr:colOff>
      <xdr:row>6</xdr:row>
      <xdr:rowOff>40821</xdr:rowOff>
    </xdr:from>
    <xdr:to>
      <xdr:col>64</xdr:col>
      <xdr:colOff>13607</xdr:colOff>
      <xdr:row>30</xdr:row>
      <xdr:rowOff>0</xdr:rowOff>
    </xdr:to>
    <xdr:sp macro="" textlink="">
      <xdr:nvSpPr>
        <xdr:cNvPr id="4" name="TextBox 3">
          <a:extLst>
            <a:ext uri="{FF2B5EF4-FFF2-40B4-BE49-F238E27FC236}">
              <a16:creationId xmlns="" xmlns:a16="http://schemas.microsoft.com/office/drawing/2014/main" id="{00000000-0008-0000-0700-000004000000}"/>
            </a:ext>
          </a:extLst>
        </xdr:cNvPr>
        <xdr:cNvSpPr txBox="1"/>
      </xdr:nvSpPr>
      <xdr:spPr>
        <a:xfrm>
          <a:off x="23771678" y="693964"/>
          <a:ext cx="3265715" cy="5442857"/>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59</xdr:col>
      <xdr:colOff>27214</xdr:colOff>
      <xdr:row>50</xdr:row>
      <xdr:rowOff>40821</xdr:rowOff>
    </xdr:from>
    <xdr:to>
      <xdr:col>64</xdr:col>
      <xdr:colOff>13607</xdr:colOff>
      <xdr:row>74</xdr:row>
      <xdr:rowOff>0</xdr:rowOff>
    </xdr:to>
    <xdr:sp macro="" textlink="">
      <xdr:nvSpPr>
        <xdr:cNvPr id="3" name="TextBox 2">
          <a:extLst>
            <a:ext uri="{FF2B5EF4-FFF2-40B4-BE49-F238E27FC236}">
              <a16:creationId xmlns="" xmlns:a16="http://schemas.microsoft.com/office/drawing/2014/main" id="{00000000-0008-0000-0700-000003000000}"/>
            </a:ext>
          </a:extLst>
        </xdr:cNvPr>
        <xdr:cNvSpPr txBox="1"/>
      </xdr:nvSpPr>
      <xdr:spPr>
        <a:xfrm>
          <a:off x="27698700" y="1020535"/>
          <a:ext cx="3567793"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180876</xdr:colOff>
      <xdr:row>2</xdr:row>
      <xdr:rowOff>86896</xdr:rowOff>
    </xdr:from>
    <xdr:to>
      <xdr:col>26</xdr:col>
      <xdr:colOff>19049</xdr:colOff>
      <xdr:row>13</xdr:row>
      <xdr:rowOff>114299</xdr:rowOff>
    </xdr:to>
    <xdr:sp macro="" textlink="">
      <xdr:nvSpPr>
        <xdr:cNvPr id="2" name="TextBox 1">
          <a:extLst>
            <a:ext uri="{FF2B5EF4-FFF2-40B4-BE49-F238E27FC236}">
              <a16:creationId xmlns="" xmlns:a16="http://schemas.microsoft.com/office/drawing/2014/main" id="{00000000-0008-0000-0900-000002000000}"/>
            </a:ext>
          </a:extLst>
        </xdr:cNvPr>
        <xdr:cNvSpPr txBox="1"/>
      </xdr:nvSpPr>
      <xdr:spPr>
        <a:xfrm>
          <a:off x="15375156" y="422176"/>
          <a:ext cx="4867373" cy="13837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Residential</a:t>
          </a:r>
          <a:r>
            <a:rPr lang="da-DK" sz="1200" b="1" baseline="0">
              <a:latin typeface="Times New Roman" panose="02020603050405020304" pitchFamily="18" charset="0"/>
              <a:cs typeface="Times New Roman" panose="02020603050405020304" pitchFamily="18" charset="0"/>
            </a:rPr>
            <a:t> heating demand </a:t>
          </a:r>
          <a:r>
            <a:rPr lang="da-DK" sz="1200" baseline="0">
              <a:latin typeface="Times New Roman" panose="02020603050405020304" pitchFamily="18" charset="0"/>
              <a:cs typeface="Times New Roman" panose="02020603050405020304" pitchFamily="18" charset="0"/>
            </a:rPr>
            <a:t>in the Base Year 2010 </a:t>
          </a:r>
          <a:r>
            <a:rPr lang="x-none" sz="1200" baseline="0">
              <a:latin typeface="Times New Roman" panose="02020603050405020304" pitchFamily="18" charset="0"/>
              <a:cs typeface="Times New Roman" panose="02020603050405020304" pitchFamily="18" charset="0"/>
            </a:rPr>
            <a:t/>
          </a:r>
          <a:br>
            <a:rPr lang="x-none" sz="1200" baseline="0">
              <a:latin typeface="Times New Roman" panose="02020603050405020304" pitchFamily="18" charset="0"/>
              <a:cs typeface="Times New Roman" panose="02020603050405020304" pitchFamily="18" charset="0"/>
            </a:rPr>
          </a:br>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Residential heating demand in the future is affected by construction rates (for new buildings) and demolition rates (for existing buildings). Heat saving measures are modelled as heat generation technology and they don't reduce the heating demand.</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9525</xdr:colOff>
      <xdr:row>20</xdr:row>
      <xdr:rowOff>0</xdr:rowOff>
    </xdr:to>
    <xdr:sp macro="" textlink="">
      <xdr:nvSpPr>
        <xdr:cNvPr id="2" name="TextBox 1">
          <a:extLst>
            <a:ext uri="{FF2B5EF4-FFF2-40B4-BE49-F238E27FC236}">
              <a16:creationId xmlns="" xmlns:a16="http://schemas.microsoft.com/office/drawing/2014/main" id="{00000000-0008-0000-0A00-000002000000}"/>
            </a:ext>
          </a:extLst>
        </xdr:cNvPr>
        <xdr:cNvSpPr txBox="1"/>
      </xdr:nvSpPr>
      <xdr:spPr>
        <a:xfrm>
          <a:off x="638175" y="1952625"/>
          <a:ext cx="2981325" cy="12954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CO</a:t>
          </a:r>
          <a:r>
            <a:rPr lang="da-DK" sz="1100" b="0" i="0" u="none" strike="noStrike" baseline="-25000">
              <a:solidFill>
                <a:schemeClr val="dk1"/>
              </a:solidFill>
              <a:effectLst/>
              <a:latin typeface="Times New Roman" panose="02020603050405020304" pitchFamily="18" charset="0"/>
              <a:ea typeface="+mn-ea"/>
              <a:cs typeface="Times New Roman" panose="02020603050405020304" pitchFamily="18" charset="0"/>
            </a:rPr>
            <a:t>2</a:t>
          </a:r>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 emissions are taken from the</a:t>
          </a:r>
          <a:r>
            <a:rPr lang="da-DK"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da-DK" sz="1100" b="1" i="0" u="none" strike="noStrike" baseline="0">
              <a:solidFill>
                <a:schemeClr val="dk1"/>
              </a:solidFill>
              <a:effectLst/>
              <a:latin typeface="Times New Roman" panose="02020603050405020304" pitchFamily="18" charset="0"/>
              <a:ea typeface="+mn-ea"/>
              <a:cs typeface="Times New Roman" panose="02020603050405020304" pitchFamily="18" charset="0"/>
            </a:rPr>
            <a:t>Danish Energy Statistics 2013 </a:t>
          </a:r>
          <a:endParaRPr lang="da-DK" sz="1100" b="1" i="0" u="none" strike="noStrike">
            <a:solidFill>
              <a:schemeClr val="dk1"/>
            </a:solidFill>
            <a:effectLst/>
            <a:latin typeface="Times New Roman" panose="02020603050405020304" pitchFamily="18" charset="0"/>
            <a:ea typeface="+mn-ea"/>
            <a:cs typeface="Times New Roman" panose="02020603050405020304" pitchFamily="18" charset="0"/>
          </a:endParaRPr>
        </a:p>
        <a:p>
          <a:endParaRPr lang="da-DK" sz="1100" b="0" i="0" u="none" strike="noStrike">
            <a:solidFill>
              <a:schemeClr val="dk1"/>
            </a:solidFill>
            <a:effectLst/>
            <a:latin typeface="Times New Roman" panose="02020603050405020304" pitchFamily="18" charset="0"/>
            <a:ea typeface="+mn-ea"/>
            <a:cs typeface="Times New Roman" panose="02020603050405020304" pitchFamily="18" charset="0"/>
          </a:endParaRPr>
        </a:p>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Source: http://www.ens.dk/sites/ens.dk/files/info/tal-kort/statistik-noegletal/aarlig-energistatistik/energistatistik2013.pdf, </a:t>
          </a:r>
          <a:r>
            <a:rPr lang="da-DK" sz="1100" b="1" i="0" u="none" strike="noStrike">
              <a:solidFill>
                <a:schemeClr val="dk1"/>
              </a:solidFill>
              <a:effectLst/>
              <a:latin typeface="Times New Roman" panose="02020603050405020304" pitchFamily="18" charset="0"/>
              <a:ea typeface="+mn-ea"/>
              <a:cs typeface="Times New Roman" panose="02020603050405020304" pitchFamily="18" charset="0"/>
            </a:rPr>
            <a:t>page 59</a:t>
          </a:r>
          <a:r>
            <a:rPr lang="da-DK" b="1">
              <a:latin typeface="Times New Roman" panose="02020603050405020304" pitchFamily="18" charset="0"/>
              <a:cs typeface="Times New Roman" panose="02020603050405020304" pitchFamily="18" charset="0"/>
            </a:rPr>
            <a:t> </a:t>
          </a:r>
          <a:endParaRPr lang="da-DK" sz="1100" b="1">
            <a:latin typeface="Times New Roman" panose="02020603050405020304" pitchFamily="18" charset="0"/>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266700</xdr:colOff>
      <xdr:row>87</xdr:row>
      <xdr:rowOff>45720</xdr:rowOff>
    </xdr:from>
    <xdr:to>
      <xdr:col>15</xdr:col>
      <xdr:colOff>189748</xdr:colOff>
      <xdr:row>117</xdr:row>
      <xdr:rowOff>6996</xdr:rowOff>
    </xdr:to>
    <xdr:pic>
      <xdr:nvPicPr>
        <xdr:cNvPr id="2" name="Picture 1">
          <a:extLst>
            <a:ext uri="{FF2B5EF4-FFF2-40B4-BE49-F238E27FC236}">
              <a16:creationId xmlns=""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5646420" y="15750540"/>
          <a:ext cx="6019048" cy="4990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14</xdr:col>
          <xdr:colOff>594360</xdr:colOff>
          <xdr:row>44</xdr:row>
          <xdr:rowOff>15240</xdr:rowOff>
        </xdr:to>
        <xdr:sp macro="" textlink="">
          <xdr:nvSpPr>
            <xdr:cNvPr id="54273" name="Object 1" hidden="1">
              <a:extLst>
                <a:ext uri="{63B3BB69-23CF-44E3-9099-C40C66FF867C}">
                  <a14:compatExt spid="_x0000_s54273"/>
                </a:ext>
              </a:extLst>
            </xdr:cNvPr>
            <xdr:cNvSpPr/>
          </xdr:nvSpPr>
          <xdr:spPr>
            <a:xfrm>
              <a:off x="0" y="0"/>
              <a:ext cx="0" cy="0"/>
            </a:xfrm>
            <a:prstGeom prst="rect">
              <a:avLst/>
            </a:prstGeom>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7</xdr:col>
      <xdr:colOff>1768022</xdr:colOff>
      <xdr:row>15</xdr:row>
      <xdr:rowOff>64330</xdr:rowOff>
    </xdr:from>
    <xdr:to>
      <xdr:col>10</xdr:col>
      <xdr:colOff>464745</xdr:colOff>
      <xdr:row>48</xdr:row>
      <xdr:rowOff>15240</xdr:rowOff>
    </xdr:to>
    <xdr:sp macro="" textlink="">
      <xdr:nvSpPr>
        <xdr:cNvPr id="2" name="TextBox 1">
          <a:extLst>
            <a:ext uri="{FF2B5EF4-FFF2-40B4-BE49-F238E27FC236}">
              <a16:creationId xmlns="" xmlns:a16="http://schemas.microsoft.com/office/drawing/2014/main" id="{00000000-0008-0000-1100-000002000000}"/>
            </a:ext>
          </a:extLst>
        </xdr:cNvPr>
        <xdr:cNvSpPr txBox="1"/>
      </xdr:nvSpPr>
      <xdr:spPr>
        <a:xfrm>
          <a:off x="7399678" y="3112330"/>
          <a:ext cx="4090255" cy="5451598"/>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a:latin typeface="Times New Roman" panose="02020603050405020304" pitchFamily="18" charset="0"/>
              <a:cs typeface="Times New Roman" panose="02020603050405020304" pitchFamily="18" charset="0"/>
            </a:rPr>
            <a:t>TIMES-DK</a:t>
          </a: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built before, after 1972 and new buildings (built after 2010).</a:t>
          </a:r>
        </a:p>
        <a:p>
          <a:r>
            <a:rPr lang="da-DK" sz="1200" b="1" baseline="0">
              <a:latin typeface="Times New Roman" panose="02020603050405020304" pitchFamily="18" charset="0"/>
              <a:cs typeface="Times New Roman" panose="02020603050405020304" pitchFamily="18" charset="0"/>
            </a:rPr>
            <a:t>Region</a:t>
          </a:r>
          <a:r>
            <a:rPr lang="da-DK" sz="1200" baseline="0">
              <a:latin typeface="Times New Roman" panose="02020603050405020304" pitchFamily="18" charset="0"/>
              <a:cs typeface="Times New Roman" panose="02020603050405020304" pitchFamily="18" charset="0"/>
            </a:rPr>
            <a:t> - East (DKE) and West (DKW) Denmark.</a:t>
          </a: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Single-family (old name "Detached") and Multi-family (old name (Multistorey) buildings. </a:t>
          </a:r>
        </a:p>
        <a:p>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Single-family buildings are aggregation of farmhouses (BBR "anv" code 110), detached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120)</a:t>
          </a:r>
          <a:r>
            <a:rPr lang="da-DK" sz="1200" baseline="0">
              <a:latin typeface="Times New Roman" panose="02020603050405020304" pitchFamily="18" charset="0"/>
              <a:cs typeface="Times New Roman" panose="02020603050405020304" pitchFamily="18" charset="0"/>
            </a:rPr>
            <a:t>, terrace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130)</a:t>
          </a:r>
          <a:r>
            <a:rPr lang="da-DK" sz="1200" baseline="0">
              <a:latin typeface="Times New Roman" panose="02020603050405020304" pitchFamily="18" charset="0"/>
              <a:cs typeface="Times New Roman" panose="02020603050405020304" pitchFamily="18" charset="0"/>
            </a:rPr>
            <a:t> and occupied summer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510; summer houses non-occupied over whole year are not included).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aseline="0">
              <a:solidFill>
                <a:schemeClr val="dk1"/>
              </a:solidFill>
              <a:effectLst/>
              <a:latin typeface="Times New Roman" panose="02020603050405020304" pitchFamily="18" charset="0"/>
              <a:ea typeface="+mn-ea"/>
              <a:cs typeface="Times New Roman" panose="02020603050405020304" pitchFamily="18" charset="0"/>
            </a:rPr>
            <a:t> Multi-family buildings are aggregation of blocks of flats (BBR "anv" code 140), student residences (BBR "anv" code 150), residential institutions (BBR "anv" code 160) and other dwelligs  (BBR "anv" code 190). </a:t>
          </a: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0</xdr:col>
      <xdr:colOff>91440</xdr:colOff>
      <xdr:row>15</xdr:row>
      <xdr:rowOff>57149</xdr:rowOff>
    </xdr:from>
    <xdr:to>
      <xdr:col>7</xdr:col>
      <xdr:colOff>1654969</xdr:colOff>
      <xdr:row>48</xdr:row>
      <xdr:rowOff>55721</xdr:rowOff>
    </xdr:to>
    <xdr:sp macro="" textlink="">
      <xdr:nvSpPr>
        <xdr:cNvPr id="3" name="TextBox 2">
          <a:extLst>
            <a:ext uri="{FF2B5EF4-FFF2-40B4-BE49-F238E27FC236}">
              <a16:creationId xmlns="" xmlns:a16="http://schemas.microsoft.com/office/drawing/2014/main" id="{00000000-0008-0000-1100-000003000000}"/>
            </a:ext>
          </a:extLst>
        </xdr:cNvPr>
        <xdr:cNvSpPr txBox="1"/>
      </xdr:nvSpPr>
      <xdr:spPr>
        <a:xfrm>
          <a:off x="91440" y="3105149"/>
          <a:ext cx="7195185" cy="5499260"/>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Moah</a:t>
          </a:r>
          <a:r>
            <a:rPr lang="da-DK" sz="1200" b="1" baseline="0">
              <a:latin typeface="Times New Roman" panose="02020603050405020304" pitchFamily="18" charset="0"/>
              <a:cs typeface="Times New Roman" panose="02020603050405020304" pitchFamily="18" charset="0"/>
            </a:rPr>
            <a:t> 25 Apr 2017:</a:t>
          </a:r>
        </a:p>
        <a:p>
          <a:endParaRPr lang="da-DK" sz="1200" b="1">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a:t>
          </a:r>
        </a:p>
        <a:p>
          <a:pPr lvl="1"/>
          <a:r>
            <a:rPr lang="da-DK" sz="1200" baseline="0">
              <a:latin typeface="Times New Roman" panose="02020603050405020304" pitchFamily="18" charset="0"/>
              <a:cs typeface="Times New Roman" panose="02020603050405020304" pitchFamily="18" charset="0"/>
            </a:rPr>
            <a:t>Built </a:t>
          </a:r>
          <a:r>
            <a:rPr lang="da-DK" sz="1200" baseline="0">
              <a:solidFill>
                <a:schemeClr val="dk1"/>
              </a:solidFill>
              <a:latin typeface="Times New Roman" panose="02020603050405020304" pitchFamily="18" charset="0"/>
              <a:ea typeface="+mn-ea"/>
              <a:cs typeface="Times New Roman" panose="02020603050405020304" pitchFamily="18" charset="0"/>
            </a:rPr>
            <a:t>before 1971</a:t>
          </a:r>
        </a:p>
        <a:p>
          <a:pPr lvl="1"/>
          <a:r>
            <a:rPr lang="da-DK" sz="1200" baseline="0">
              <a:solidFill>
                <a:schemeClr val="dk1"/>
              </a:solidFill>
              <a:latin typeface="Times New Roman" panose="02020603050405020304" pitchFamily="18" charset="0"/>
              <a:ea typeface="+mn-ea"/>
              <a:cs typeface="Times New Roman" panose="02020603050405020304" pitchFamily="18" charset="0"/>
            </a:rPr>
            <a:t>Built after </a:t>
          </a:r>
          <a:r>
            <a:rPr lang="da-DK" sz="1200" baseline="0">
              <a:latin typeface="Times New Roman" panose="02020603050405020304" pitchFamily="18" charset="0"/>
              <a:cs typeface="Times New Roman" panose="02020603050405020304" pitchFamily="18" charset="0"/>
            </a:rPr>
            <a:t>1971 </a:t>
          </a:r>
        </a:p>
        <a:p>
          <a:pPr lvl="1"/>
          <a:r>
            <a:rPr lang="da-DK" sz="1200" baseline="0">
              <a:latin typeface="Times New Roman" panose="02020603050405020304" pitchFamily="18" charset="0"/>
              <a:cs typeface="Times New Roman" panose="02020603050405020304" pitchFamily="18" charset="0"/>
            </a:rPr>
            <a:t>New buildings (built after 2011).</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Region</a:t>
          </a:r>
          <a:r>
            <a:rPr lang="da-DK" sz="1200" b="0" baseline="0">
              <a:latin typeface="Times New Roman" panose="02020603050405020304" pitchFamily="18" charset="0"/>
              <a:cs typeface="Times New Roman" panose="02020603050405020304" pitchFamily="18" charset="0"/>
            </a:rPr>
            <a:t>:</a:t>
          </a:r>
        </a:p>
        <a:p>
          <a:r>
            <a:rPr lang="da-DK" sz="1200" baseline="0">
              <a:latin typeface="Times New Roman" panose="02020603050405020304" pitchFamily="18" charset="0"/>
              <a:cs typeface="Times New Roman" panose="02020603050405020304" pitchFamily="18" charset="0"/>
            </a:rPr>
            <a:t>South Norway (</a:t>
          </a:r>
          <a:r>
            <a:rPr lang="da-DK" sz="1200" b="1" baseline="0">
              <a:latin typeface="Times New Roman" panose="02020603050405020304" pitchFamily="18" charset="0"/>
              <a:cs typeface="Times New Roman" panose="02020603050405020304" pitchFamily="18" charset="0"/>
            </a:rPr>
            <a:t>NO1</a:t>
          </a:r>
          <a:r>
            <a:rPr lang="da-DK" sz="1200" baseline="0">
              <a:latin typeface="Times New Roman" panose="02020603050405020304" pitchFamily="18" charset="0"/>
              <a:cs typeface="Times New Roman" panose="02020603050405020304" pitchFamily="18" charset="0"/>
            </a:rPr>
            <a:t>): Aggregation of NO1, NO2 and NO5. </a:t>
          </a:r>
          <a:r>
            <a:rPr lang="da-DK" sz="1200" baseline="0">
              <a:solidFill>
                <a:schemeClr val="dk1"/>
              </a:solidFill>
              <a:latin typeface="Times New Roman" panose="02020603050405020304" pitchFamily="18" charset="0"/>
              <a:ea typeface="+mn-ea"/>
              <a:cs typeface="Times New Roman" panose="02020603050405020304" pitchFamily="18" charset="0"/>
            </a:rPr>
            <a:t>North Norway (</a:t>
          </a:r>
          <a:r>
            <a:rPr lang="da-DK" sz="1200" b="1" baseline="0">
              <a:solidFill>
                <a:schemeClr val="dk1"/>
              </a:solidFill>
              <a:latin typeface="Times New Roman" panose="02020603050405020304" pitchFamily="18" charset="0"/>
              <a:ea typeface="+mn-ea"/>
              <a:cs typeface="Times New Roman" panose="02020603050405020304" pitchFamily="18" charset="0"/>
            </a:rPr>
            <a:t>NO2</a:t>
          </a:r>
          <a:r>
            <a:rPr lang="da-DK" sz="1200" baseline="0">
              <a:solidFill>
                <a:schemeClr val="dk1"/>
              </a:solidFill>
              <a:latin typeface="Times New Roman" panose="02020603050405020304" pitchFamily="18" charset="0"/>
              <a:ea typeface="+mn-ea"/>
              <a:cs typeface="Times New Roman" panose="02020603050405020304" pitchFamily="18" charset="0"/>
            </a:rPr>
            <a:t>): Aggregation of NO3 and NO4.</a:t>
          </a:r>
        </a:p>
        <a:p>
          <a:endParaRPr lang="da-DK" sz="1200" b="1"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a:t>
          </a:r>
        </a:p>
        <a:p>
          <a:r>
            <a:rPr lang="da-DK" sz="1200" baseline="0">
              <a:latin typeface="Times New Roman" panose="02020603050405020304" pitchFamily="18" charset="0"/>
              <a:cs typeface="Times New Roman" panose="02020603050405020304" pitchFamily="18" charset="0"/>
            </a:rPr>
            <a:t>Single-family (old name "Detached") and Multi-family (old name (Multistorey) buildings. </a:t>
          </a:r>
        </a:p>
        <a:p>
          <a:pPr lvl="1"/>
          <a:r>
            <a:rPr lang="da-DK" sz="1200" baseline="0">
              <a:solidFill>
                <a:schemeClr val="dk1"/>
              </a:solidFill>
              <a:latin typeface="Times New Roman" panose="02020603050405020304" pitchFamily="18" charset="0"/>
              <a:ea typeface="+mn-ea"/>
              <a:cs typeface="Times New Roman" panose="02020603050405020304" pitchFamily="18" charset="0"/>
            </a:rPr>
            <a:t>Single-family buildings are aggregation of detached houses. </a:t>
          </a: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Row house, linked house and house with 3 dwellings or more</a:t>
          </a:r>
          <a:endParaRPr lang="en-US" sz="1200" baseline="0">
            <a:solidFill>
              <a:schemeClr val="dk1"/>
            </a:solidFill>
            <a:latin typeface="Times New Roman" panose="02020603050405020304" pitchFamily="18" charset="0"/>
            <a:ea typeface="+mn-ea"/>
            <a:cs typeface="Times New Roman" panose="02020603050405020304" pitchFamily="18"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House with 2 </a:t>
          </a:r>
          <a:r>
            <a:rPr lang="da-DK" sz="1100" baseline="0">
              <a:solidFill>
                <a:schemeClr val="dk1"/>
              </a:solidFill>
              <a:effectLst/>
              <a:latin typeface="+mn-lt"/>
              <a:ea typeface="+mn-ea"/>
              <a:cs typeface="+mn-cs"/>
            </a:rPr>
            <a:t>dwellings</a:t>
          </a:r>
          <a:endParaRPr lang="en-US" sz="1200">
            <a:effectLst/>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0"/>
          <a:r>
            <a:rPr lang="da-DK" sz="1200" baseline="0">
              <a:solidFill>
                <a:schemeClr val="dk1"/>
              </a:solidFill>
              <a:effectLst/>
              <a:latin typeface="Times New Roman" panose="02020603050405020304" pitchFamily="18" charset="0"/>
              <a:ea typeface="+mn-ea"/>
              <a:cs typeface="Times New Roman" panose="02020603050405020304" pitchFamily="18" charset="0"/>
            </a:rPr>
            <a:t>Multi-family buildings are aggregation of </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Multi-dwelling building,</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Residence for communities</a:t>
          </a: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Other building (Other buildingtypes mainly includes dwellings in garages, industrial buildings and other non-residential buildings) -&gt; </a:t>
          </a:r>
          <a:r>
            <a:rPr lang="da-DK" sz="1200" baseline="0">
              <a:solidFill>
                <a:srgbClr val="FF0000"/>
              </a:solidFill>
              <a:effectLst/>
              <a:latin typeface="Times New Roman" panose="02020603050405020304" pitchFamily="18" charset="0"/>
              <a:ea typeface="+mn-ea"/>
              <a:cs typeface="Times New Roman" panose="02020603050405020304" pitchFamily="18" charset="0"/>
            </a:rPr>
            <a:t>deleted...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11</xdr:col>
      <xdr:colOff>523875</xdr:colOff>
      <xdr:row>3</xdr:row>
      <xdr:rowOff>190500</xdr:rowOff>
    </xdr:from>
    <xdr:to>
      <xdr:col>23</xdr:col>
      <xdr:colOff>392906</xdr:colOff>
      <xdr:row>21</xdr:row>
      <xdr:rowOff>0</xdr:rowOff>
    </xdr:to>
    <xdr:sp macro="" textlink="">
      <xdr:nvSpPr>
        <xdr:cNvPr id="4" name="TextBox 3">
          <a:extLst>
            <a:ext uri="{FF2B5EF4-FFF2-40B4-BE49-F238E27FC236}">
              <a16:creationId xmlns="" xmlns:a16="http://schemas.microsoft.com/office/drawing/2014/main" id="{00000000-0008-0000-1100-000004000000}"/>
            </a:ext>
          </a:extLst>
        </xdr:cNvPr>
        <xdr:cNvSpPr txBox="1"/>
      </xdr:nvSpPr>
      <xdr:spPr>
        <a:xfrm>
          <a:off x="11965781" y="821531"/>
          <a:ext cx="8989219" cy="3238500"/>
        </a:xfrm>
        <a:prstGeom prst="rect">
          <a:avLst/>
        </a:prstGeom>
        <a:ln w="28575">
          <a:solidFill>
            <a:srgbClr val="FF5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600" b="0" u="none">
              <a:latin typeface="Times New Roman" panose="02020603050405020304" pitchFamily="18" charset="0"/>
              <a:cs typeface="Times New Roman" panose="02020603050405020304" pitchFamily="18" charset="0"/>
            </a:rPr>
            <a:t>Dmytro Romanchenko (September,</a:t>
          </a:r>
          <a:r>
            <a:rPr lang="da-DK" sz="1600" b="0" u="none" baseline="0">
              <a:latin typeface="Times New Roman" panose="02020603050405020304" pitchFamily="18" charset="0"/>
              <a:cs typeface="Times New Roman" panose="02020603050405020304" pitchFamily="18" charset="0"/>
            </a:rPr>
            <a:t> 2020):</a:t>
          </a:r>
        </a:p>
        <a:p>
          <a:endParaRPr lang="da-DK" sz="1600" b="1" u="none" baseline="0">
            <a:latin typeface="Times New Roman" panose="02020603050405020304" pitchFamily="18" charset="0"/>
            <a:cs typeface="Times New Roman" panose="02020603050405020304" pitchFamily="18" charset="0"/>
          </a:endParaRPr>
        </a:p>
        <a:p>
          <a:r>
            <a:rPr lang="da-DK" sz="1600" b="1" u="none">
              <a:latin typeface="Times New Roman" panose="02020603050405020304" pitchFamily="18" charset="0"/>
              <a:cs typeface="Times New Roman" panose="02020603050405020304" pitchFamily="18" charset="0"/>
            </a:rPr>
            <a:t>The overarching</a:t>
          </a:r>
          <a:r>
            <a:rPr lang="da-DK" sz="1600" b="1" u="none" baseline="0">
              <a:latin typeface="Times New Roman" panose="02020603050405020304" pitchFamily="18" charset="0"/>
              <a:cs typeface="Times New Roman" panose="02020603050405020304" pitchFamily="18" charset="0"/>
            </a:rPr>
            <a:t> approach in this file: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STOCK (Mm2) and Total Energy consumption (GWh) are taken from the Statistics Norway</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Efficiencies of the heat geneartion units must be assumed/taken from somewhere else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Specific heat consumption of buildings - EFF (Mm2/PJ) is calculated within the file to match the values of the total energy consumption for heating reported in the statistics (supply side) and the values of the total energy consumption for heating, calculated based on the total heated floor area and specifc energy consumption </a:t>
          </a:r>
          <a:r>
            <a:rPr lang="da-DK" sz="1600" b="0" u="none" baseline="0">
              <a:latin typeface="Times New Roman" panose="02020603050405020304" pitchFamily="18" charset="0"/>
              <a:cs typeface="Times New Roman" panose="02020603050405020304" pitchFamily="18" charset="0"/>
            </a:rPr>
            <a:t>(details in the Buildings_DR sheet)</a:t>
          </a:r>
        </a:p>
        <a:p>
          <a:endParaRPr lang="da-DK" sz="1200" b="1" u="sng" baseline="0">
            <a:latin typeface="Times New Roman" panose="02020603050405020304" pitchFamily="18" charset="0"/>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66717</xdr:colOff>
      <xdr:row>2</xdr:row>
      <xdr:rowOff>55976</xdr:rowOff>
    </xdr:from>
    <xdr:to>
      <xdr:col>19</xdr:col>
      <xdr:colOff>28575</xdr:colOff>
      <xdr:row>4</xdr:row>
      <xdr:rowOff>116353</xdr:rowOff>
    </xdr:to>
    <xdr:sp macro="" textlink="">
      <xdr:nvSpPr>
        <xdr:cNvPr id="576" name="TextBox 82">
          <a:extLst>
            <a:ext uri="{FF2B5EF4-FFF2-40B4-BE49-F238E27FC236}">
              <a16:creationId xmlns="" xmlns:a16="http://schemas.microsoft.com/office/drawing/2014/main" id="{00000000-0008-0000-1200-000040020000}"/>
            </a:ext>
          </a:extLst>
        </xdr:cNvPr>
        <xdr:cNvSpPr txBox="1"/>
      </xdr:nvSpPr>
      <xdr:spPr>
        <a:xfrm>
          <a:off x="7440188" y="369741"/>
          <a:ext cx="93676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Boilers</a:t>
          </a:r>
        </a:p>
      </xdr:txBody>
    </xdr:sp>
    <xdr:clientData/>
  </xdr:twoCellAnchor>
  <xdr:twoCellAnchor>
    <xdr:from>
      <xdr:col>32</xdr:col>
      <xdr:colOff>369954</xdr:colOff>
      <xdr:row>2</xdr:row>
      <xdr:rowOff>52241</xdr:rowOff>
    </xdr:from>
    <xdr:to>
      <xdr:col>34</xdr:col>
      <xdr:colOff>183409</xdr:colOff>
      <xdr:row>4</xdr:row>
      <xdr:rowOff>112618</xdr:rowOff>
    </xdr:to>
    <xdr:sp macro="" textlink="">
      <xdr:nvSpPr>
        <xdr:cNvPr id="580" name="TextBox 102">
          <a:extLst>
            <a:ext uri="{FF2B5EF4-FFF2-40B4-BE49-F238E27FC236}">
              <a16:creationId xmlns="" xmlns:a16="http://schemas.microsoft.com/office/drawing/2014/main" id="{00000000-0008-0000-1200-000044020000}"/>
            </a:ext>
          </a:extLst>
        </xdr:cNvPr>
        <xdr:cNvSpPr txBox="1"/>
      </xdr:nvSpPr>
      <xdr:spPr>
        <a:xfrm>
          <a:off x="13032601" y="366006"/>
          <a:ext cx="113574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Buildings</a:t>
          </a:r>
        </a:p>
      </xdr:txBody>
    </xdr:sp>
    <xdr:clientData/>
  </xdr:twoCellAnchor>
  <xdr:twoCellAnchor>
    <xdr:from>
      <xdr:col>37</xdr:col>
      <xdr:colOff>8004</xdr:colOff>
      <xdr:row>2</xdr:row>
      <xdr:rowOff>52241</xdr:rowOff>
    </xdr:from>
    <xdr:to>
      <xdr:col>43</xdr:col>
      <xdr:colOff>200026</xdr:colOff>
      <xdr:row>4</xdr:row>
      <xdr:rowOff>112618</xdr:rowOff>
    </xdr:to>
    <xdr:sp macro="" textlink="">
      <xdr:nvSpPr>
        <xdr:cNvPr id="78" name="TextBox 102">
          <a:extLst>
            <a:ext uri="{FF2B5EF4-FFF2-40B4-BE49-F238E27FC236}">
              <a16:creationId xmlns="" xmlns:a16="http://schemas.microsoft.com/office/drawing/2014/main" id="{00000000-0008-0000-1200-00004E000000}"/>
            </a:ext>
          </a:extLst>
        </xdr:cNvPr>
        <xdr:cNvSpPr txBox="1"/>
      </xdr:nvSpPr>
      <xdr:spPr>
        <a:xfrm>
          <a:off x="15259210" y="366006"/>
          <a:ext cx="16711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Energy Services</a:t>
          </a:r>
        </a:p>
      </xdr:txBody>
    </xdr:sp>
    <xdr:clientData/>
  </xdr:twoCellAnchor>
  <xdr:twoCellAnchor>
    <xdr:from>
      <xdr:col>7</xdr:col>
      <xdr:colOff>190542</xdr:colOff>
      <xdr:row>2</xdr:row>
      <xdr:rowOff>27401</xdr:rowOff>
    </xdr:from>
    <xdr:to>
      <xdr:col>12</xdr:col>
      <xdr:colOff>179294</xdr:colOff>
      <xdr:row>4</xdr:row>
      <xdr:rowOff>87778</xdr:rowOff>
    </xdr:to>
    <xdr:sp macro="" textlink="">
      <xdr:nvSpPr>
        <xdr:cNvPr id="21" name="TextBox 82">
          <a:extLst>
            <a:ext uri="{FF2B5EF4-FFF2-40B4-BE49-F238E27FC236}">
              <a16:creationId xmlns="" xmlns:a16="http://schemas.microsoft.com/office/drawing/2014/main" id="{00000000-0008-0000-1200-000015000000}"/>
            </a:ext>
          </a:extLst>
        </xdr:cNvPr>
        <xdr:cNvSpPr txBox="1"/>
      </xdr:nvSpPr>
      <xdr:spPr>
        <a:xfrm>
          <a:off x="3081660" y="341166"/>
          <a:ext cx="189375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Fuel</a:t>
          </a:r>
          <a:r>
            <a:rPr lang="en-GB" baseline="0">
              <a:solidFill>
                <a:srgbClr val="FF0000"/>
              </a:solidFill>
            </a:rPr>
            <a:t> technology</a:t>
          </a:r>
          <a:endParaRPr lang="en-GB">
            <a:solidFill>
              <a:srgbClr val="FF0000"/>
            </a:solidFill>
          </a:endParaRPr>
        </a:p>
      </xdr:txBody>
    </xdr:sp>
    <xdr:clientData/>
  </xdr:twoCellAnchor>
  <xdr:twoCellAnchor>
    <xdr:from>
      <xdr:col>23</xdr:col>
      <xdr:colOff>119971</xdr:colOff>
      <xdr:row>2</xdr:row>
      <xdr:rowOff>66061</xdr:rowOff>
    </xdr:from>
    <xdr:to>
      <xdr:col>29</xdr:col>
      <xdr:colOff>56029</xdr:colOff>
      <xdr:row>4</xdr:row>
      <xdr:rowOff>126438</xdr:rowOff>
    </xdr:to>
    <xdr:sp macro="" textlink="">
      <xdr:nvSpPr>
        <xdr:cNvPr id="6" name="TextBox 82">
          <a:extLst>
            <a:ext uri="{FF2B5EF4-FFF2-40B4-BE49-F238E27FC236}">
              <a16:creationId xmlns="" xmlns:a16="http://schemas.microsoft.com/office/drawing/2014/main" id="{00000000-0008-0000-1200-000006000000}"/>
            </a:ext>
          </a:extLst>
        </xdr:cNvPr>
        <xdr:cNvSpPr txBox="1"/>
      </xdr:nvSpPr>
      <xdr:spPr>
        <a:xfrm>
          <a:off x="9958736" y="379826"/>
          <a:ext cx="1818646"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Heat produced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Spot/Office/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Users\stpet\Desktop\VT_DK_HOU_v1p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Lame12/f$/Documents%20and%20Settings/labriet/Local%20Settings/Temp/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 val="IEA Data"/>
      <sheetName val="E&amp;D Driver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refreshError="1">
        <row r="2">
          <cell r="A2" t="str">
            <v>^FI_ST: TCH, PRC</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7.bin"/><Relationship Id="rId1" Type="http://schemas.openxmlformats.org/officeDocument/2006/relationships/hyperlink" Target="https://www.oecd.org/els/family/HM1-1-Housing-stock-and-construction.pdf" TargetMode="External"/><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package" Target="../embeddings/Microsoft_Visio_Drawing11111.vsdx"/><Relationship Id="rId2" Type="http://schemas.openxmlformats.org/officeDocument/2006/relationships/vmlDrawing" Target="../drawings/vmlDrawing3.vml"/><Relationship Id="rId1" Type="http://schemas.openxmlformats.org/officeDocument/2006/relationships/drawing" Target="../drawings/drawing8.xml"/><Relationship Id="rId4" Type="http://schemas.openxmlformats.org/officeDocument/2006/relationships/image" Target="../media/image2.emf"/></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C000"/>
  </sheetPr>
  <dimension ref="A3:F43"/>
  <sheetViews>
    <sheetView zoomScaleNormal="100" workbookViewId="0">
      <selection activeCell="A4" sqref="A4"/>
    </sheetView>
  </sheetViews>
  <sheetFormatPr defaultColWidth="9.21875" defaultRowHeight="13.2"/>
  <cols>
    <col min="1" max="1" width="11" style="92" bestFit="1" customWidth="1"/>
    <col min="2" max="2" width="21.21875" style="92" customWidth="1"/>
    <col min="3" max="3" width="30.33203125" style="92" bestFit="1" customWidth="1"/>
    <col min="4" max="4" width="16.33203125" style="92" bestFit="1" customWidth="1"/>
    <col min="5" max="5" width="132.21875" style="92" customWidth="1"/>
    <col min="6" max="8" width="9.21875" style="92"/>
    <col min="9" max="9" width="13" style="92" customWidth="1"/>
    <col min="10" max="10" width="14.44140625" style="92" bestFit="1" customWidth="1"/>
    <col min="11" max="16384" width="9.21875" style="92"/>
  </cols>
  <sheetData>
    <row r="3" spans="1:6">
      <c r="A3" s="90" t="s">
        <v>130</v>
      </c>
      <c r="B3" s="91" t="s">
        <v>110</v>
      </c>
      <c r="C3" s="91" t="s">
        <v>131</v>
      </c>
      <c r="D3" s="91" t="s">
        <v>132</v>
      </c>
      <c r="E3" s="91" t="s">
        <v>133</v>
      </c>
    </row>
    <row r="4" spans="1:6">
      <c r="A4" s="291">
        <v>44300</v>
      </c>
      <c r="B4" s="292" t="s">
        <v>201</v>
      </c>
      <c r="C4" s="292"/>
      <c r="D4" s="293"/>
      <c r="E4" s="294" t="s">
        <v>202</v>
      </c>
    </row>
    <row r="5" spans="1:6">
      <c r="A5" s="291"/>
      <c r="B5" s="292"/>
      <c r="C5" s="292"/>
      <c r="D5" s="293"/>
      <c r="E5" s="294"/>
    </row>
    <row r="6" spans="1:6">
      <c r="A6" s="291"/>
      <c r="B6" s="292"/>
      <c r="C6" s="292"/>
      <c r="D6" s="293"/>
      <c r="E6" s="294"/>
    </row>
    <row r="7" spans="1:6">
      <c r="A7" s="90"/>
      <c r="B7" s="91"/>
      <c r="C7" s="292"/>
      <c r="D7" s="293"/>
      <c r="E7" s="294"/>
    </row>
    <row r="8" spans="1:6">
      <c r="A8" s="90"/>
      <c r="B8" s="91"/>
      <c r="C8" s="292"/>
      <c r="D8" s="293"/>
      <c r="E8" s="294"/>
    </row>
    <row r="9" spans="1:6">
      <c r="A9" s="185"/>
      <c r="B9" s="146"/>
      <c r="C9" s="292"/>
      <c r="D9" s="293"/>
      <c r="E9" s="294"/>
    </row>
    <row r="10" spans="1:6">
      <c r="A10" s="185"/>
      <c r="B10" s="146"/>
      <c r="C10" s="292"/>
      <c r="D10" s="293"/>
      <c r="E10" s="294"/>
    </row>
    <row r="11" spans="1:6">
      <c r="A11" s="185"/>
      <c r="B11" s="146"/>
      <c r="C11" s="292"/>
      <c r="D11" s="293"/>
      <c r="E11" s="294"/>
    </row>
    <row r="12" spans="1:6">
      <c r="A12" s="185"/>
      <c r="B12" s="146"/>
      <c r="C12" s="292"/>
      <c r="D12" s="293"/>
      <c r="E12" s="294"/>
    </row>
    <row r="13" spans="1:6">
      <c r="A13" s="93"/>
      <c r="B13" s="94"/>
      <c r="C13" s="94"/>
      <c r="D13" s="94"/>
      <c r="E13" s="94"/>
    </row>
    <row r="14" spans="1:6">
      <c r="A14" s="185"/>
      <c r="B14" s="146"/>
      <c r="C14" s="146"/>
      <c r="D14" s="146"/>
      <c r="E14" s="146"/>
    </row>
    <row r="15" spans="1:6">
      <c r="F15" s="95"/>
    </row>
    <row r="16" spans="1:6">
      <c r="A16" s="90"/>
      <c r="B16" s="91"/>
      <c r="C16" s="91"/>
      <c r="D16" s="91"/>
      <c r="E16" s="91"/>
    </row>
    <row r="17" spans="1:5">
      <c r="A17" s="90"/>
      <c r="B17" s="91"/>
      <c r="C17" s="91"/>
      <c r="D17" s="91"/>
      <c r="E17" s="91"/>
    </row>
    <row r="18" spans="1:5">
      <c r="A18" s="90"/>
      <c r="B18" s="91"/>
      <c r="C18" s="91"/>
      <c r="D18" s="91"/>
      <c r="E18" s="91"/>
    </row>
    <row r="19" spans="1:5">
      <c r="A19" s="90"/>
      <c r="B19" s="91"/>
      <c r="C19" s="91"/>
      <c r="D19" s="91"/>
      <c r="E19" s="91"/>
    </row>
    <row r="20" spans="1:5">
      <c r="A20" s="90"/>
      <c r="B20" s="91"/>
      <c r="C20" s="91"/>
      <c r="D20" s="91"/>
      <c r="E20" s="91"/>
    </row>
    <row r="21" spans="1:5">
      <c r="A21" s="90"/>
      <c r="B21" s="91"/>
      <c r="C21" s="91"/>
      <c r="D21" s="91"/>
      <c r="E21" s="91"/>
    </row>
    <row r="22" spans="1:5" s="150" customFormat="1">
      <c r="A22" s="145"/>
      <c r="B22" s="141"/>
      <c r="C22" s="141"/>
      <c r="D22" s="141"/>
      <c r="E22" s="141"/>
    </row>
    <row r="23" spans="1:5" s="150" customFormat="1">
      <c r="A23" s="145"/>
      <c r="B23" s="141"/>
      <c r="C23" s="141"/>
      <c r="D23" s="141"/>
      <c r="E23" s="141"/>
    </row>
    <row r="24" spans="1:5" s="150" customFormat="1">
      <c r="A24" s="145"/>
      <c r="B24" s="141"/>
      <c r="C24" s="141"/>
      <c r="D24" s="141"/>
      <c r="E24" s="141"/>
    </row>
    <row r="25" spans="1:5" s="150" customFormat="1">
      <c r="A25" s="152"/>
      <c r="B25" s="151"/>
      <c r="C25" s="152"/>
      <c r="D25" s="152"/>
      <c r="E25" s="153"/>
    </row>
    <row r="26" spans="1:5">
      <c r="A26" s="145"/>
      <c r="B26" s="141"/>
      <c r="C26" s="141"/>
      <c r="D26" s="141"/>
      <c r="E26" s="141"/>
    </row>
    <row r="27" spans="1:5">
      <c r="A27" s="145"/>
      <c r="B27" s="146"/>
      <c r="C27" s="146"/>
      <c r="D27" s="146"/>
      <c r="E27" s="146"/>
    </row>
    <row r="28" spans="1:5">
      <c r="A28" s="145"/>
      <c r="B28" s="146"/>
      <c r="C28" s="146"/>
      <c r="D28" s="91"/>
      <c r="E28" s="146"/>
    </row>
    <row r="29" spans="1:5">
      <c r="A29" s="145"/>
      <c r="B29" s="146"/>
      <c r="C29" s="146"/>
      <c r="D29" s="146"/>
      <c r="E29" s="146"/>
    </row>
    <row r="30" spans="1:5">
      <c r="A30" s="145"/>
      <c r="B30" s="146"/>
      <c r="C30" s="146"/>
      <c r="D30" s="146"/>
      <c r="E30" s="146"/>
    </row>
    <row r="31" spans="1:5">
      <c r="A31" s="145"/>
      <c r="B31" s="146"/>
      <c r="C31" s="146"/>
      <c r="D31" s="146"/>
      <c r="E31" s="146"/>
    </row>
    <row r="32" spans="1:5" s="100" customFormat="1">
      <c r="A32" s="145"/>
      <c r="B32" s="146"/>
      <c r="C32" s="146"/>
      <c r="D32" s="146"/>
      <c r="E32" s="146"/>
    </row>
    <row r="33" spans="1:5" s="100" customFormat="1">
      <c r="A33" s="102"/>
      <c r="B33" s="141"/>
      <c r="C33" s="101"/>
      <c r="D33" s="101"/>
      <c r="E33" s="141"/>
    </row>
    <row r="34" spans="1:5" s="95" customFormat="1">
      <c r="A34" s="102"/>
      <c r="B34" s="101"/>
      <c r="C34" s="101"/>
      <c r="D34" s="101"/>
      <c r="E34" s="101"/>
    </row>
    <row r="35" spans="1:5" s="95" customFormat="1">
      <c r="A35" s="93"/>
      <c r="B35" s="94"/>
      <c r="C35" s="94"/>
      <c r="E35" s="94"/>
    </row>
    <row r="36" spans="1:5" s="95" customFormat="1">
      <c r="A36" s="93"/>
      <c r="B36" s="94"/>
      <c r="C36" s="94"/>
      <c r="E36" s="94"/>
    </row>
    <row r="37" spans="1:5" s="95" customFormat="1">
      <c r="A37" s="93"/>
      <c r="B37" s="94"/>
      <c r="C37" s="94"/>
      <c r="D37" s="94"/>
      <c r="E37" s="94"/>
    </row>
    <row r="38" spans="1:5" s="95" customFormat="1">
      <c r="A38" s="93"/>
      <c r="B38" s="94"/>
      <c r="C38" s="94"/>
      <c r="D38" s="94"/>
      <c r="E38" s="94"/>
    </row>
    <row r="39" spans="1:5" s="95" customFormat="1">
      <c r="A39" s="93"/>
      <c r="B39" s="94"/>
      <c r="C39" s="94"/>
      <c r="D39" s="94"/>
      <c r="E39" s="94"/>
    </row>
    <row r="40" spans="1:5">
      <c r="A40" s="93"/>
      <c r="B40" s="94"/>
      <c r="C40" s="94"/>
      <c r="D40" s="94"/>
      <c r="E40" s="94"/>
    </row>
    <row r="41" spans="1:5">
      <c r="A41" s="93"/>
      <c r="B41" s="96"/>
      <c r="C41" s="96"/>
      <c r="D41" s="97"/>
      <c r="E41" s="96"/>
    </row>
    <row r="42" spans="1:5">
      <c r="A42" s="98"/>
      <c r="B42" s="96"/>
      <c r="C42" s="96"/>
      <c r="D42" s="99"/>
      <c r="E42" s="99"/>
    </row>
    <row r="43" spans="1:5">
      <c r="A43" s="98"/>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FFC000"/>
  </sheetPr>
  <dimension ref="B1:C28"/>
  <sheetViews>
    <sheetView workbookViewId="0">
      <selection activeCell="B20" sqref="B20"/>
    </sheetView>
  </sheetViews>
  <sheetFormatPr defaultColWidth="9.21875" defaultRowHeight="14.4"/>
  <cols>
    <col min="1" max="1" width="9.21875" style="138"/>
    <col min="2" max="2" width="28.33203125" style="138" customWidth="1"/>
    <col min="3" max="3" width="138.44140625" style="138" customWidth="1"/>
    <col min="4" max="16384" width="9.21875" style="138"/>
  </cols>
  <sheetData>
    <row r="1" spans="2:3" ht="18">
      <c r="B1" s="137" t="s">
        <v>143</v>
      </c>
    </row>
    <row r="3" spans="2:3">
      <c r="B3" s="139" t="s">
        <v>144</v>
      </c>
      <c r="C3" s="138" t="s">
        <v>151</v>
      </c>
    </row>
    <row r="4" spans="2:3">
      <c r="B4" s="139" t="s">
        <v>145</v>
      </c>
      <c r="C4" s="138" t="s">
        <v>152</v>
      </c>
    </row>
    <row r="5" spans="2:3">
      <c r="B5" s="139"/>
    </row>
    <row r="6" spans="2:3">
      <c r="B6" s="139" t="s">
        <v>146</v>
      </c>
      <c r="C6" s="564" t="s">
        <v>153</v>
      </c>
    </row>
    <row r="7" spans="2:3">
      <c r="B7" s="139"/>
    </row>
    <row r="8" spans="2:3">
      <c r="B8" s="140" t="s">
        <v>147</v>
      </c>
    </row>
    <row r="9" spans="2:3">
      <c r="B9" s="139"/>
    </row>
    <row r="13" spans="2:3">
      <c r="B13" s="142" t="s">
        <v>134</v>
      </c>
      <c r="C13" s="138" t="s">
        <v>148</v>
      </c>
    </row>
    <row r="14" spans="2:3">
      <c r="B14" s="142" t="s">
        <v>157</v>
      </c>
      <c r="C14" s="138" t="s">
        <v>158</v>
      </c>
    </row>
    <row r="15" spans="2:3">
      <c r="B15" s="142" t="s">
        <v>828</v>
      </c>
      <c r="C15" s="564" t="s">
        <v>829</v>
      </c>
    </row>
    <row r="16" spans="2:3">
      <c r="B16" s="142" t="s">
        <v>293</v>
      </c>
      <c r="C16" s="564" t="s">
        <v>830</v>
      </c>
    </row>
    <row r="17" spans="2:3">
      <c r="B17" s="142" t="s">
        <v>135</v>
      </c>
      <c r="C17" s="138" t="s">
        <v>159</v>
      </c>
    </row>
    <row r="18" spans="2:3">
      <c r="B18" s="142" t="s">
        <v>160</v>
      </c>
      <c r="C18" s="138" t="s">
        <v>161</v>
      </c>
    </row>
    <row r="19" spans="2:3">
      <c r="B19" s="142" t="s">
        <v>162</v>
      </c>
      <c r="C19" s="138" t="s">
        <v>165</v>
      </c>
    </row>
    <row r="20" spans="2:3">
      <c r="B20" s="142" t="s">
        <v>163</v>
      </c>
      <c r="C20" s="138" t="s">
        <v>164</v>
      </c>
    </row>
    <row r="21" spans="2:3">
      <c r="B21" s="142" t="s">
        <v>149</v>
      </c>
      <c r="C21" s="138" t="s">
        <v>150</v>
      </c>
    </row>
    <row r="22" spans="2:3">
      <c r="B22" s="567" t="s">
        <v>831</v>
      </c>
      <c r="C22" s="564" t="s">
        <v>835</v>
      </c>
    </row>
    <row r="23" spans="2:3">
      <c r="B23" s="567" t="s">
        <v>832</v>
      </c>
      <c r="C23" s="564" t="s">
        <v>834</v>
      </c>
    </row>
    <row r="24" spans="2:3">
      <c r="B24" s="566" t="s">
        <v>225</v>
      </c>
      <c r="C24" s="564" t="s">
        <v>836</v>
      </c>
    </row>
    <row r="25" spans="2:3">
      <c r="B25" s="566" t="s">
        <v>833</v>
      </c>
      <c r="C25" s="564" t="s">
        <v>837</v>
      </c>
    </row>
    <row r="26" spans="2:3">
      <c r="B26" s="565" t="s">
        <v>153</v>
      </c>
      <c r="C26" s="138" t="s">
        <v>156</v>
      </c>
    </row>
    <row r="27" spans="2:3">
      <c r="B27" s="565" t="s">
        <v>182</v>
      </c>
      <c r="C27" s="186" t="s">
        <v>183</v>
      </c>
    </row>
    <row r="28" spans="2:3">
      <c r="B28" s="565" t="s">
        <v>154</v>
      </c>
      <c r="C28" s="138" t="s">
        <v>155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6" tint="-0.249977111117893"/>
  </sheetPr>
  <dimension ref="A2:AD83"/>
  <sheetViews>
    <sheetView zoomScale="55" zoomScaleNormal="55" workbookViewId="0">
      <selection activeCell="S20" sqref="S20"/>
    </sheetView>
  </sheetViews>
  <sheetFormatPr defaultColWidth="8.77734375" defaultRowHeight="13.2"/>
  <cols>
    <col min="1" max="1" width="12.44140625" customWidth="1"/>
    <col min="2" max="2" width="16.77734375" bestFit="1" customWidth="1"/>
    <col min="3" max="3" width="14.6640625" bestFit="1" customWidth="1"/>
    <col min="4" max="4" width="61.6640625" bestFit="1" customWidth="1"/>
    <col min="5" max="5" width="5.21875" bestFit="1" customWidth="1"/>
    <col min="6" max="6" width="9.77734375" customWidth="1"/>
    <col min="7" max="7" width="10.6640625" customWidth="1"/>
    <col min="8" max="8" width="8.44140625" bestFit="1" customWidth="1"/>
    <col min="9" max="9" width="7.6640625" bestFit="1" customWidth="1"/>
    <col min="10" max="10" width="6" style="10" customWidth="1"/>
    <col min="11" max="11" width="3.44140625" customWidth="1"/>
    <col min="12" max="27" width="14.21875" customWidth="1"/>
  </cols>
  <sheetData>
    <row r="2" spans="2:27" ht="17.399999999999999">
      <c r="B2" s="543" t="s">
        <v>788</v>
      </c>
      <c r="C2" s="543" t="s">
        <v>153</v>
      </c>
      <c r="D2" s="106" t="s">
        <v>807</v>
      </c>
    </row>
    <row r="3" spans="2:27">
      <c r="B3" s="2"/>
    </row>
    <row r="4" spans="2:27">
      <c r="B4" s="63" t="s">
        <v>9</v>
      </c>
      <c r="C4" s="64"/>
      <c r="D4" s="64"/>
      <c r="E4" s="64"/>
      <c r="F4" s="64"/>
      <c r="G4" s="64"/>
      <c r="H4" s="64"/>
      <c r="I4" s="64"/>
    </row>
    <row r="5" spans="2:27" ht="55.2">
      <c r="B5" s="65" t="s">
        <v>6</v>
      </c>
      <c r="C5" s="65" t="s">
        <v>4</v>
      </c>
      <c r="D5" s="65" t="s">
        <v>5</v>
      </c>
      <c r="E5" s="65" t="s">
        <v>7</v>
      </c>
      <c r="F5" s="65" t="s">
        <v>10</v>
      </c>
      <c r="G5" s="65" t="s">
        <v>11</v>
      </c>
      <c r="H5" s="65" t="s">
        <v>12</v>
      </c>
      <c r="I5" s="65" t="s">
        <v>13</v>
      </c>
      <c r="J5" s="510"/>
      <c r="K5" s="127"/>
      <c r="L5" s="296" t="s">
        <v>763</v>
      </c>
      <c r="M5" s="296" t="s">
        <v>764</v>
      </c>
      <c r="N5" s="296" t="s">
        <v>765</v>
      </c>
      <c r="O5" s="296" t="s">
        <v>766</v>
      </c>
      <c r="P5" s="296" t="s">
        <v>787</v>
      </c>
      <c r="Q5" s="296" t="s">
        <v>802</v>
      </c>
      <c r="R5" s="296" t="s">
        <v>805</v>
      </c>
      <c r="S5" s="127"/>
      <c r="T5" s="127"/>
      <c r="U5" s="127"/>
      <c r="V5" s="127"/>
      <c r="W5" s="127"/>
      <c r="X5" s="127"/>
      <c r="Y5" s="127"/>
      <c r="Z5" s="127"/>
      <c r="AA5" s="127"/>
    </row>
    <row r="6" spans="2:27" ht="20.399999999999999">
      <c r="B6" s="130" t="s">
        <v>37</v>
      </c>
      <c r="C6" s="131" t="s">
        <v>38</v>
      </c>
      <c r="D6" s="131" t="s">
        <v>39</v>
      </c>
      <c r="E6" s="131" t="s">
        <v>7</v>
      </c>
      <c r="F6" s="131" t="s">
        <v>40</v>
      </c>
      <c r="G6" s="131" t="s">
        <v>41</v>
      </c>
      <c r="H6" s="131" t="s">
        <v>42</v>
      </c>
      <c r="I6" s="131" t="s">
        <v>43</v>
      </c>
    </row>
    <row r="7" spans="2:27">
      <c r="B7" s="149" t="s">
        <v>17</v>
      </c>
      <c r="C7" s="152" t="str">
        <f>LEFT($C$2,1)&amp;LEFT(L7,1)&amp;LEFT(N7,1)&amp;LEFT(M7,1)&amp;LEFT(O7,1)&amp;LEFT(P7,1)&amp;Q7</f>
        <v>RHUDB</v>
      </c>
      <c r="D7" s="67" t="str">
        <f t="shared" ref="D7:D17" si="0">$D$2&amp;" "&amp;L7&amp;" "&amp;N7&amp;" "&amp;M7&amp;" "&amp;O7&amp;" "&amp;P7&amp;" "&amp;R7</f>
        <v>Residential Heating Urban Detached Building  Demand</v>
      </c>
      <c r="E7" s="68" t="s">
        <v>46</v>
      </c>
      <c r="F7" s="69"/>
      <c r="G7" s="64"/>
      <c r="H7" s="64"/>
      <c r="I7" s="64"/>
      <c r="J7" s="511"/>
      <c r="K7" s="126"/>
      <c r="L7" s="126" t="s">
        <v>759</v>
      </c>
      <c r="M7" s="127" t="s">
        <v>116</v>
      </c>
      <c r="N7" s="127" t="s">
        <v>734</v>
      </c>
      <c r="O7" s="127" t="s">
        <v>764</v>
      </c>
      <c r="P7" s="126"/>
      <c r="Q7" s="126"/>
      <c r="R7" s="126" t="s">
        <v>806</v>
      </c>
      <c r="S7" s="126"/>
      <c r="T7" s="126"/>
      <c r="U7" s="126"/>
      <c r="V7" s="126"/>
      <c r="W7" s="126"/>
      <c r="X7" s="126"/>
      <c r="Y7" s="126"/>
      <c r="Z7" s="126"/>
      <c r="AA7" s="126"/>
    </row>
    <row r="8" spans="2:27">
      <c r="B8" s="64"/>
      <c r="C8" s="152" t="str">
        <f t="shared" ref="C8:C17" si="1">LEFT($C$2,1)&amp;LEFT(L8,1)&amp;LEFT(N8,1)&amp;LEFT(M8,1)&amp;LEFT(O8,1)&amp;LEFT(P8,1)&amp;Q8</f>
        <v>RHRDB</v>
      </c>
      <c r="D8" s="67" t="str">
        <f t="shared" si="0"/>
        <v>Residential Heating Rural Detached Building  Demand</v>
      </c>
      <c r="E8" s="68" t="s">
        <v>46</v>
      </c>
      <c r="F8" s="69"/>
      <c r="G8" s="64"/>
      <c r="H8" s="64"/>
      <c r="I8" s="64"/>
      <c r="J8" s="511"/>
      <c r="K8" s="126"/>
      <c r="L8" s="126" t="s">
        <v>759</v>
      </c>
      <c r="M8" s="127" t="s">
        <v>116</v>
      </c>
      <c r="N8" s="127" t="s">
        <v>735</v>
      </c>
      <c r="O8" s="127" t="s">
        <v>764</v>
      </c>
      <c r="P8" s="126"/>
      <c r="Q8" s="126"/>
      <c r="R8" s="126" t="s">
        <v>806</v>
      </c>
      <c r="S8" s="126"/>
      <c r="T8" s="126"/>
      <c r="U8" s="126"/>
      <c r="V8" s="126"/>
      <c r="W8" s="126"/>
      <c r="X8" s="126"/>
      <c r="Y8" s="126"/>
      <c r="Z8" s="126"/>
      <c r="AA8" s="126"/>
    </row>
    <row r="9" spans="2:27">
      <c r="B9" s="64"/>
      <c r="C9" s="152" t="str">
        <f t="shared" si="1"/>
        <v>RHUMB</v>
      </c>
      <c r="D9" s="67" t="str">
        <f t="shared" si="0"/>
        <v>Residential Heating Urban Multi Building  Demand</v>
      </c>
      <c r="E9" s="68" t="s">
        <v>46</v>
      </c>
      <c r="F9" s="69"/>
      <c r="G9" s="64"/>
      <c r="H9" s="64"/>
      <c r="I9" s="64"/>
      <c r="J9" s="511"/>
      <c r="K9" s="126"/>
      <c r="L9" s="126" t="s">
        <v>759</v>
      </c>
      <c r="M9" s="127" t="s">
        <v>741</v>
      </c>
      <c r="N9" s="127" t="s">
        <v>734</v>
      </c>
      <c r="O9" s="127" t="s">
        <v>764</v>
      </c>
      <c r="P9" s="126"/>
      <c r="Q9" s="126"/>
      <c r="R9" s="126" t="s">
        <v>806</v>
      </c>
      <c r="S9" s="126"/>
      <c r="T9" s="126"/>
      <c r="U9" s="126"/>
      <c r="V9" s="126"/>
      <c r="W9" s="126"/>
      <c r="X9" s="126"/>
      <c r="Y9" s="126"/>
      <c r="Z9" s="126"/>
      <c r="AA9" s="126"/>
    </row>
    <row r="10" spans="2:27">
      <c r="B10" s="495"/>
      <c r="C10" s="496" t="str">
        <f t="shared" si="1"/>
        <v>RHRMB</v>
      </c>
      <c r="D10" s="497" t="str">
        <f t="shared" si="0"/>
        <v>Residential Heating Rural Multi Building  Demand</v>
      </c>
      <c r="E10" s="492" t="s">
        <v>46</v>
      </c>
      <c r="F10" s="489"/>
      <c r="G10" s="495"/>
      <c r="H10" s="495"/>
      <c r="I10" s="495"/>
      <c r="J10" s="512"/>
      <c r="K10" s="127"/>
      <c r="L10" s="126" t="s">
        <v>759</v>
      </c>
      <c r="M10" s="127" t="s">
        <v>741</v>
      </c>
      <c r="N10" s="127" t="s">
        <v>735</v>
      </c>
      <c r="O10" s="127" t="s">
        <v>764</v>
      </c>
      <c r="P10" s="127"/>
      <c r="Q10" s="127"/>
      <c r="R10" s="126" t="s">
        <v>806</v>
      </c>
      <c r="S10" s="127"/>
      <c r="T10" s="127"/>
      <c r="U10" s="127"/>
      <c r="V10" s="127"/>
      <c r="W10" s="127"/>
      <c r="X10" s="127"/>
      <c r="Y10" s="127"/>
      <c r="Z10" s="127"/>
      <c r="AA10" s="127"/>
    </row>
    <row r="11" spans="2:27">
      <c r="B11" s="77"/>
      <c r="C11" s="152" t="str">
        <f t="shared" si="1"/>
        <v>RCUDB</v>
      </c>
      <c r="D11" s="67" t="str">
        <f t="shared" si="0"/>
        <v>Residential Cooling Urban Detached Building  Demand</v>
      </c>
      <c r="E11" s="68" t="s">
        <v>46</v>
      </c>
      <c r="F11" s="78"/>
      <c r="G11" s="77"/>
      <c r="H11" s="77"/>
      <c r="I11" s="77"/>
      <c r="J11" s="513"/>
      <c r="K11" s="127"/>
      <c r="L11" s="127" t="s">
        <v>293</v>
      </c>
      <c r="M11" s="127" t="s">
        <v>116</v>
      </c>
      <c r="N11" s="127" t="s">
        <v>734</v>
      </c>
      <c r="O11" s="127" t="s">
        <v>764</v>
      </c>
      <c r="P11" s="127"/>
      <c r="Q11" s="127"/>
      <c r="R11" s="126" t="s">
        <v>806</v>
      </c>
      <c r="S11" s="127"/>
      <c r="T11" s="127"/>
      <c r="U11" s="127"/>
      <c r="V11" s="127"/>
      <c r="W11" s="127"/>
      <c r="X11" s="127"/>
      <c r="Y11" s="127"/>
      <c r="Z11" s="127"/>
      <c r="AA11" s="127"/>
    </row>
    <row r="12" spans="2:27">
      <c r="B12" s="77"/>
      <c r="C12" s="152" t="str">
        <f t="shared" si="1"/>
        <v>RCRDB</v>
      </c>
      <c r="D12" s="67" t="str">
        <f t="shared" si="0"/>
        <v>Residential Cooling Rural Detached Building  Demand</v>
      </c>
      <c r="E12" s="68" t="s">
        <v>46</v>
      </c>
      <c r="F12" s="78"/>
      <c r="G12" s="77"/>
      <c r="H12" s="77"/>
      <c r="I12" s="77"/>
      <c r="J12" s="513"/>
      <c r="K12" s="127"/>
      <c r="L12" s="127" t="s">
        <v>293</v>
      </c>
      <c r="M12" s="127" t="s">
        <v>116</v>
      </c>
      <c r="N12" s="127" t="s">
        <v>735</v>
      </c>
      <c r="O12" s="127" t="s">
        <v>764</v>
      </c>
      <c r="P12" s="127"/>
      <c r="Q12" s="127"/>
      <c r="R12" s="126" t="s">
        <v>806</v>
      </c>
      <c r="S12" s="127"/>
      <c r="T12" s="127"/>
      <c r="U12" s="127"/>
      <c r="V12" s="127"/>
      <c r="W12" s="127"/>
      <c r="X12" s="127"/>
      <c r="Y12" s="127"/>
      <c r="Z12" s="127"/>
      <c r="AA12" s="127"/>
    </row>
    <row r="13" spans="2:27">
      <c r="B13" s="77"/>
      <c r="C13" s="152" t="str">
        <f t="shared" si="1"/>
        <v>RCUMB</v>
      </c>
      <c r="D13" s="67" t="str">
        <f t="shared" si="0"/>
        <v>Residential Cooling Urban Multi Building  Demand</v>
      </c>
      <c r="E13" s="68" t="s">
        <v>46</v>
      </c>
      <c r="F13" s="78"/>
      <c r="G13" s="77"/>
      <c r="H13" s="77"/>
      <c r="I13" s="77"/>
      <c r="J13" s="513"/>
      <c r="K13" s="127"/>
      <c r="L13" s="127" t="s">
        <v>293</v>
      </c>
      <c r="M13" s="127" t="s">
        <v>741</v>
      </c>
      <c r="N13" s="127" t="s">
        <v>734</v>
      </c>
      <c r="O13" s="127" t="s">
        <v>764</v>
      </c>
      <c r="P13" s="127"/>
      <c r="Q13" s="127"/>
      <c r="R13" s="126" t="s">
        <v>806</v>
      </c>
      <c r="S13" s="127"/>
      <c r="T13" s="127"/>
      <c r="U13" s="127"/>
      <c r="V13" s="127"/>
      <c r="W13" s="127"/>
      <c r="X13" s="127"/>
      <c r="Y13" s="127"/>
      <c r="Z13" s="127"/>
      <c r="AA13" s="127"/>
    </row>
    <row r="14" spans="2:27">
      <c r="B14" s="495"/>
      <c r="C14" s="496" t="str">
        <f t="shared" si="1"/>
        <v>RCRMB</v>
      </c>
      <c r="D14" s="497" t="str">
        <f t="shared" si="0"/>
        <v>Residential Cooling Rural Multi Building  Demand</v>
      </c>
      <c r="E14" s="492" t="s">
        <v>46</v>
      </c>
      <c r="F14" s="489"/>
      <c r="G14" s="495"/>
      <c r="H14" s="495"/>
      <c r="I14" s="495"/>
      <c r="J14" s="512"/>
      <c r="K14" s="127"/>
      <c r="L14" s="127" t="s">
        <v>293</v>
      </c>
      <c r="M14" s="127" t="s">
        <v>741</v>
      </c>
      <c r="N14" s="127" t="s">
        <v>735</v>
      </c>
      <c r="O14" s="127" t="s">
        <v>764</v>
      </c>
      <c r="P14" s="127"/>
      <c r="Q14" s="127"/>
      <c r="R14" s="126" t="s">
        <v>806</v>
      </c>
      <c r="S14" s="127"/>
      <c r="T14" s="127"/>
      <c r="U14" s="127"/>
      <c r="V14" s="127"/>
      <c r="W14" s="127"/>
      <c r="X14" s="127"/>
      <c r="Y14" s="127"/>
      <c r="Z14" s="127"/>
      <c r="AA14" s="127"/>
    </row>
    <row r="15" spans="2:27">
      <c r="B15" s="77"/>
      <c r="C15" s="152" t="str">
        <f t="shared" si="1"/>
        <v>RWDEM</v>
      </c>
      <c r="D15" s="546" t="str">
        <f t="shared" si="0"/>
        <v>Residential Water Hot     Demand</v>
      </c>
      <c r="E15" s="133" t="s">
        <v>44</v>
      </c>
      <c r="F15" s="78"/>
      <c r="G15" s="77"/>
      <c r="H15" s="77"/>
      <c r="I15" s="77"/>
      <c r="J15" s="513"/>
      <c r="K15" s="127"/>
      <c r="L15" s="127" t="s">
        <v>808</v>
      </c>
      <c r="M15" s="127"/>
      <c r="N15" s="127"/>
      <c r="P15" s="127"/>
      <c r="Q15" s="127" t="s">
        <v>17</v>
      </c>
      <c r="R15" s="126" t="s">
        <v>806</v>
      </c>
      <c r="S15" s="127"/>
      <c r="T15" s="127"/>
      <c r="U15" s="127"/>
      <c r="V15" s="127"/>
      <c r="W15" s="127"/>
      <c r="X15" s="127"/>
      <c r="Y15" s="127"/>
      <c r="Z15" s="127"/>
      <c r="AA15" s="127"/>
    </row>
    <row r="16" spans="2:27">
      <c r="B16" s="77"/>
      <c r="C16" s="152" t="str">
        <f t="shared" si="1"/>
        <v>RADEM</v>
      </c>
      <c r="D16" s="546" t="str">
        <f t="shared" si="0"/>
        <v>Residential Appliances     Demand</v>
      </c>
      <c r="E16" s="133" t="s">
        <v>44</v>
      </c>
      <c r="F16" s="78"/>
      <c r="G16" s="77"/>
      <c r="H16" s="77"/>
      <c r="I16" s="77"/>
      <c r="J16" s="513"/>
      <c r="K16" s="127"/>
      <c r="L16" s="127" t="s">
        <v>292</v>
      </c>
      <c r="M16" s="127"/>
      <c r="N16" s="127"/>
      <c r="P16" s="127"/>
      <c r="Q16" s="127" t="s">
        <v>17</v>
      </c>
      <c r="R16" s="126" t="s">
        <v>806</v>
      </c>
      <c r="S16" s="127"/>
      <c r="T16" s="127"/>
      <c r="U16" s="127"/>
      <c r="V16" s="127"/>
      <c r="W16" s="127"/>
      <c r="X16" s="127"/>
      <c r="Y16" s="127"/>
      <c r="Z16" s="127"/>
      <c r="AA16" s="127"/>
    </row>
    <row r="17" spans="2:27">
      <c r="B17" s="495"/>
      <c r="C17" s="496" t="str">
        <f t="shared" si="1"/>
        <v>RFDEM</v>
      </c>
      <c r="D17" s="497" t="str">
        <f t="shared" si="0"/>
        <v>Residential Food (cooking)     Demand</v>
      </c>
      <c r="E17" s="490" t="s">
        <v>44</v>
      </c>
      <c r="F17" s="489"/>
      <c r="G17" s="495"/>
      <c r="H17" s="495"/>
      <c r="I17" s="495"/>
      <c r="J17" s="512"/>
      <c r="K17" s="127"/>
      <c r="L17" s="127" t="s">
        <v>809</v>
      </c>
      <c r="M17" s="127"/>
      <c r="N17" s="127"/>
      <c r="P17" s="127"/>
      <c r="Q17" s="127" t="s">
        <v>17</v>
      </c>
      <c r="R17" s="126" t="s">
        <v>806</v>
      </c>
      <c r="S17" s="127"/>
      <c r="T17" s="127"/>
      <c r="U17" s="127"/>
      <c r="V17" s="127"/>
      <c r="W17" s="127"/>
      <c r="X17" s="127"/>
      <c r="Y17" s="127"/>
      <c r="Z17" s="127"/>
      <c r="AA17" s="127"/>
    </row>
    <row r="18" spans="2:27" ht="15" customHeight="1">
      <c r="B18" s="76" t="s">
        <v>47</v>
      </c>
      <c r="C18" s="152" t="str">
        <f>$C$2&amp;LEFT(L18,1)&amp;LEFT(N18,1)&amp;LEFT(M18,1)&amp;LEFT(O18,1)&amp;LEFT(P18,1)&amp;Q18</f>
        <v>RESNGA</v>
      </c>
      <c r="D18" s="78" t="str">
        <f t="shared" ref="D18:D81" si="2">$D$2&amp;" "&amp;L18&amp;" "&amp;N18&amp;" "&amp;M18&amp;" "&amp;O18&amp;" "&amp;P18&amp;" "&amp;R18</f>
        <v>Residential      Natural Gas</v>
      </c>
      <c r="E18" s="68" t="s">
        <v>44</v>
      </c>
      <c r="F18" s="77"/>
      <c r="G18" s="77"/>
      <c r="H18" s="77"/>
      <c r="I18" s="77"/>
      <c r="J18" s="514"/>
      <c r="K18" s="3"/>
      <c r="M18" s="3"/>
      <c r="N18" s="3"/>
      <c r="O18" s="3"/>
      <c r="P18" s="3"/>
      <c r="Q18" s="127" t="s">
        <v>789</v>
      </c>
      <c r="R18" s="127" t="s">
        <v>810</v>
      </c>
      <c r="S18" s="3"/>
      <c r="T18" s="3"/>
      <c r="U18" s="3"/>
      <c r="V18" s="3"/>
      <c r="W18" s="3"/>
      <c r="X18" s="3"/>
      <c r="Y18" s="3"/>
      <c r="Z18" s="3"/>
      <c r="AA18" s="3"/>
    </row>
    <row r="19" spans="2:27" ht="15" customHeight="1">
      <c r="B19" s="605"/>
      <c r="C19" s="606" t="str">
        <f>$C$2&amp;LEFT(L19,1)&amp;LEFT(N19,1)&amp;LEFT(M19,1)&amp;LEFT(O19,1)&amp;LEFT(P19,1)&amp;Q19</f>
        <v>RESBGA</v>
      </c>
      <c r="D19" s="607" t="str">
        <f>$D$2&amp;" "&amp;L19&amp;" "&amp;N19&amp;" "&amp;M19&amp;" "&amp;O19&amp;" "&amp;P19&amp;" "&amp;R19</f>
        <v>Residential      Biogas</v>
      </c>
      <c r="E19" s="605" t="s">
        <v>44</v>
      </c>
      <c r="F19" s="607"/>
      <c r="G19" s="607"/>
      <c r="H19" s="607"/>
      <c r="I19" s="607"/>
      <c r="J19" s="608"/>
      <c r="K19" s="3"/>
      <c r="M19" s="3"/>
      <c r="N19" s="3"/>
      <c r="O19" s="3"/>
      <c r="P19" s="3"/>
      <c r="Q19" s="127" t="s">
        <v>891</v>
      </c>
      <c r="R19" s="127" t="s">
        <v>892</v>
      </c>
      <c r="S19" s="3"/>
      <c r="T19" s="3"/>
      <c r="U19" s="3"/>
      <c r="V19" s="3"/>
      <c r="W19" s="3"/>
      <c r="X19" s="3"/>
      <c r="Y19" s="3"/>
      <c r="Z19" s="3"/>
      <c r="AA19" s="3"/>
    </row>
    <row r="20" spans="2:27" ht="15" customHeight="1">
      <c r="B20" s="76"/>
      <c r="C20" s="152" t="str">
        <f t="shared" ref="C20:C37" si="3">$C$2&amp;LEFT(L20,1)&amp;LEFT(N20,1)&amp;LEFT(M20,1)&amp;LEFT(O20,1)&amp;LEFT(P20,1)&amp;Q20</f>
        <v>RESLPG</v>
      </c>
      <c r="D20" s="133" t="str">
        <f t="shared" si="2"/>
        <v>Residential      LPG</v>
      </c>
      <c r="E20" s="133" t="s">
        <v>44</v>
      </c>
      <c r="F20" s="77"/>
      <c r="G20" s="77"/>
      <c r="H20" s="77"/>
      <c r="I20" s="77"/>
      <c r="J20" s="514"/>
      <c r="K20" s="3"/>
      <c r="M20" s="3"/>
      <c r="N20" s="3"/>
      <c r="O20" s="3"/>
      <c r="P20" s="3"/>
      <c r="Q20" s="127" t="s">
        <v>790</v>
      </c>
      <c r="R20" s="127" t="s">
        <v>790</v>
      </c>
      <c r="S20" s="3"/>
      <c r="T20" s="3"/>
      <c r="U20" s="3"/>
      <c r="V20" s="3"/>
      <c r="W20" s="3"/>
      <c r="X20" s="3"/>
      <c r="Y20" s="3"/>
      <c r="Z20" s="3"/>
      <c r="AA20" s="3"/>
    </row>
    <row r="21" spans="2:27" ht="15" customHeight="1">
      <c r="B21" s="77"/>
      <c r="C21" s="152" t="str">
        <f t="shared" si="3"/>
        <v>RESDSL</v>
      </c>
      <c r="D21" s="133" t="str">
        <f t="shared" si="2"/>
        <v>Residential      Diesel</v>
      </c>
      <c r="E21" s="68" t="s">
        <v>44</v>
      </c>
      <c r="F21" s="77"/>
      <c r="G21" s="77"/>
      <c r="H21" s="77"/>
      <c r="I21" s="77"/>
      <c r="J21" s="514"/>
      <c r="K21" s="3"/>
      <c r="M21" s="3"/>
      <c r="N21" s="3"/>
      <c r="O21" s="3"/>
      <c r="P21" s="3"/>
      <c r="Q21" s="127" t="s">
        <v>791</v>
      </c>
      <c r="R21" s="127" t="s">
        <v>125</v>
      </c>
      <c r="S21" s="3"/>
      <c r="T21" s="3"/>
      <c r="U21" s="3"/>
      <c r="V21" s="3"/>
      <c r="W21" s="3"/>
      <c r="X21" s="3"/>
      <c r="Y21" s="3"/>
      <c r="Z21" s="3"/>
      <c r="AA21" s="3"/>
    </row>
    <row r="22" spans="2:27" ht="15" customHeight="1">
      <c r="B22" s="77"/>
      <c r="C22" s="152" t="str">
        <f t="shared" si="3"/>
        <v>RESGSL</v>
      </c>
      <c r="D22" s="133" t="str">
        <f t="shared" si="2"/>
        <v>Residential      Gasoline</v>
      </c>
      <c r="E22" s="68" t="s">
        <v>44</v>
      </c>
      <c r="F22" s="77"/>
      <c r="G22" s="77"/>
      <c r="H22" s="77"/>
      <c r="I22" s="77"/>
      <c r="J22" s="514"/>
      <c r="K22" s="3"/>
      <c r="M22" s="3"/>
      <c r="N22" s="3"/>
      <c r="O22" s="3"/>
      <c r="P22" s="3"/>
      <c r="Q22" s="127" t="s">
        <v>792</v>
      </c>
      <c r="R22" s="127" t="s">
        <v>811</v>
      </c>
      <c r="S22" s="3"/>
      <c r="T22" s="3"/>
      <c r="U22" s="3"/>
      <c r="V22" s="3"/>
      <c r="W22" s="3"/>
      <c r="X22" s="3"/>
      <c r="Y22" s="3"/>
      <c r="Z22" s="3"/>
      <c r="AA22" s="3"/>
    </row>
    <row r="23" spans="2:27" ht="15" customHeight="1">
      <c r="B23" s="77"/>
      <c r="C23" s="152" t="str">
        <f t="shared" si="3"/>
        <v>RESWPE</v>
      </c>
      <c r="D23" s="68" t="str">
        <f t="shared" si="2"/>
        <v>Residential      Wood pellets</v>
      </c>
      <c r="E23" s="68" t="s">
        <v>44</v>
      </c>
      <c r="F23" s="77"/>
      <c r="G23" s="77"/>
      <c r="H23" s="77"/>
      <c r="I23" s="77"/>
      <c r="J23" s="514"/>
      <c r="K23" s="3"/>
      <c r="M23" s="3"/>
      <c r="N23" s="3"/>
      <c r="O23" s="3"/>
      <c r="P23" s="3"/>
      <c r="Q23" s="127" t="s">
        <v>793</v>
      </c>
      <c r="R23" s="127" t="s">
        <v>812</v>
      </c>
      <c r="S23" s="3"/>
      <c r="T23" s="3"/>
      <c r="U23" s="3"/>
      <c r="V23" s="3"/>
      <c r="W23" s="3"/>
      <c r="X23" s="3"/>
      <c r="Y23" s="3"/>
      <c r="Z23" s="3"/>
      <c r="AA23" s="3"/>
    </row>
    <row r="24" spans="2:27" ht="15" customHeight="1">
      <c r="B24" s="77"/>
      <c r="C24" s="152" t="str">
        <f t="shared" si="3"/>
        <v>RESFIW</v>
      </c>
      <c r="D24" s="133" t="str">
        <f t="shared" si="2"/>
        <v>Residential      Fire wood</v>
      </c>
      <c r="E24" s="68" t="s">
        <v>44</v>
      </c>
      <c r="F24" s="77"/>
      <c r="G24" s="77"/>
      <c r="H24" s="77"/>
      <c r="I24" s="77"/>
      <c r="J24" s="513"/>
      <c r="K24" s="127"/>
      <c r="M24" s="127"/>
      <c r="N24" s="127"/>
      <c r="O24" s="127"/>
      <c r="P24" s="127"/>
      <c r="Q24" s="127" t="s">
        <v>794</v>
      </c>
      <c r="R24" s="127" t="s">
        <v>813</v>
      </c>
      <c r="S24" s="127"/>
      <c r="T24" s="127"/>
      <c r="U24" s="127"/>
      <c r="V24" s="127"/>
      <c r="W24" s="127"/>
      <c r="X24" s="127"/>
      <c r="Y24" s="127"/>
      <c r="Z24" s="127"/>
      <c r="AA24" s="127"/>
    </row>
    <row r="25" spans="2:27" ht="15" customHeight="1">
      <c r="B25" s="77"/>
      <c r="C25" s="152" t="str">
        <f t="shared" si="3"/>
        <v>RESCOA</v>
      </c>
      <c r="D25" s="78" t="str">
        <f t="shared" si="2"/>
        <v>Residential      Coal</v>
      </c>
      <c r="E25" s="68" t="s">
        <v>44</v>
      </c>
      <c r="F25" s="77"/>
      <c r="G25" s="77"/>
      <c r="H25" s="77"/>
      <c r="I25" s="77"/>
      <c r="J25" s="514"/>
      <c r="K25" s="3"/>
      <c r="M25" s="3"/>
      <c r="N25" s="3"/>
      <c r="O25" s="3"/>
      <c r="P25" s="3"/>
      <c r="Q25" s="127" t="s">
        <v>894</v>
      </c>
      <c r="R25" s="127" t="s">
        <v>895</v>
      </c>
      <c r="S25" s="3"/>
      <c r="T25" s="3"/>
      <c r="U25" s="3"/>
      <c r="V25" s="3"/>
      <c r="W25" s="3"/>
      <c r="X25" s="3"/>
      <c r="Y25" s="3"/>
      <c r="Z25" s="3"/>
      <c r="AA25" s="3"/>
    </row>
    <row r="26" spans="2:27" ht="15" customHeight="1">
      <c r="B26" s="77"/>
      <c r="C26" s="152" t="str">
        <f t="shared" si="3"/>
        <v>RESH2</v>
      </c>
      <c r="D26" s="78" t="str">
        <f t="shared" si="2"/>
        <v>Residential      Hydrogen</v>
      </c>
      <c r="E26" s="135" t="s">
        <v>44</v>
      </c>
      <c r="F26" s="77"/>
      <c r="G26" s="77"/>
      <c r="H26" s="77"/>
      <c r="I26" s="77"/>
      <c r="J26" s="515"/>
      <c r="K26" s="1"/>
      <c r="M26" s="1"/>
      <c r="N26" s="1"/>
      <c r="O26" s="1"/>
      <c r="P26" s="1"/>
      <c r="Q26" s="127" t="s">
        <v>186</v>
      </c>
      <c r="R26" s="127" t="s">
        <v>814</v>
      </c>
      <c r="S26" s="1"/>
      <c r="T26" s="1"/>
      <c r="U26" s="1"/>
      <c r="V26" s="1"/>
      <c r="W26" s="1"/>
      <c r="X26" s="1"/>
      <c r="Y26" s="1"/>
      <c r="Z26" s="1"/>
      <c r="AA26" s="1"/>
    </row>
    <row r="27" spans="2:27" ht="15" customHeight="1">
      <c r="B27" s="77"/>
      <c r="C27" s="152" t="str">
        <f t="shared" si="3"/>
        <v>RESSOL</v>
      </c>
      <c r="D27" s="78" t="str">
        <f t="shared" si="2"/>
        <v>Residential      Solar</v>
      </c>
      <c r="E27" s="68" t="s">
        <v>44</v>
      </c>
      <c r="F27" s="77"/>
      <c r="G27" s="77"/>
      <c r="H27" s="77"/>
      <c r="I27" s="77"/>
      <c r="J27" s="514"/>
      <c r="K27" s="3"/>
      <c r="M27" s="3"/>
      <c r="N27" s="3"/>
      <c r="O27" s="3"/>
      <c r="P27" s="3"/>
      <c r="Q27" s="127" t="s">
        <v>795</v>
      </c>
      <c r="R27" s="127" t="s">
        <v>815</v>
      </c>
      <c r="S27" s="3"/>
      <c r="T27" s="3"/>
      <c r="U27" s="3"/>
      <c r="V27" s="3"/>
      <c r="W27" s="3"/>
      <c r="X27" s="3"/>
      <c r="Y27" s="3"/>
      <c r="Z27" s="3"/>
      <c r="AA27" s="3"/>
    </row>
    <row r="28" spans="2:27" ht="15" customHeight="1">
      <c r="B28" s="77"/>
      <c r="C28" s="152" t="str">
        <f t="shared" si="3"/>
        <v>RESELCH</v>
      </c>
      <c r="D28" s="135" t="str">
        <f t="shared" si="2"/>
        <v>Residential      Electricity Heating</v>
      </c>
      <c r="E28" s="68" t="s">
        <v>44</v>
      </c>
      <c r="F28" s="77"/>
      <c r="G28" s="77" t="s">
        <v>112</v>
      </c>
      <c r="H28" s="77"/>
      <c r="I28" s="77" t="s">
        <v>113</v>
      </c>
      <c r="J28" s="514"/>
      <c r="K28" s="3"/>
      <c r="M28" s="3"/>
      <c r="N28" s="3"/>
      <c r="O28" s="3"/>
      <c r="P28" s="3"/>
      <c r="Q28" s="127" t="s">
        <v>796</v>
      </c>
      <c r="R28" s="127" t="s">
        <v>816</v>
      </c>
      <c r="S28" s="3"/>
      <c r="T28" s="3"/>
      <c r="U28" s="3"/>
      <c r="V28" s="3"/>
      <c r="W28" s="3"/>
      <c r="X28" s="3"/>
      <c r="Y28" s="3"/>
      <c r="Z28" s="3"/>
      <c r="AA28" s="3"/>
    </row>
    <row r="29" spans="2:27" ht="15" customHeight="1">
      <c r="B29" s="77"/>
      <c r="C29" s="152" t="str">
        <f t="shared" si="3"/>
        <v>RESELCC</v>
      </c>
      <c r="D29" s="135" t="str">
        <f t="shared" si="2"/>
        <v>Residential      Electricity Cooling</v>
      </c>
      <c r="E29" s="68" t="s">
        <v>44</v>
      </c>
      <c r="F29" s="77"/>
      <c r="G29" s="77" t="s">
        <v>112</v>
      </c>
      <c r="H29" s="77"/>
      <c r="I29" s="77" t="s">
        <v>113</v>
      </c>
      <c r="J29" s="514"/>
      <c r="K29" s="3"/>
      <c r="M29" s="3"/>
      <c r="N29" s="3"/>
      <c r="O29" s="3"/>
      <c r="P29" s="3"/>
      <c r="Q29" s="127" t="s">
        <v>109</v>
      </c>
      <c r="R29" s="127" t="s">
        <v>817</v>
      </c>
      <c r="S29" s="3"/>
      <c r="T29" s="3"/>
      <c r="U29" s="3"/>
      <c r="V29" s="3"/>
      <c r="W29" s="3"/>
      <c r="X29" s="3"/>
      <c r="Y29" s="3"/>
      <c r="Z29" s="3"/>
      <c r="AA29" s="3"/>
    </row>
    <row r="30" spans="2:27" ht="15" customHeight="1">
      <c r="B30" s="77"/>
      <c r="C30" s="152" t="str">
        <f>$C$2&amp;LEFT(L30,1)&amp;LEFT(N30,1)&amp;LEFT(M30,1)&amp;LEFT(O30,1)&amp;LEFT(P30,1)&amp;Q30</f>
        <v>RESELCA</v>
      </c>
      <c r="D30" s="135" t="str">
        <f>$D$2&amp;" "&amp;L30&amp;" "&amp;N30&amp;" "&amp;M30&amp;" "&amp;O30&amp;" "&amp;P30&amp;" "&amp;R30</f>
        <v>Residential      Electricity Appliances</v>
      </c>
      <c r="E30" s="68" t="s">
        <v>44</v>
      </c>
      <c r="F30" s="77"/>
      <c r="G30" s="77" t="s">
        <v>112</v>
      </c>
      <c r="H30" s="77"/>
      <c r="I30" s="77" t="s">
        <v>113</v>
      </c>
      <c r="J30" s="514"/>
      <c r="K30" s="3"/>
      <c r="M30" s="3"/>
      <c r="N30" s="3"/>
      <c r="O30" s="3"/>
      <c r="P30" s="3"/>
      <c r="Q30" s="127" t="s">
        <v>797</v>
      </c>
      <c r="R30" s="127" t="s">
        <v>818</v>
      </c>
      <c r="S30" s="3"/>
      <c r="T30" s="3"/>
      <c r="U30" s="3"/>
      <c r="V30" s="3"/>
      <c r="W30" s="3"/>
      <c r="X30" s="3"/>
      <c r="Y30" s="3"/>
      <c r="Z30" s="3"/>
      <c r="AA30" s="3"/>
    </row>
    <row r="31" spans="2:27" ht="15" customHeight="1">
      <c r="B31" s="77"/>
      <c r="C31" s="152" t="str">
        <f>$C$2&amp;LEFT(L31,1)&amp;LEFT(N31,1)&amp;LEFT(M31,1)&amp;LEFT(O31,1)&amp;LEFT(P31,1)&amp;Q31</f>
        <v>RESELCO</v>
      </c>
      <c r="D31" s="135" t="str">
        <f>$D$2&amp;" "&amp;L31&amp;" "&amp;N31&amp;" "&amp;M31&amp;" "&amp;O31&amp;" "&amp;P31&amp;" "&amp;R31</f>
        <v>Residential      Electricity Cooking</v>
      </c>
      <c r="E31" s="68" t="s">
        <v>44</v>
      </c>
      <c r="F31" s="77"/>
      <c r="G31" s="77" t="s">
        <v>112</v>
      </c>
      <c r="H31" s="77"/>
      <c r="I31" s="77" t="s">
        <v>113</v>
      </c>
      <c r="J31" s="514"/>
      <c r="K31" s="3"/>
      <c r="M31" s="3"/>
      <c r="N31" s="3"/>
      <c r="O31" s="3"/>
      <c r="P31" s="3"/>
      <c r="Q31" s="127" t="s">
        <v>897</v>
      </c>
      <c r="R31" s="127" t="s">
        <v>898</v>
      </c>
      <c r="S31" s="3"/>
      <c r="T31" s="3"/>
      <c r="U31" s="3"/>
      <c r="V31" s="3"/>
      <c r="W31" s="3"/>
      <c r="X31" s="3"/>
      <c r="Y31" s="3"/>
      <c r="Z31" s="3"/>
      <c r="AA31" s="3"/>
    </row>
    <row r="32" spans="2:27" ht="15" customHeight="1">
      <c r="B32" s="77"/>
      <c r="C32" s="152" t="str">
        <f>$C$2&amp;LEFT(L32,1)&amp;LEFT(N32,1)&amp;LEFT(M32,1)&amp;LEFT(O32,1)&amp;LEFT(P32,1)&amp;Q32</f>
        <v>RESELCW</v>
      </c>
      <c r="D32" s="135" t="str">
        <f>$D$2&amp;" "&amp;L32&amp;" "&amp;N32&amp;" "&amp;M32&amp;" "&amp;O32&amp;" "&amp;P32&amp;" "&amp;R32</f>
        <v>Residential      Electricity Water Heating</v>
      </c>
      <c r="E32" s="68" t="s">
        <v>44</v>
      </c>
      <c r="F32" s="77"/>
      <c r="G32" s="77" t="s">
        <v>112</v>
      </c>
      <c r="H32" s="77"/>
      <c r="I32" s="77" t="s">
        <v>113</v>
      </c>
      <c r="J32" s="514"/>
      <c r="K32" s="3"/>
      <c r="M32" s="3"/>
      <c r="N32" s="3"/>
      <c r="O32" s="3"/>
      <c r="P32" s="3"/>
      <c r="Q32" s="127" t="s">
        <v>902</v>
      </c>
      <c r="R32" s="127" t="s">
        <v>901</v>
      </c>
      <c r="S32" s="3"/>
      <c r="T32" s="3"/>
      <c r="U32" s="3"/>
      <c r="V32" s="3"/>
      <c r="W32" s="3"/>
      <c r="X32" s="3"/>
      <c r="Y32" s="3"/>
      <c r="Z32" s="3"/>
      <c r="AA32" s="3"/>
    </row>
    <row r="33" spans="1:30" ht="15" customHeight="1">
      <c r="B33" s="77"/>
      <c r="C33" s="152" t="str">
        <f t="shared" si="3"/>
        <v>RESHCE</v>
      </c>
      <c r="D33" s="76" t="str">
        <f t="shared" si="2"/>
        <v>Residential      District heating Central</v>
      </c>
      <c r="E33" s="68" t="s">
        <v>44</v>
      </c>
      <c r="F33" s="77"/>
      <c r="G33" s="135" t="s">
        <v>112</v>
      </c>
      <c r="H33" s="77"/>
      <c r="I33" s="77"/>
      <c r="J33" s="513"/>
      <c r="K33" s="127"/>
      <c r="M33" s="127"/>
      <c r="N33" s="127"/>
      <c r="O33" s="127"/>
      <c r="P33" s="127"/>
      <c r="Q33" s="127" t="s">
        <v>798</v>
      </c>
      <c r="R33" s="127" t="s">
        <v>819</v>
      </c>
      <c r="S33" s="127"/>
      <c r="T33" s="127"/>
      <c r="U33" s="127"/>
      <c r="V33" s="127"/>
      <c r="W33" s="127"/>
      <c r="X33" s="127"/>
      <c r="Y33" s="127"/>
      <c r="Z33" s="127"/>
      <c r="AA33" s="127"/>
    </row>
    <row r="34" spans="1:30" ht="15" customHeight="1">
      <c r="B34" s="77"/>
      <c r="C34" s="152" t="str">
        <f>$C$2&amp;LEFT(L34,1)&amp;LEFT(N34,1)&amp;LEFT(M34,1)&amp;LEFT(O34,1)&amp;LEFT(P34,1)&amp;Q34</f>
        <v>RESHSE</v>
      </c>
      <c r="D34" s="76" t="str">
        <f t="shared" ref="D34" si="4">$D$2&amp;" "&amp;L34&amp;" "&amp;N34&amp;" "&amp;M34&amp;" "&amp;O34&amp;" "&amp;P34&amp;" "&amp;R34</f>
        <v>Residential      District heating SubUrban</v>
      </c>
      <c r="E34" s="68" t="s">
        <v>44</v>
      </c>
      <c r="F34" s="77"/>
      <c r="G34" s="135" t="s">
        <v>112</v>
      </c>
      <c r="H34" s="77"/>
      <c r="I34" s="77"/>
      <c r="J34" s="513"/>
      <c r="K34" s="127"/>
      <c r="M34" s="127"/>
      <c r="N34" s="127"/>
      <c r="O34" s="127"/>
      <c r="P34" s="127"/>
      <c r="Q34" s="127" t="s">
        <v>842</v>
      </c>
      <c r="R34" s="127" t="s">
        <v>843</v>
      </c>
      <c r="S34" s="127"/>
      <c r="T34" s="127"/>
      <c r="U34" s="127"/>
      <c r="V34" s="127"/>
      <c r="W34" s="127"/>
      <c r="X34" s="127"/>
      <c r="Y34" s="127"/>
      <c r="Z34" s="127"/>
      <c r="AA34" s="127"/>
    </row>
    <row r="35" spans="1:30" ht="15" customHeight="1">
      <c r="B35" s="77"/>
      <c r="C35" s="152" t="str">
        <f t="shared" si="3"/>
        <v>RESHDE</v>
      </c>
      <c r="D35" s="76" t="str">
        <f t="shared" si="2"/>
        <v>Residential      District heating Decentral</v>
      </c>
      <c r="E35" s="68" t="s">
        <v>44</v>
      </c>
      <c r="F35" s="78"/>
      <c r="G35" s="135" t="s">
        <v>112</v>
      </c>
      <c r="H35" s="77"/>
      <c r="I35" s="77"/>
      <c r="J35" s="513"/>
      <c r="K35" s="127"/>
      <c r="M35" s="127"/>
      <c r="N35" s="127"/>
      <c r="O35" s="127"/>
      <c r="P35" s="127"/>
      <c r="Q35" s="127" t="s">
        <v>799</v>
      </c>
      <c r="R35" s="127" t="s">
        <v>820</v>
      </c>
      <c r="S35" s="127"/>
      <c r="T35" s="127"/>
      <c r="U35" s="127"/>
      <c r="V35" s="127"/>
      <c r="W35" s="127"/>
      <c r="X35" s="127"/>
      <c r="Y35" s="127"/>
      <c r="Z35" s="127"/>
      <c r="AA35" s="127"/>
    </row>
    <row r="36" spans="1:30" ht="15" customHeight="1">
      <c r="B36" s="77"/>
      <c r="C36" s="152" t="str">
        <f t="shared" si="3"/>
        <v>RESSNG</v>
      </c>
      <c r="D36" s="76" t="str">
        <f t="shared" si="2"/>
        <v>Residential      Synthetic Natural Gas</v>
      </c>
      <c r="E36" s="68" t="s">
        <v>44</v>
      </c>
      <c r="F36" s="78"/>
      <c r="G36" s="77"/>
      <c r="H36" s="77"/>
      <c r="I36" s="77"/>
      <c r="J36" s="513"/>
      <c r="K36" s="127"/>
      <c r="M36" s="127"/>
      <c r="N36" s="127"/>
      <c r="O36" s="127"/>
      <c r="P36" s="127"/>
      <c r="Q36" s="127" t="s">
        <v>800</v>
      </c>
      <c r="R36" s="127" t="s">
        <v>821</v>
      </c>
      <c r="S36" s="127"/>
      <c r="T36" s="127"/>
      <c r="U36" s="127"/>
      <c r="V36" s="127"/>
      <c r="W36" s="127"/>
      <c r="X36" s="127"/>
      <c r="Y36" s="127"/>
      <c r="Z36" s="127"/>
      <c r="AA36" s="127"/>
      <c r="AD36" t="s">
        <v>139</v>
      </c>
    </row>
    <row r="37" spans="1:30" ht="15" customHeight="1">
      <c r="B37" s="77"/>
      <c r="C37" s="152" t="str">
        <f t="shared" si="3"/>
        <v>RESDSB</v>
      </c>
      <c r="D37" s="76" t="str">
        <f t="shared" si="2"/>
        <v>Residential      Renewable Diesel</v>
      </c>
      <c r="E37" s="68" t="s">
        <v>44</v>
      </c>
      <c r="F37" s="78"/>
      <c r="G37" s="77"/>
      <c r="H37" s="77"/>
      <c r="I37" s="77"/>
      <c r="J37" s="513"/>
      <c r="K37" s="127"/>
      <c r="M37" s="127"/>
      <c r="N37" s="127"/>
      <c r="O37" s="127"/>
      <c r="P37" s="127"/>
      <c r="Q37" s="127" t="s">
        <v>801</v>
      </c>
      <c r="R37" s="127" t="s">
        <v>822</v>
      </c>
      <c r="S37" s="127"/>
      <c r="T37" s="127"/>
      <c r="U37" s="127"/>
      <c r="V37" s="127"/>
      <c r="W37" s="127"/>
      <c r="X37" s="127"/>
      <c r="Y37" s="127"/>
      <c r="Z37" s="127"/>
      <c r="AA37" s="127"/>
      <c r="AD37" t="s">
        <v>140</v>
      </c>
    </row>
    <row r="38" spans="1:30" ht="15" customHeight="1">
      <c r="B38" s="77"/>
      <c r="C38" s="152" t="str">
        <f t="shared" ref="C38:C58" si="5">$C$2&amp;LEFT(L38,1)&amp;LEFT(N38,1)&amp;LEFT(M38,1)&amp;LEFT(O38,1)&amp;LEFT(P38,1)&amp;Q38</f>
        <v>RESHUDX</v>
      </c>
      <c r="D38" s="76" t="str">
        <f t="shared" si="2"/>
        <v xml:space="preserve">Residential Heating Urban Detached Xhanger DH  </v>
      </c>
      <c r="E38" s="68" t="s">
        <v>44</v>
      </c>
      <c r="F38" s="77"/>
      <c r="G38" s="74" t="s">
        <v>112</v>
      </c>
      <c r="H38" s="77"/>
      <c r="I38" s="77"/>
      <c r="J38" s="514"/>
      <c r="K38" s="3"/>
      <c r="L38" s="127" t="s">
        <v>759</v>
      </c>
      <c r="M38" s="127" t="s">
        <v>116</v>
      </c>
      <c r="N38" s="127" t="s">
        <v>734</v>
      </c>
      <c r="O38" s="127" t="s">
        <v>803</v>
      </c>
      <c r="P38" s="3"/>
      <c r="Q38" s="3"/>
      <c r="R38" s="3"/>
      <c r="S38" s="3"/>
      <c r="T38" s="3"/>
      <c r="U38" s="3"/>
      <c r="V38" s="3"/>
      <c r="W38" s="3"/>
      <c r="X38" s="3"/>
      <c r="Y38" s="3"/>
      <c r="Z38" s="3"/>
      <c r="AA38" s="3"/>
      <c r="AC38" s="11"/>
      <c r="AD38" t="s">
        <v>141</v>
      </c>
    </row>
    <row r="39" spans="1:30" ht="15" customHeight="1">
      <c r="B39" s="77"/>
      <c r="C39" s="152" t="str">
        <f t="shared" si="5"/>
        <v>RESHRDX</v>
      </c>
      <c r="D39" s="76" t="str">
        <f t="shared" si="2"/>
        <v xml:space="preserve">Residential Heating Rural Detached Xhanger DH  </v>
      </c>
      <c r="E39" s="68" t="s">
        <v>44</v>
      </c>
      <c r="F39" s="77"/>
      <c r="G39" s="74" t="s">
        <v>112</v>
      </c>
      <c r="H39" s="77"/>
      <c r="I39" s="77"/>
      <c r="J39" s="513"/>
      <c r="K39" s="127"/>
      <c r="L39" s="127" t="s">
        <v>759</v>
      </c>
      <c r="M39" s="127" t="s">
        <v>116</v>
      </c>
      <c r="N39" s="127" t="s">
        <v>735</v>
      </c>
      <c r="O39" s="127" t="s">
        <v>803</v>
      </c>
      <c r="P39" s="127"/>
      <c r="Q39" s="127"/>
      <c r="R39" s="127"/>
      <c r="S39" s="127"/>
      <c r="T39" s="127"/>
      <c r="U39" s="127"/>
      <c r="V39" s="127"/>
      <c r="W39" s="127"/>
      <c r="X39" s="127"/>
      <c r="Y39" s="127"/>
      <c r="Z39" s="127"/>
      <c r="AA39" s="127"/>
    </row>
    <row r="40" spans="1:30" ht="15" customHeight="1">
      <c r="B40" s="77"/>
      <c r="C40" s="152" t="str">
        <f t="shared" si="5"/>
        <v>RESHUMX</v>
      </c>
      <c r="D40" s="76" t="str">
        <f t="shared" si="2"/>
        <v xml:space="preserve">Residential Heating Urban Multi Xhanger DH  </v>
      </c>
      <c r="E40" s="68" t="s">
        <v>44</v>
      </c>
      <c r="F40" s="78"/>
      <c r="G40" s="74" t="s">
        <v>112</v>
      </c>
      <c r="H40" s="77"/>
      <c r="I40" s="77"/>
      <c r="J40" s="513"/>
      <c r="K40" s="127"/>
      <c r="L40" s="127" t="s">
        <v>759</v>
      </c>
      <c r="M40" s="127" t="s">
        <v>741</v>
      </c>
      <c r="N40" s="127" t="s">
        <v>734</v>
      </c>
      <c r="O40" s="127" t="s">
        <v>803</v>
      </c>
      <c r="P40" s="127"/>
      <c r="Q40" s="127"/>
      <c r="R40" s="127"/>
      <c r="S40" s="127"/>
      <c r="T40" s="127"/>
      <c r="U40" s="127"/>
      <c r="V40" s="127"/>
      <c r="W40" s="127"/>
      <c r="X40" s="127"/>
      <c r="Y40" s="127"/>
      <c r="Z40" s="127"/>
      <c r="AA40" s="127"/>
    </row>
    <row r="41" spans="1:30" ht="15" customHeight="1">
      <c r="B41" s="77"/>
      <c r="C41" s="152" t="str">
        <f t="shared" si="5"/>
        <v>RESHRMX</v>
      </c>
      <c r="D41" s="76" t="str">
        <f t="shared" si="2"/>
        <v xml:space="preserve">Residential Heating Rural Multi Xhanger DH  </v>
      </c>
      <c r="E41" s="68" t="s">
        <v>44</v>
      </c>
      <c r="F41" s="78"/>
      <c r="G41" s="74" t="s">
        <v>112</v>
      </c>
      <c r="H41" s="77"/>
      <c r="I41" s="77"/>
      <c r="J41" s="513"/>
      <c r="K41" s="127"/>
      <c r="L41" s="127" t="s">
        <v>759</v>
      </c>
      <c r="M41" s="127" t="s">
        <v>741</v>
      </c>
      <c r="N41" s="127" t="s">
        <v>735</v>
      </c>
      <c r="O41" s="127" t="s">
        <v>803</v>
      </c>
      <c r="P41" s="127"/>
      <c r="Q41" s="127"/>
      <c r="R41" s="127"/>
      <c r="S41" s="127"/>
      <c r="T41" s="127"/>
      <c r="U41" s="127"/>
      <c r="V41" s="127"/>
      <c r="W41" s="127"/>
      <c r="X41" s="127"/>
      <c r="Y41" s="127"/>
      <c r="Z41" s="127"/>
      <c r="AA41" s="127"/>
      <c r="AC41" s="27"/>
    </row>
    <row r="42" spans="1:30" s="1" customFormat="1" ht="15" customHeight="1">
      <c r="B42" s="77"/>
      <c r="C42" s="152" t="str">
        <f t="shared" si="5"/>
        <v>RESHUDB</v>
      </c>
      <c r="D42" s="76" t="str">
        <f t="shared" si="2"/>
        <v xml:space="preserve">Residential Heating Urban Detached Boilers  </v>
      </c>
      <c r="E42" s="68" t="s">
        <v>44</v>
      </c>
      <c r="F42" s="78"/>
      <c r="G42" s="74" t="s">
        <v>112</v>
      </c>
      <c r="H42" s="77"/>
      <c r="I42" s="77"/>
      <c r="J42" s="513"/>
      <c r="K42" s="127"/>
      <c r="L42" s="127" t="s">
        <v>759</v>
      </c>
      <c r="M42" s="127" t="s">
        <v>116</v>
      </c>
      <c r="N42" s="127" t="s">
        <v>734</v>
      </c>
      <c r="O42" s="127" t="s">
        <v>135</v>
      </c>
      <c r="P42" s="127"/>
      <c r="Q42" s="127"/>
      <c r="R42" s="127"/>
      <c r="S42" s="127"/>
      <c r="T42" s="127"/>
      <c r="U42" s="127"/>
      <c r="V42" s="127"/>
      <c r="W42" s="127"/>
      <c r="X42" s="127"/>
      <c r="Y42" s="127"/>
      <c r="Z42" s="127"/>
      <c r="AA42" s="127"/>
      <c r="AD42"/>
    </row>
    <row r="43" spans="1:30" s="1" customFormat="1" ht="15" customHeight="1">
      <c r="B43" s="77"/>
      <c r="C43" s="152" t="str">
        <f t="shared" si="5"/>
        <v>RESHRDB</v>
      </c>
      <c r="D43" s="76" t="str">
        <f>$D$2&amp;" "&amp;L43&amp;" "&amp;N43&amp;" "&amp;M43&amp;" "&amp;O43&amp;" "&amp;P43&amp;" "&amp;Buildings_DR!D9</f>
        <v>Residential Heating Rural Detached Boilers  RESHUDX,RESHUDB,RESHUDBE,RESHSAV,RESHUDSL</v>
      </c>
      <c r="E43" s="68" t="s">
        <v>44</v>
      </c>
      <c r="F43" s="78"/>
      <c r="G43" s="74" t="s">
        <v>112</v>
      </c>
      <c r="H43" s="77"/>
      <c r="I43" s="77"/>
      <c r="J43" s="513"/>
      <c r="K43" s="127"/>
      <c r="L43" s="127" t="s">
        <v>759</v>
      </c>
      <c r="M43" s="127" t="s">
        <v>116</v>
      </c>
      <c r="N43" s="127" t="s">
        <v>735</v>
      </c>
      <c r="O43" s="127" t="s">
        <v>135</v>
      </c>
      <c r="P43" s="127"/>
      <c r="Q43" s="127"/>
      <c r="S43" s="127"/>
      <c r="T43" s="127"/>
      <c r="V43" s="127"/>
      <c r="W43" s="127"/>
      <c r="X43" s="127"/>
      <c r="Y43" s="127"/>
      <c r="Z43" s="127"/>
      <c r="AA43" s="127"/>
      <c r="AD43"/>
    </row>
    <row r="44" spans="1:30" ht="15" customHeight="1">
      <c r="B44" s="77"/>
      <c r="C44" s="152" t="str">
        <f t="shared" si="5"/>
        <v>RESHUMB</v>
      </c>
      <c r="D44" s="135" t="str">
        <f>$D$2&amp;" "&amp;L44&amp;" "&amp;N44&amp;" "&amp;M44&amp;" "&amp;O44&amp;" "&amp;P44&amp;" "&amp;Buildings_DR!D10</f>
        <v>Residential Heating Urban Multi Boilers  RESHUDX,RESHUDB,RESHUDBE,RESHSAV,RESHUDSM</v>
      </c>
      <c r="E44" s="68" t="s">
        <v>44</v>
      </c>
      <c r="F44" s="77"/>
      <c r="G44" s="74" t="s">
        <v>112</v>
      </c>
      <c r="H44" s="77"/>
      <c r="I44" s="77"/>
      <c r="J44" s="513"/>
      <c r="K44" s="127"/>
      <c r="L44" s="127" t="s">
        <v>759</v>
      </c>
      <c r="M44" s="127" t="s">
        <v>741</v>
      </c>
      <c r="N44" s="127" t="s">
        <v>734</v>
      </c>
      <c r="O44" s="127" t="s">
        <v>135</v>
      </c>
      <c r="P44" s="127"/>
      <c r="Q44" s="127"/>
      <c r="S44" s="127"/>
      <c r="T44" s="127"/>
      <c r="V44" s="127"/>
      <c r="W44" s="127"/>
      <c r="X44" s="127"/>
      <c r="Y44" s="127"/>
      <c r="Z44" s="127"/>
      <c r="AA44" s="127"/>
    </row>
    <row r="45" spans="1:30" ht="15" customHeight="1">
      <c r="B45" s="77"/>
      <c r="C45" s="152" t="str">
        <f t="shared" si="5"/>
        <v>RESHRMB</v>
      </c>
      <c r="D45" s="135" t="str">
        <f>$D$2&amp;" "&amp;L45&amp;" "&amp;N45&amp;" "&amp;M45&amp;" "&amp;O45&amp;" "&amp;P45&amp;" "&amp;Buildings_DR!D11</f>
        <v>Residential Heating Rural Multi Boilers  RESHUDX,RESHUDB,RESHUDBE,RESHSAV,RESHUDSH</v>
      </c>
      <c r="E45" s="68" t="s">
        <v>44</v>
      </c>
      <c r="F45" s="77"/>
      <c r="G45" s="74" t="s">
        <v>112</v>
      </c>
      <c r="H45" s="77"/>
      <c r="I45" s="77"/>
      <c r="J45" s="513"/>
      <c r="K45" s="127"/>
      <c r="L45" s="127" t="s">
        <v>759</v>
      </c>
      <c r="M45" s="127" t="s">
        <v>741</v>
      </c>
      <c r="N45" s="127" t="s">
        <v>735</v>
      </c>
      <c r="O45" s="127" t="s">
        <v>135</v>
      </c>
      <c r="P45" s="127"/>
      <c r="Q45" s="127"/>
      <c r="S45" s="127"/>
      <c r="T45" s="127"/>
      <c r="V45" s="127"/>
      <c r="W45" s="127"/>
      <c r="X45" s="127"/>
      <c r="Y45" s="127"/>
      <c r="Z45" s="127"/>
      <c r="AA45" s="127"/>
    </row>
    <row r="46" spans="1:30" ht="15" customHeight="1">
      <c r="A46" s="106"/>
      <c r="B46" s="77"/>
      <c r="C46" s="152" t="str">
        <f t="shared" si="5"/>
        <v>RESHUDBE</v>
      </c>
      <c r="D46" s="133" t="str">
        <f>$D$2&amp;" "&amp;L46&amp;" "&amp;N46&amp;" "&amp;M46&amp;" "&amp;O46&amp;" "&amp;P46&amp;" "&amp;Buildings_DR!D16</f>
        <v>Residential Heating Urban Detached Boilers Existing buildings RESHRDX,RESHRDB,RESHRDBE,RESHSAV,RESHRDSL</v>
      </c>
      <c r="E46" s="133" t="s">
        <v>44</v>
      </c>
      <c r="F46" s="80"/>
      <c r="G46" s="189" t="s">
        <v>112</v>
      </c>
      <c r="H46" s="80"/>
      <c r="I46" s="80"/>
      <c r="J46" s="513"/>
      <c r="K46" s="127"/>
      <c r="L46" s="127" t="s">
        <v>759</v>
      </c>
      <c r="M46" s="127" t="s">
        <v>116</v>
      </c>
      <c r="N46" s="127" t="s">
        <v>734</v>
      </c>
      <c r="O46" s="127" t="s">
        <v>135</v>
      </c>
      <c r="P46" s="127" t="s">
        <v>767</v>
      </c>
      <c r="Q46" s="127"/>
      <c r="S46" s="127"/>
      <c r="T46" s="127"/>
      <c r="V46" s="127"/>
      <c r="W46" s="127"/>
      <c r="X46" s="127"/>
      <c r="Y46" s="127"/>
      <c r="Z46" s="127"/>
      <c r="AA46" s="127"/>
    </row>
    <row r="47" spans="1:30" ht="15" customHeight="1">
      <c r="A47" s="106"/>
      <c r="B47" s="77"/>
      <c r="C47" s="152" t="str">
        <f t="shared" si="5"/>
        <v>RESHRDBE</v>
      </c>
      <c r="D47" s="133" t="str">
        <f t="shared" si="2"/>
        <v xml:space="preserve">Residential Heating Rural Detached Boilers Existing buildings </v>
      </c>
      <c r="E47" s="133" t="s">
        <v>44</v>
      </c>
      <c r="F47" s="80"/>
      <c r="G47" s="189" t="s">
        <v>112</v>
      </c>
      <c r="H47" s="80"/>
      <c r="I47" s="80"/>
      <c r="J47" s="513"/>
      <c r="K47" s="127"/>
      <c r="L47" s="127" t="s">
        <v>759</v>
      </c>
      <c r="M47" s="127" t="s">
        <v>116</v>
      </c>
      <c r="N47" s="127" t="s">
        <v>735</v>
      </c>
      <c r="O47" s="127" t="s">
        <v>135</v>
      </c>
      <c r="P47" s="127" t="s">
        <v>767</v>
      </c>
      <c r="Q47" s="127"/>
      <c r="R47" s="127"/>
      <c r="S47" s="127"/>
      <c r="T47" s="127"/>
      <c r="U47" s="127"/>
      <c r="V47" s="127"/>
      <c r="W47" s="127"/>
      <c r="X47" s="127"/>
      <c r="Y47" s="127"/>
      <c r="Z47" s="127"/>
      <c r="AA47" s="127"/>
    </row>
    <row r="48" spans="1:30" ht="15" customHeight="1">
      <c r="B48" s="77"/>
      <c r="C48" s="152" t="str">
        <f t="shared" si="5"/>
        <v>RESHUMBE</v>
      </c>
      <c r="D48" s="133" t="str">
        <f t="shared" si="2"/>
        <v xml:space="preserve">Residential Heating Urban Multi Boilers Existing buildings </v>
      </c>
      <c r="E48" s="133" t="s">
        <v>44</v>
      </c>
      <c r="F48" s="80"/>
      <c r="G48" s="189" t="s">
        <v>112</v>
      </c>
      <c r="H48" s="80"/>
      <c r="I48" s="80"/>
      <c r="J48" s="513"/>
      <c r="K48" s="127"/>
      <c r="L48" s="127" t="s">
        <v>759</v>
      </c>
      <c r="M48" s="127" t="s">
        <v>741</v>
      </c>
      <c r="N48" s="127" t="s">
        <v>734</v>
      </c>
      <c r="O48" s="127" t="s">
        <v>135</v>
      </c>
      <c r="P48" s="127" t="s">
        <v>767</v>
      </c>
      <c r="Q48" s="127"/>
      <c r="R48" s="127"/>
      <c r="S48" s="127"/>
      <c r="T48" s="127"/>
      <c r="U48" s="127"/>
      <c r="V48" s="127"/>
      <c r="W48" s="127"/>
      <c r="X48" s="127"/>
      <c r="Y48" s="127"/>
      <c r="Z48" s="127"/>
      <c r="AA48" s="127"/>
    </row>
    <row r="49" spans="1:30" ht="15" customHeight="1">
      <c r="B49" s="77"/>
      <c r="C49" s="152" t="str">
        <f t="shared" si="5"/>
        <v>RESHRMBE</v>
      </c>
      <c r="D49" s="133" t="str">
        <f t="shared" si="2"/>
        <v xml:space="preserve">Residential Heating Rural Multi Boilers Existing buildings </v>
      </c>
      <c r="E49" s="133" t="s">
        <v>44</v>
      </c>
      <c r="F49" s="80"/>
      <c r="G49" s="189" t="s">
        <v>112</v>
      </c>
      <c r="H49" s="80"/>
      <c r="I49" s="80"/>
      <c r="J49" s="513"/>
      <c r="K49" s="127"/>
      <c r="L49" s="127" t="s">
        <v>759</v>
      </c>
      <c r="M49" s="127" t="s">
        <v>741</v>
      </c>
      <c r="N49" s="127" t="s">
        <v>735</v>
      </c>
      <c r="O49" s="127" t="s">
        <v>135</v>
      </c>
      <c r="P49" s="127" t="s">
        <v>767</v>
      </c>
      <c r="Q49" s="127"/>
      <c r="R49" s="127"/>
      <c r="S49" s="127"/>
      <c r="T49" s="127"/>
      <c r="U49" s="127"/>
      <c r="V49" s="127"/>
      <c r="W49" s="127"/>
      <c r="X49" s="127"/>
      <c r="Y49" s="127"/>
      <c r="Z49" s="127"/>
      <c r="AA49" s="127"/>
    </row>
    <row r="50" spans="1:30" ht="15" customHeight="1">
      <c r="B50" s="77"/>
      <c r="C50" s="152" t="str">
        <f t="shared" si="5"/>
        <v>RESHUDBN</v>
      </c>
      <c r="D50" s="133" t="str">
        <f t="shared" si="2"/>
        <v xml:space="preserve">Residential Heating Urban Detached Boilers New buildings </v>
      </c>
      <c r="E50" s="133" t="s">
        <v>44</v>
      </c>
      <c r="F50" s="80"/>
      <c r="G50" s="189" t="s">
        <v>112</v>
      </c>
      <c r="H50" s="80"/>
      <c r="I50" s="80"/>
      <c r="J50" s="513"/>
      <c r="K50" s="127"/>
      <c r="L50" s="127" t="s">
        <v>759</v>
      </c>
      <c r="M50" s="127" t="s">
        <v>116</v>
      </c>
      <c r="N50" s="127" t="s">
        <v>734</v>
      </c>
      <c r="O50" s="127" t="s">
        <v>135</v>
      </c>
      <c r="P50" s="127" t="s">
        <v>768</v>
      </c>
      <c r="Q50" s="127"/>
      <c r="R50" s="127"/>
      <c r="S50" s="127"/>
      <c r="T50" s="127"/>
      <c r="U50" s="127"/>
      <c r="V50" s="127"/>
      <c r="W50" s="127"/>
      <c r="X50" s="127"/>
      <c r="Y50" s="127"/>
      <c r="Z50" s="127"/>
      <c r="AA50" s="127"/>
    </row>
    <row r="51" spans="1:30" ht="15" customHeight="1">
      <c r="B51" s="77"/>
      <c r="C51" s="152" t="str">
        <f t="shared" si="5"/>
        <v>RESHRDBN</v>
      </c>
      <c r="D51" s="133" t="str">
        <f t="shared" si="2"/>
        <v xml:space="preserve">Residential Heating Rural Detached Boilers New buildings </v>
      </c>
      <c r="E51" s="133" t="s">
        <v>44</v>
      </c>
      <c r="F51" s="80"/>
      <c r="G51" s="189" t="s">
        <v>112</v>
      </c>
      <c r="H51" s="80"/>
      <c r="I51" s="80"/>
      <c r="J51" s="513"/>
      <c r="K51" s="127"/>
      <c r="L51" s="127" t="s">
        <v>759</v>
      </c>
      <c r="M51" s="127" t="s">
        <v>116</v>
      </c>
      <c r="N51" s="127" t="s">
        <v>735</v>
      </c>
      <c r="O51" s="127" t="s">
        <v>135</v>
      </c>
      <c r="P51" s="127" t="s">
        <v>768</v>
      </c>
      <c r="Q51" s="127"/>
      <c r="R51" s="127"/>
      <c r="S51" s="127"/>
      <c r="T51" s="127"/>
      <c r="U51" s="127"/>
      <c r="V51" s="127"/>
      <c r="W51" s="127"/>
      <c r="X51" s="127"/>
      <c r="Y51" s="127"/>
      <c r="Z51" s="127"/>
      <c r="AA51" s="127"/>
    </row>
    <row r="52" spans="1:30" ht="15" customHeight="1">
      <c r="B52" s="133"/>
      <c r="C52" s="152" t="str">
        <f t="shared" si="5"/>
        <v>RESHUMBN</v>
      </c>
      <c r="D52" s="133" t="str">
        <f t="shared" si="2"/>
        <v xml:space="preserve">Residential Heating Urban Multi Boilers New buildings </v>
      </c>
      <c r="E52" s="133" t="s">
        <v>44</v>
      </c>
      <c r="F52" s="80"/>
      <c r="G52" s="189" t="s">
        <v>112</v>
      </c>
      <c r="H52" s="80"/>
      <c r="I52" s="80"/>
      <c r="J52" s="513"/>
      <c r="K52" s="127"/>
      <c r="L52" s="127" t="s">
        <v>759</v>
      </c>
      <c r="M52" s="127" t="s">
        <v>741</v>
      </c>
      <c r="N52" s="127" t="s">
        <v>734</v>
      </c>
      <c r="O52" s="127" t="s">
        <v>135</v>
      </c>
      <c r="P52" s="127" t="s">
        <v>768</v>
      </c>
      <c r="Q52" s="127"/>
      <c r="R52" s="127"/>
      <c r="S52" s="127"/>
      <c r="T52" s="127"/>
      <c r="U52" s="127"/>
      <c r="V52" s="127"/>
      <c r="W52" s="127"/>
      <c r="X52" s="127"/>
      <c r="Y52" s="127"/>
      <c r="Z52" s="127"/>
      <c r="AA52" s="127"/>
    </row>
    <row r="53" spans="1:30" ht="15" customHeight="1">
      <c r="B53" s="490"/>
      <c r="C53" s="496" t="str">
        <f t="shared" si="5"/>
        <v>RESHRMBN</v>
      </c>
      <c r="D53" s="490" t="str">
        <f t="shared" si="2"/>
        <v xml:space="preserve">Residential Heating Rural Multi Boilers New buildings </v>
      </c>
      <c r="E53" s="490" t="s">
        <v>44</v>
      </c>
      <c r="F53" s="541"/>
      <c r="G53" s="542" t="s">
        <v>112</v>
      </c>
      <c r="H53" s="541"/>
      <c r="I53" s="541"/>
      <c r="J53" s="512"/>
      <c r="K53" s="127"/>
      <c r="L53" s="127" t="s">
        <v>759</v>
      </c>
      <c r="M53" s="127" t="s">
        <v>741</v>
      </c>
      <c r="N53" s="127" t="s">
        <v>735</v>
      </c>
      <c r="O53" s="127" t="s">
        <v>135</v>
      </c>
      <c r="P53" s="127" t="s">
        <v>768</v>
      </c>
      <c r="Q53" s="127"/>
      <c r="R53" s="127"/>
      <c r="S53" s="127"/>
      <c r="T53" s="127"/>
      <c r="U53" s="127"/>
      <c r="V53" s="127"/>
      <c r="W53" s="127"/>
      <c r="X53" s="127"/>
      <c r="Y53" s="127"/>
      <c r="Z53" s="127"/>
      <c r="AA53" s="127"/>
    </row>
    <row r="54" spans="1:30" s="1" customFormat="1" ht="15" customHeight="1">
      <c r="B54" s="77"/>
      <c r="C54" s="152" t="str">
        <f t="shared" si="5"/>
        <v>RESCUDB</v>
      </c>
      <c r="D54" s="135" t="str">
        <f t="shared" si="2"/>
        <v xml:space="preserve">Residential Cooling Urban Detached Boilers  </v>
      </c>
      <c r="E54" s="68" t="s">
        <v>44</v>
      </c>
      <c r="F54" s="78"/>
      <c r="G54" s="74" t="s">
        <v>112</v>
      </c>
      <c r="H54" s="77"/>
      <c r="I54" s="77"/>
      <c r="J54" s="513"/>
      <c r="K54" s="127"/>
      <c r="L54" s="127" t="s">
        <v>293</v>
      </c>
      <c r="M54" s="127" t="s">
        <v>116</v>
      </c>
      <c r="N54" s="127" t="s">
        <v>734</v>
      </c>
      <c r="O54" s="127" t="s">
        <v>135</v>
      </c>
      <c r="P54" s="127"/>
      <c r="Q54" s="127"/>
      <c r="R54" s="127"/>
      <c r="S54" s="127"/>
      <c r="T54" s="127"/>
      <c r="U54" s="127"/>
      <c r="V54" s="127"/>
      <c r="W54" s="127"/>
      <c r="X54" s="127"/>
      <c r="Y54" s="127"/>
      <c r="Z54" s="127"/>
      <c r="AA54" s="127"/>
      <c r="AD54"/>
    </row>
    <row r="55" spans="1:30" s="1" customFormat="1" ht="15" customHeight="1">
      <c r="B55" s="77"/>
      <c r="C55" s="152" t="str">
        <f t="shared" si="5"/>
        <v>RESCRDB</v>
      </c>
      <c r="D55" s="135" t="str">
        <f t="shared" si="2"/>
        <v xml:space="preserve">Residential Cooling Rural Detached Boilers  </v>
      </c>
      <c r="E55" s="68" t="s">
        <v>44</v>
      </c>
      <c r="F55" s="78"/>
      <c r="G55" s="74" t="s">
        <v>112</v>
      </c>
      <c r="H55" s="77"/>
      <c r="I55" s="77"/>
      <c r="J55" s="513"/>
      <c r="K55" s="127"/>
      <c r="L55" s="127" t="s">
        <v>293</v>
      </c>
      <c r="M55" s="127" t="s">
        <v>116</v>
      </c>
      <c r="N55" s="127" t="s">
        <v>735</v>
      </c>
      <c r="O55" s="127" t="s">
        <v>135</v>
      </c>
      <c r="P55" s="127"/>
      <c r="Q55" s="127"/>
      <c r="R55" s="127"/>
      <c r="S55" s="127"/>
      <c r="T55" s="127"/>
      <c r="U55" s="127"/>
      <c r="V55" s="127"/>
      <c r="W55" s="127"/>
      <c r="X55" s="127"/>
      <c r="Y55" s="127"/>
      <c r="Z55" s="127"/>
      <c r="AA55" s="127"/>
      <c r="AD55"/>
    </row>
    <row r="56" spans="1:30" ht="15" customHeight="1">
      <c r="B56" s="77"/>
      <c r="C56" s="152" t="str">
        <f t="shared" si="5"/>
        <v>RESCUMB</v>
      </c>
      <c r="D56" s="135" t="str">
        <f t="shared" si="2"/>
        <v xml:space="preserve">Residential Cooling Urban Multi Boilers  </v>
      </c>
      <c r="E56" s="68" t="s">
        <v>44</v>
      </c>
      <c r="F56" s="77"/>
      <c r="G56" s="74" t="s">
        <v>112</v>
      </c>
      <c r="H56" s="77"/>
      <c r="I56" s="77"/>
      <c r="J56" s="513"/>
      <c r="K56" s="127"/>
      <c r="L56" s="127" t="s">
        <v>293</v>
      </c>
      <c r="M56" s="127" t="s">
        <v>741</v>
      </c>
      <c r="N56" s="127" t="s">
        <v>734</v>
      </c>
      <c r="O56" s="127" t="s">
        <v>135</v>
      </c>
      <c r="P56" s="127"/>
      <c r="Q56" s="127"/>
      <c r="R56" s="127"/>
      <c r="S56" s="127"/>
      <c r="T56" s="127"/>
      <c r="U56" s="127"/>
      <c r="V56" s="127"/>
      <c r="W56" s="127"/>
      <c r="X56" s="127"/>
      <c r="Y56" s="127"/>
      <c r="Z56" s="127"/>
      <c r="AA56" s="127"/>
    </row>
    <row r="57" spans="1:30" ht="15" customHeight="1" thickBot="1">
      <c r="B57" s="77"/>
      <c r="C57" s="152" t="str">
        <f t="shared" si="5"/>
        <v>RESCRMB</v>
      </c>
      <c r="D57" s="135" t="str">
        <f t="shared" si="2"/>
        <v xml:space="preserve">Residential Cooling Rural Multi Boilers  </v>
      </c>
      <c r="E57" s="68" t="s">
        <v>44</v>
      </c>
      <c r="F57" s="77"/>
      <c r="G57" s="74" t="s">
        <v>112</v>
      </c>
      <c r="H57" s="77"/>
      <c r="I57" s="77"/>
      <c r="J57" s="513"/>
      <c r="K57" s="127"/>
      <c r="L57" s="127" t="s">
        <v>293</v>
      </c>
      <c r="M57" s="127" t="s">
        <v>741</v>
      </c>
      <c r="N57" s="127" t="s">
        <v>735</v>
      </c>
      <c r="O57" s="127" t="s">
        <v>135</v>
      </c>
      <c r="P57" s="127"/>
      <c r="Q57" s="127"/>
      <c r="R57" s="127"/>
      <c r="S57" s="127"/>
      <c r="T57" s="127"/>
      <c r="U57" s="127"/>
      <c r="V57" s="127"/>
      <c r="W57" s="127"/>
      <c r="X57" s="127"/>
      <c r="Y57" s="127"/>
      <c r="Z57" s="127"/>
      <c r="AA57" s="127"/>
    </row>
    <row r="58" spans="1:30" ht="15" customHeight="1">
      <c r="A58" s="106"/>
      <c r="B58" s="128"/>
      <c r="C58" s="152" t="str">
        <f t="shared" si="5"/>
        <v>RESHUDSL</v>
      </c>
      <c r="D58" s="544" t="str">
        <f t="shared" si="2"/>
        <v xml:space="preserve">Residential Heating Urban Detached Savings Low </v>
      </c>
      <c r="E58" s="544" t="s">
        <v>44</v>
      </c>
      <c r="F58" s="544" t="s">
        <v>115</v>
      </c>
      <c r="G58" s="128" t="s">
        <v>112</v>
      </c>
      <c r="H58" s="128"/>
      <c r="I58" s="128"/>
      <c r="J58" s="545"/>
      <c r="K58" s="509"/>
      <c r="L58" s="127" t="s">
        <v>759</v>
      </c>
      <c r="M58" s="127" t="s">
        <v>116</v>
      </c>
      <c r="N58" s="127" t="s">
        <v>734</v>
      </c>
      <c r="O58" s="127" t="s">
        <v>804</v>
      </c>
      <c r="P58" s="127" t="s">
        <v>746</v>
      </c>
      <c r="Q58" s="509"/>
      <c r="R58" s="509"/>
      <c r="S58" s="509"/>
      <c r="T58" s="509"/>
      <c r="V58" s="509"/>
      <c r="W58" s="509"/>
      <c r="X58" s="509"/>
      <c r="Y58" s="509"/>
      <c r="Z58" s="509"/>
      <c r="AA58" s="509"/>
      <c r="AB58" s="106"/>
    </row>
    <row r="59" spans="1:30" ht="15" customHeight="1">
      <c r="B59" s="77"/>
      <c r="C59" s="152" t="str">
        <f t="shared" ref="C59:C81" si="6">$C$2&amp;LEFT(L59,1)&amp;LEFT(N59,1)&amp;LEFT(M59,1)&amp;LEFT(O59,1)&amp;LEFT(P59,1)&amp;Q59</f>
        <v>RESHUDSM</v>
      </c>
      <c r="D59" s="133" t="str">
        <f t="shared" si="2"/>
        <v xml:space="preserve">Residential Heating Urban Detached Savings Medium </v>
      </c>
      <c r="E59" s="133" t="s">
        <v>44</v>
      </c>
      <c r="F59" s="133" t="s">
        <v>115</v>
      </c>
      <c r="G59" s="135" t="s">
        <v>112</v>
      </c>
      <c r="H59" s="135"/>
      <c r="I59" s="135"/>
      <c r="J59" s="513"/>
      <c r="K59" s="509"/>
      <c r="L59" s="127" t="s">
        <v>759</v>
      </c>
      <c r="M59" s="127" t="s">
        <v>116</v>
      </c>
      <c r="N59" s="127" t="s">
        <v>734</v>
      </c>
      <c r="O59" s="127" t="s">
        <v>804</v>
      </c>
      <c r="P59" s="127" t="s">
        <v>747</v>
      </c>
      <c r="Q59" s="509"/>
      <c r="R59" s="509"/>
      <c r="S59" s="509"/>
      <c r="T59" s="509"/>
      <c r="V59" s="509"/>
      <c r="W59" s="509"/>
      <c r="X59" s="509"/>
      <c r="Y59" s="509"/>
      <c r="Z59" s="509"/>
      <c r="AA59" s="509"/>
    </row>
    <row r="60" spans="1:30" ht="15" customHeight="1">
      <c r="B60" s="77"/>
      <c r="C60" s="152" t="str">
        <f t="shared" si="6"/>
        <v>RESHUDSH</v>
      </c>
      <c r="D60" s="133" t="str">
        <f t="shared" si="2"/>
        <v xml:space="preserve">Residential Heating Urban Detached Savings High </v>
      </c>
      <c r="E60" s="133" t="s">
        <v>44</v>
      </c>
      <c r="F60" s="133" t="s">
        <v>115</v>
      </c>
      <c r="G60" s="135" t="s">
        <v>112</v>
      </c>
      <c r="H60" s="135"/>
      <c r="I60" s="135"/>
      <c r="J60" s="513"/>
      <c r="K60" s="509"/>
      <c r="L60" s="127" t="s">
        <v>759</v>
      </c>
      <c r="M60" s="127" t="s">
        <v>116</v>
      </c>
      <c r="N60" s="127" t="s">
        <v>734</v>
      </c>
      <c r="O60" s="127" t="s">
        <v>804</v>
      </c>
      <c r="P60" s="127" t="s">
        <v>748</v>
      </c>
      <c r="Q60" s="509"/>
      <c r="R60" s="509"/>
      <c r="S60" s="509"/>
      <c r="T60" s="509"/>
      <c r="V60" s="509"/>
      <c r="W60" s="509"/>
      <c r="X60" s="509"/>
      <c r="Y60" s="509"/>
      <c r="Z60" s="509"/>
      <c r="AA60" s="509"/>
    </row>
    <row r="61" spans="1:30" ht="15" customHeight="1">
      <c r="B61" s="77"/>
      <c r="C61" s="152" t="str">
        <f t="shared" si="6"/>
        <v>RESHRDSL</v>
      </c>
      <c r="D61" s="133" t="str">
        <f t="shared" si="2"/>
        <v xml:space="preserve">Residential Heating Rural Detached Savings Low </v>
      </c>
      <c r="E61" s="133" t="s">
        <v>44</v>
      </c>
      <c r="F61" s="133" t="s">
        <v>115</v>
      </c>
      <c r="G61" s="135" t="s">
        <v>112</v>
      </c>
      <c r="H61" s="135"/>
      <c r="I61" s="135"/>
      <c r="J61" s="513"/>
      <c r="K61" s="509"/>
      <c r="L61" s="127" t="s">
        <v>759</v>
      </c>
      <c r="M61" s="127" t="s">
        <v>116</v>
      </c>
      <c r="N61" s="127" t="s">
        <v>735</v>
      </c>
      <c r="O61" s="127" t="s">
        <v>804</v>
      </c>
      <c r="P61" s="127" t="s">
        <v>746</v>
      </c>
      <c r="Q61" s="509"/>
      <c r="R61" s="509"/>
      <c r="S61" s="509"/>
      <c r="T61" s="509"/>
      <c r="V61" s="509"/>
      <c r="W61" s="509"/>
      <c r="X61" s="509"/>
      <c r="Y61" s="509"/>
      <c r="Z61" s="509"/>
      <c r="AA61" s="509"/>
    </row>
    <row r="62" spans="1:30" ht="15" customHeight="1">
      <c r="B62" s="77"/>
      <c r="C62" s="152" t="str">
        <f t="shared" si="6"/>
        <v>RESHRDSM</v>
      </c>
      <c r="D62" s="133" t="str">
        <f t="shared" si="2"/>
        <v xml:space="preserve">Residential Heating Rural Detached Savings Medium </v>
      </c>
      <c r="E62" s="133" t="s">
        <v>44</v>
      </c>
      <c r="F62" s="133" t="s">
        <v>115</v>
      </c>
      <c r="G62" s="135" t="s">
        <v>112</v>
      </c>
      <c r="H62" s="135"/>
      <c r="I62" s="135"/>
      <c r="J62" s="513"/>
      <c r="K62" s="509"/>
      <c r="L62" s="127" t="s">
        <v>759</v>
      </c>
      <c r="M62" s="127" t="s">
        <v>116</v>
      </c>
      <c r="N62" s="127" t="s">
        <v>735</v>
      </c>
      <c r="O62" s="127" t="s">
        <v>804</v>
      </c>
      <c r="P62" s="127" t="s">
        <v>747</v>
      </c>
      <c r="Q62" s="509"/>
      <c r="R62" s="509"/>
      <c r="S62" s="509"/>
      <c r="T62" s="509"/>
      <c r="V62" s="509"/>
      <c r="W62" s="509"/>
      <c r="X62" s="509"/>
      <c r="Y62" s="509"/>
      <c r="Z62" s="509"/>
      <c r="AA62" s="509"/>
    </row>
    <row r="63" spans="1:30" ht="15" customHeight="1">
      <c r="B63" s="77"/>
      <c r="C63" s="152" t="str">
        <f t="shared" si="6"/>
        <v>RESHRDSH</v>
      </c>
      <c r="D63" s="133" t="str">
        <f t="shared" si="2"/>
        <v xml:space="preserve">Residential Heating Rural Detached Savings High </v>
      </c>
      <c r="E63" s="133" t="s">
        <v>44</v>
      </c>
      <c r="F63" s="133" t="s">
        <v>115</v>
      </c>
      <c r="G63" s="135" t="s">
        <v>112</v>
      </c>
      <c r="H63" s="135"/>
      <c r="I63" s="135"/>
      <c r="J63" s="513"/>
      <c r="K63" s="509"/>
      <c r="L63" s="127" t="s">
        <v>759</v>
      </c>
      <c r="M63" s="127" t="s">
        <v>116</v>
      </c>
      <c r="N63" s="127" t="s">
        <v>735</v>
      </c>
      <c r="O63" s="127" t="s">
        <v>804</v>
      </c>
      <c r="P63" s="127" t="s">
        <v>748</v>
      </c>
      <c r="Q63" s="509"/>
      <c r="R63" s="509"/>
      <c r="S63" s="509"/>
      <c r="T63" s="509"/>
      <c r="V63" s="509"/>
      <c r="W63" s="509"/>
      <c r="X63" s="509"/>
      <c r="Y63" s="509"/>
      <c r="Z63" s="509"/>
      <c r="AA63" s="509"/>
    </row>
    <row r="64" spans="1:30" ht="15" customHeight="1">
      <c r="B64" s="77"/>
      <c r="C64" s="152" t="str">
        <f>$C$2&amp;LEFT(L64,1)&amp;LEFT(N64,1)&amp;LEFT(M64,1)&amp;LEFT(O64,1)&amp;LEFT(P64,1)&amp;Q64</f>
        <v>RESHUMSL</v>
      </c>
      <c r="D64" s="133" t="str">
        <f t="shared" si="2"/>
        <v xml:space="preserve">Residential Heating Urban Multi Savings Low </v>
      </c>
      <c r="E64" s="133" t="s">
        <v>44</v>
      </c>
      <c r="F64" s="133" t="s">
        <v>115</v>
      </c>
      <c r="G64" s="135" t="s">
        <v>112</v>
      </c>
      <c r="H64" s="135"/>
      <c r="I64" s="135"/>
      <c r="J64" s="513"/>
      <c r="L64" s="127" t="s">
        <v>759</v>
      </c>
      <c r="M64" s="127" t="s">
        <v>741</v>
      </c>
      <c r="N64" s="127" t="s">
        <v>734</v>
      </c>
      <c r="O64" s="127" t="s">
        <v>804</v>
      </c>
      <c r="P64" s="127" t="s">
        <v>746</v>
      </c>
      <c r="Q64" s="509"/>
      <c r="R64" s="509"/>
      <c r="S64" s="509"/>
      <c r="T64" s="509"/>
      <c r="V64" s="509"/>
      <c r="W64" s="509"/>
      <c r="X64" s="509"/>
      <c r="Y64" s="509"/>
      <c r="Z64" s="509"/>
      <c r="AA64" s="509"/>
    </row>
    <row r="65" spans="2:27" ht="15" customHeight="1">
      <c r="B65" s="77"/>
      <c r="C65" s="152" t="str">
        <f t="shared" si="6"/>
        <v>RESHUMSM</v>
      </c>
      <c r="D65" s="133" t="str">
        <f t="shared" si="2"/>
        <v xml:space="preserve">Residential Heating Urban Multi Savings Medium </v>
      </c>
      <c r="E65" s="133" t="s">
        <v>44</v>
      </c>
      <c r="F65" s="133" t="s">
        <v>115</v>
      </c>
      <c r="G65" s="135" t="s">
        <v>112</v>
      </c>
      <c r="H65" s="135"/>
      <c r="I65" s="135"/>
      <c r="J65" s="513"/>
      <c r="K65" s="509"/>
      <c r="L65" s="127" t="s">
        <v>759</v>
      </c>
      <c r="M65" s="127" t="s">
        <v>741</v>
      </c>
      <c r="N65" s="127" t="s">
        <v>734</v>
      </c>
      <c r="O65" s="127" t="s">
        <v>804</v>
      </c>
      <c r="P65" s="127" t="s">
        <v>747</v>
      </c>
      <c r="Q65" s="509"/>
      <c r="R65" s="509"/>
      <c r="S65" s="509"/>
      <c r="T65" s="509"/>
      <c r="V65" s="509"/>
      <c r="W65" s="509"/>
      <c r="X65" s="509"/>
      <c r="Y65" s="509"/>
      <c r="Z65" s="509"/>
      <c r="AA65" s="509"/>
    </row>
    <row r="66" spans="2:27" ht="15" customHeight="1">
      <c r="B66" s="77"/>
      <c r="C66" s="152" t="str">
        <f t="shared" si="6"/>
        <v>RESHUMSH</v>
      </c>
      <c r="D66" s="133" t="str">
        <f t="shared" si="2"/>
        <v xml:space="preserve">Residential Heating Urban Multi Savings High </v>
      </c>
      <c r="E66" s="133" t="s">
        <v>44</v>
      </c>
      <c r="F66" s="133" t="s">
        <v>115</v>
      </c>
      <c r="G66" s="135" t="s">
        <v>112</v>
      </c>
      <c r="H66" s="135"/>
      <c r="I66" s="135"/>
      <c r="J66" s="513"/>
      <c r="K66" s="509"/>
      <c r="L66" s="127" t="s">
        <v>759</v>
      </c>
      <c r="M66" s="127" t="s">
        <v>741</v>
      </c>
      <c r="N66" s="127" t="s">
        <v>734</v>
      </c>
      <c r="O66" s="127" t="s">
        <v>804</v>
      </c>
      <c r="P66" s="127" t="s">
        <v>748</v>
      </c>
      <c r="Q66" s="509"/>
      <c r="R66" s="509"/>
      <c r="S66" s="509"/>
      <c r="T66" s="509"/>
      <c r="V66" s="509"/>
      <c r="W66" s="509"/>
      <c r="X66" s="509"/>
      <c r="Y66" s="509"/>
      <c r="Z66" s="509"/>
      <c r="AA66" s="509"/>
    </row>
    <row r="67" spans="2:27" ht="15" customHeight="1">
      <c r="B67" s="77"/>
      <c r="C67" s="152" t="str">
        <f t="shared" si="6"/>
        <v>RESHRMSL</v>
      </c>
      <c r="D67" s="133" t="str">
        <f t="shared" si="2"/>
        <v xml:space="preserve">Residential Heating Rural Multi Savings Low </v>
      </c>
      <c r="E67" s="133" t="s">
        <v>44</v>
      </c>
      <c r="F67" s="133" t="s">
        <v>115</v>
      </c>
      <c r="G67" s="135" t="s">
        <v>112</v>
      </c>
      <c r="H67" s="135"/>
      <c r="I67" s="135"/>
      <c r="J67" s="513"/>
      <c r="K67" s="509"/>
      <c r="L67" s="127" t="s">
        <v>759</v>
      </c>
      <c r="M67" s="127" t="s">
        <v>741</v>
      </c>
      <c r="N67" s="127" t="s">
        <v>735</v>
      </c>
      <c r="O67" s="127" t="s">
        <v>804</v>
      </c>
      <c r="P67" s="127" t="s">
        <v>746</v>
      </c>
      <c r="Q67" s="509"/>
      <c r="R67" s="509"/>
      <c r="S67" s="509"/>
      <c r="T67" s="509"/>
      <c r="V67" s="509"/>
      <c r="W67" s="509"/>
      <c r="X67" s="509"/>
      <c r="Y67" s="509"/>
      <c r="Z67" s="509"/>
      <c r="AA67" s="509"/>
    </row>
    <row r="68" spans="2:27" ht="15" customHeight="1">
      <c r="B68" s="77"/>
      <c r="C68" s="152" t="str">
        <f t="shared" si="6"/>
        <v>RESHRMSM</v>
      </c>
      <c r="D68" s="133" t="str">
        <f t="shared" si="2"/>
        <v xml:space="preserve">Residential Heating Rural Multi Savings Medium </v>
      </c>
      <c r="E68" s="133" t="s">
        <v>44</v>
      </c>
      <c r="F68" s="133" t="s">
        <v>115</v>
      </c>
      <c r="G68" s="135" t="s">
        <v>112</v>
      </c>
      <c r="H68" s="135"/>
      <c r="I68" s="135"/>
      <c r="J68" s="513"/>
      <c r="K68" s="509"/>
      <c r="L68" s="127" t="s">
        <v>759</v>
      </c>
      <c r="M68" s="127" t="s">
        <v>741</v>
      </c>
      <c r="N68" s="127" t="s">
        <v>735</v>
      </c>
      <c r="O68" s="127" t="s">
        <v>804</v>
      </c>
      <c r="P68" s="127" t="s">
        <v>747</v>
      </c>
      <c r="Q68" s="509"/>
      <c r="R68" s="509"/>
      <c r="S68" s="509"/>
      <c r="T68" s="509"/>
      <c r="V68" s="509"/>
      <c r="W68" s="509"/>
      <c r="X68" s="509"/>
      <c r="Y68" s="509"/>
      <c r="Z68" s="509"/>
      <c r="AA68" s="509"/>
    </row>
    <row r="69" spans="2:27" ht="15" customHeight="1" thickBot="1">
      <c r="B69" s="129"/>
      <c r="C69" s="152" t="str">
        <f t="shared" si="6"/>
        <v>RESHRMSH</v>
      </c>
      <c r="D69" s="547" t="str">
        <f t="shared" si="2"/>
        <v xml:space="preserve">Residential Heating Rural Multi Savings High </v>
      </c>
      <c r="E69" s="547" t="s">
        <v>44</v>
      </c>
      <c r="F69" s="547" t="s">
        <v>115</v>
      </c>
      <c r="G69" s="548" t="s">
        <v>112</v>
      </c>
      <c r="H69" s="548"/>
      <c r="I69" s="548"/>
      <c r="J69" s="549"/>
      <c r="K69" s="509"/>
      <c r="L69" s="127" t="s">
        <v>759</v>
      </c>
      <c r="M69" s="127" t="s">
        <v>741</v>
      </c>
      <c r="N69" s="127" t="s">
        <v>735</v>
      </c>
      <c r="O69" s="127" t="s">
        <v>804</v>
      </c>
      <c r="P69" s="127" t="s">
        <v>748</v>
      </c>
      <c r="Q69" s="509"/>
      <c r="R69" s="509"/>
      <c r="S69" s="509"/>
      <c r="T69" s="509"/>
      <c r="V69" s="509"/>
      <c r="W69" s="509"/>
      <c r="X69" s="509"/>
      <c r="Y69" s="509"/>
      <c r="Z69" s="509"/>
      <c r="AA69" s="509"/>
    </row>
    <row r="70" spans="2:27" ht="16.2" customHeight="1" thickBot="1">
      <c r="C70" s="152" t="str">
        <f t="shared" si="6"/>
        <v>RESCUDSL</v>
      </c>
      <c r="D70" s="106" t="str">
        <f t="shared" si="2"/>
        <v xml:space="preserve">Residential Cooling Urban Detached Savings Low </v>
      </c>
      <c r="E70" s="547" t="s">
        <v>44</v>
      </c>
      <c r="F70" s="547" t="s">
        <v>115</v>
      </c>
      <c r="G70" s="548" t="s">
        <v>112</v>
      </c>
      <c r="H70" s="548"/>
      <c r="I70" s="548"/>
      <c r="J70" s="549"/>
      <c r="K70" s="127"/>
      <c r="L70" s="127" t="s">
        <v>293</v>
      </c>
      <c r="M70" s="127" t="s">
        <v>116</v>
      </c>
      <c r="N70" s="127" t="s">
        <v>734</v>
      </c>
      <c r="O70" s="127" t="s">
        <v>804</v>
      </c>
      <c r="P70" s="127" t="s">
        <v>746</v>
      </c>
      <c r="Q70" s="127"/>
      <c r="R70" s="127"/>
      <c r="S70" s="127"/>
      <c r="T70" s="127"/>
      <c r="V70" s="127"/>
      <c r="W70" s="127"/>
      <c r="X70" s="127"/>
      <c r="Y70" s="127"/>
      <c r="Z70" s="127"/>
      <c r="AA70" s="127"/>
    </row>
    <row r="71" spans="2:27" ht="16.2" customHeight="1" thickBot="1">
      <c r="C71" s="152" t="str">
        <f t="shared" si="6"/>
        <v>RESCUDSM</v>
      </c>
      <c r="D71" s="106" t="str">
        <f t="shared" si="2"/>
        <v xml:space="preserve">Residential Cooling Urban Detached Savings Medium </v>
      </c>
      <c r="E71" s="547" t="s">
        <v>44</v>
      </c>
      <c r="F71" s="547" t="s">
        <v>115</v>
      </c>
      <c r="G71" s="548" t="s">
        <v>112</v>
      </c>
      <c r="H71" s="548"/>
      <c r="I71" s="548"/>
      <c r="J71" s="549"/>
      <c r="L71" s="127" t="s">
        <v>293</v>
      </c>
      <c r="M71" s="127" t="s">
        <v>116</v>
      </c>
      <c r="N71" s="127" t="s">
        <v>734</v>
      </c>
      <c r="O71" s="127" t="s">
        <v>804</v>
      </c>
      <c r="P71" s="127" t="s">
        <v>747</v>
      </c>
    </row>
    <row r="72" spans="2:27" ht="16.2" customHeight="1" thickBot="1">
      <c r="B72" s="73"/>
      <c r="C72" s="152" t="str">
        <f t="shared" si="6"/>
        <v>RESCUDSH</v>
      </c>
      <c r="D72" s="106" t="str">
        <f t="shared" si="2"/>
        <v xml:space="preserve">Residential Cooling Urban Detached Savings High </v>
      </c>
      <c r="E72" s="547" t="s">
        <v>44</v>
      </c>
      <c r="F72" s="547" t="s">
        <v>115</v>
      </c>
      <c r="G72" s="548" t="s">
        <v>112</v>
      </c>
      <c r="H72" s="548"/>
      <c r="I72" s="548"/>
      <c r="J72" s="549"/>
      <c r="L72" s="127" t="s">
        <v>293</v>
      </c>
      <c r="M72" s="127" t="s">
        <v>116</v>
      </c>
      <c r="N72" s="127" t="s">
        <v>734</v>
      </c>
      <c r="O72" s="127" t="s">
        <v>804</v>
      </c>
      <c r="P72" s="127" t="s">
        <v>748</v>
      </c>
    </row>
    <row r="73" spans="2:27" ht="16.2" customHeight="1" thickBot="1">
      <c r="B73" s="64"/>
      <c r="C73" s="152" t="str">
        <f t="shared" si="6"/>
        <v>RESCRDSL</v>
      </c>
      <c r="D73" s="106" t="str">
        <f t="shared" si="2"/>
        <v xml:space="preserve">Residential Cooling Rural Detached Savings Low </v>
      </c>
      <c r="E73" s="547" t="s">
        <v>44</v>
      </c>
      <c r="F73" s="547" t="s">
        <v>115</v>
      </c>
      <c r="G73" s="548" t="s">
        <v>112</v>
      </c>
      <c r="H73" s="548"/>
      <c r="I73" s="548"/>
      <c r="J73" s="549"/>
      <c r="L73" s="127" t="s">
        <v>293</v>
      </c>
      <c r="M73" s="127" t="s">
        <v>116</v>
      </c>
      <c r="N73" s="127" t="s">
        <v>735</v>
      </c>
      <c r="O73" s="127" t="s">
        <v>804</v>
      </c>
      <c r="P73" s="127" t="s">
        <v>746</v>
      </c>
    </row>
    <row r="74" spans="2:27" ht="16.2" customHeight="1" thickBot="1">
      <c r="C74" s="152" t="str">
        <f t="shared" si="6"/>
        <v>RESCRDSM</v>
      </c>
      <c r="D74" s="106" t="str">
        <f t="shared" si="2"/>
        <v xml:space="preserve">Residential Cooling Rural Detached Savings Medium </v>
      </c>
      <c r="E74" s="547" t="s">
        <v>44</v>
      </c>
      <c r="F74" s="547" t="s">
        <v>115</v>
      </c>
      <c r="G74" s="548" t="s">
        <v>112</v>
      </c>
      <c r="H74" s="548"/>
      <c r="I74" s="548"/>
      <c r="J74" s="549"/>
      <c r="L74" s="127" t="s">
        <v>293</v>
      </c>
      <c r="M74" s="127" t="s">
        <v>116</v>
      </c>
      <c r="N74" s="127" t="s">
        <v>735</v>
      </c>
      <c r="O74" s="127" t="s">
        <v>804</v>
      </c>
      <c r="P74" s="127" t="s">
        <v>747</v>
      </c>
    </row>
    <row r="75" spans="2:27" ht="16.2" customHeight="1" thickBot="1">
      <c r="C75" s="152" t="str">
        <f t="shared" si="6"/>
        <v>RESCRDSH</v>
      </c>
      <c r="D75" s="106" t="str">
        <f t="shared" si="2"/>
        <v xml:space="preserve">Residential Cooling Rural Detached Savings High </v>
      </c>
      <c r="E75" s="547" t="s">
        <v>44</v>
      </c>
      <c r="F75" s="547" t="s">
        <v>115</v>
      </c>
      <c r="G75" s="548" t="s">
        <v>112</v>
      </c>
      <c r="H75" s="548"/>
      <c r="I75" s="548"/>
      <c r="J75" s="549"/>
      <c r="L75" s="127" t="s">
        <v>293</v>
      </c>
      <c r="M75" s="127" t="s">
        <v>116</v>
      </c>
      <c r="N75" s="127" t="s">
        <v>735</v>
      </c>
      <c r="O75" s="127" t="s">
        <v>804</v>
      </c>
      <c r="P75" s="127" t="s">
        <v>748</v>
      </c>
    </row>
    <row r="76" spans="2:27" ht="16.2" customHeight="1" thickBot="1">
      <c r="C76" s="152" t="str">
        <f t="shared" si="6"/>
        <v>RESCUMSL</v>
      </c>
      <c r="D76" s="106" t="str">
        <f t="shared" si="2"/>
        <v xml:space="preserve">Residential Cooling Urban Multi Savings Low </v>
      </c>
      <c r="E76" s="547" t="s">
        <v>44</v>
      </c>
      <c r="F76" s="547" t="s">
        <v>115</v>
      </c>
      <c r="G76" s="548" t="s">
        <v>112</v>
      </c>
      <c r="H76" s="548"/>
      <c r="I76" s="548"/>
      <c r="J76" s="549"/>
      <c r="L76" s="127" t="s">
        <v>293</v>
      </c>
      <c r="M76" s="127" t="s">
        <v>741</v>
      </c>
      <c r="N76" s="127" t="s">
        <v>734</v>
      </c>
      <c r="O76" s="127" t="s">
        <v>804</v>
      </c>
      <c r="P76" s="127" t="s">
        <v>746</v>
      </c>
    </row>
    <row r="77" spans="2:27" ht="16.2" customHeight="1" thickBot="1">
      <c r="C77" s="152" t="str">
        <f t="shared" si="6"/>
        <v>RESCUMSM</v>
      </c>
      <c r="D77" s="106" t="str">
        <f t="shared" si="2"/>
        <v xml:space="preserve">Residential Cooling Urban Multi Savings Medium </v>
      </c>
      <c r="E77" s="547" t="s">
        <v>44</v>
      </c>
      <c r="F77" s="547" t="s">
        <v>115</v>
      </c>
      <c r="G77" s="548" t="s">
        <v>112</v>
      </c>
      <c r="H77" s="548"/>
      <c r="I77" s="548"/>
      <c r="J77" s="549"/>
      <c r="L77" s="127" t="s">
        <v>293</v>
      </c>
      <c r="M77" s="127" t="s">
        <v>741</v>
      </c>
      <c r="N77" s="127" t="s">
        <v>734</v>
      </c>
      <c r="O77" s="127" t="s">
        <v>804</v>
      </c>
      <c r="P77" s="127" t="s">
        <v>747</v>
      </c>
    </row>
    <row r="78" spans="2:27" ht="16.2" customHeight="1" thickBot="1">
      <c r="C78" s="152" t="str">
        <f t="shared" si="6"/>
        <v>RESCUMSH</v>
      </c>
      <c r="D78" s="106" t="str">
        <f t="shared" si="2"/>
        <v xml:space="preserve">Residential Cooling Urban Multi Savings High </v>
      </c>
      <c r="E78" s="547" t="s">
        <v>44</v>
      </c>
      <c r="F78" s="547" t="s">
        <v>115</v>
      </c>
      <c r="G78" s="548" t="s">
        <v>112</v>
      </c>
      <c r="H78" s="548"/>
      <c r="I78" s="548"/>
      <c r="J78" s="549"/>
      <c r="L78" s="127" t="s">
        <v>293</v>
      </c>
      <c r="M78" s="127" t="s">
        <v>741</v>
      </c>
      <c r="N78" s="127" t="s">
        <v>734</v>
      </c>
      <c r="O78" s="127" t="s">
        <v>804</v>
      </c>
      <c r="P78" s="127" t="s">
        <v>748</v>
      </c>
    </row>
    <row r="79" spans="2:27" ht="16.2" customHeight="1" thickBot="1">
      <c r="C79" s="152" t="str">
        <f t="shared" si="6"/>
        <v>RESCRMSL</v>
      </c>
      <c r="D79" s="106" t="str">
        <f t="shared" si="2"/>
        <v xml:space="preserve">Residential Cooling Rural Multi Savings Low </v>
      </c>
      <c r="E79" s="547" t="s">
        <v>44</v>
      </c>
      <c r="F79" s="547" t="s">
        <v>115</v>
      </c>
      <c r="G79" s="548" t="s">
        <v>112</v>
      </c>
      <c r="H79" s="548"/>
      <c r="I79" s="548"/>
      <c r="J79" s="549"/>
      <c r="L79" s="127" t="s">
        <v>293</v>
      </c>
      <c r="M79" s="127" t="s">
        <v>741</v>
      </c>
      <c r="N79" s="127" t="s">
        <v>735</v>
      </c>
      <c r="O79" s="127" t="s">
        <v>804</v>
      </c>
      <c r="P79" s="127" t="s">
        <v>746</v>
      </c>
    </row>
    <row r="80" spans="2:27" ht="16.2" customHeight="1" thickBot="1">
      <c r="C80" s="152" t="str">
        <f t="shared" si="6"/>
        <v>RESCRMSM</v>
      </c>
      <c r="D80" s="106" t="str">
        <f t="shared" si="2"/>
        <v xml:space="preserve">Residential Cooling Rural Multi Savings Medium </v>
      </c>
      <c r="E80" s="547" t="s">
        <v>44</v>
      </c>
      <c r="F80" s="547" t="s">
        <v>115</v>
      </c>
      <c r="G80" s="548" t="s">
        <v>112</v>
      </c>
      <c r="H80" s="548"/>
      <c r="I80" s="548"/>
      <c r="J80" s="549"/>
      <c r="L80" s="127" t="s">
        <v>293</v>
      </c>
      <c r="M80" s="127" t="s">
        <v>741</v>
      </c>
      <c r="N80" s="127" t="s">
        <v>735</v>
      </c>
      <c r="O80" s="127" t="s">
        <v>804</v>
      </c>
      <c r="P80" s="127" t="s">
        <v>747</v>
      </c>
    </row>
    <row r="81" spans="2:16" ht="16.2" customHeight="1" thickBot="1">
      <c r="C81" s="152" t="str">
        <f t="shared" si="6"/>
        <v>RESCRMSH</v>
      </c>
      <c r="D81" s="106" t="str">
        <f t="shared" si="2"/>
        <v xml:space="preserve">Residential Cooling Rural Multi Savings High </v>
      </c>
      <c r="E81" s="547" t="s">
        <v>44</v>
      </c>
      <c r="F81" s="547" t="s">
        <v>115</v>
      </c>
      <c r="G81" s="548" t="s">
        <v>112</v>
      </c>
      <c r="H81" s="548"/>
      <c r="I81" s="548"/>
      <c r="J81" s="549"/>
      <c r="L81" s="127" t="s">
        <v>293</v>
      </c>
      <c r="M81" s="127" t="s">
        <v>741</v>
      </c>
      <c r="N81" s="127" t="s">
        <v>735</v>
      </c>
      <c r="O81" s="127" t="s">
        <v>804</v>
      </c>
      <c r="P81" s="127" t="s">
        <v>748</v>
      </c>
    </row>
    <row r="82" spans="2:16" ht="16.2" customHeight="1">
      <c r="B82" s="70" t="s">
        <v>118</v>
      </c>
      <c r="C82" s="105" t="s">
        <v>119</v>
      </c>
      <c r="D82" s="550" t="s">
        <v>121</v>
      </c>
      <c r="E82" s="550" t="s">
        <v>120</v>
      </c>
      <c r="F82" s="551"/>
      <c r="G82" s="551"/>
      <c r="H82" s="551"/>
      <c r="I82" s="551"/>
      <c r="J82" s="516"/>
    </row>
    <row r="83" spans="2:16">
      <c r="B83" t="s">
        <v>47</v>
      </c>
      <c r="C83" t="s">
        <v>840</v>
      </c>
      <c r="D83" t="s">
        <v>841</v>
      </c>
      <c r="E83" s="133" t="s">
        <v>44</v>
      </c>
      <c r="G83" s="133" t="s">
        <v>112</v>
      </c>
    </row>
  </sheetData>
  <phoneticPr fontId="28" type="noConversion"/>
  <pageMargins left="0.75" right="0.75" top="1" bottom="1" header="0.5" footer="0.5"/>
  <pageSetup paperSize="9"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6" tint="-0.249977111117893"/>
  </sheetPr>
  <dimension ref="B2:T118"/>
  <sheetViews>
    <sheetView topLeftCell="A18" zoomScale="85" zoomScaleNormal="85" workbookViewId="0">
      <selection activeCell="D28" sqref="D28"/>
    </sheetView>
  </sheetViews>
  <sheetFormatPr defaultColWidth="8.77734375" defaultRowHeight="13.2"/>
  <cols>
    <col min="1" max="1" width="5.77734375" customWidth="1"/>
    <col min="2" max="2" width="11.6640625" bestFit="1" customWidth="1"/>
    <col min="3" max="3" width="11.21875" customWidth="1"/>
    <col min="4" max="4" width="16.6640625" customWidth="1"/>
    <col min="5" max="5" width="68.77734375" bestFit="1" customWidth="1"/>
    <col min="7" max="7" width="12" customWidth="1"/>
    <col min="8" max="8" width="12.77734375" customWidth="1"/>
    <col min="9" max="9" width="14" customWidth="1"/>
    <col min="12" max="12" width="13.77734375" bestFit="1" customWidth="1"/>
    <col min="13" max="13" width="10.33203125" bestFit="1" customWidth="1"/>
    <col min="14" max="14" width="8.77734375" bestFit="1" customWidth="1"/>
    <col min="15" max="15" width="9.77734375" bestFit="1" customWidth="1"/>
    <col min="16" max="16" width="7.6640625" bestFit="1" customWidth="1"/>
    <col min="17" max="17" width="19.33203125" customWidth="1"/>
    <col min="18" max="18" width="6.21875" bestFit="1" customWidth="1"/>
  </cols>
  <sheetData>
    <row r="2" spans="2:19" ht="17.399999999999999">
      <c r="B2" s="543" t="s">
        <v>788</v>
      </c>
      <c r="D2" s="543" t="s">
        <v>153</v>
      </c>
      <c r="E2" s="106" t="s">
        <v>807</v>
      </c>
    </row>
    <row r="3" spans="2:19" ht="17.399999999999999">
      <c r="C3" s="543"/>
      <c r="D3" s="543"/>
      <c r="E3" s="106"/>
    </row>
    <row r="4" spans="2:19">
      <c r="B4" s="63" t="s">
        <v>18</v>
      </c>
      <c r="C4" s="63"/>
      <c r="D4" s="64"/>
      <c r="E4" s="64"/>
      <c r="F4" s="64"/>
      <c r="G4" s="64"/>
      <c r="H4" s="64"/>
      <c r="I4" s="64"/>
      <c r="J4" s="64"/>
      <c r="K4" s="64"/>
      <c r="L4" s="659"/>
      <c r="M4" s="660"/>
      <c r="N4" s="660"/>
      <c r="O4" s="660"/>
      <c r="P4" s="660"/>
      <c r="Q4" s="660"/>
      <c r="R4" s="660"/>
      <c r="S4" s="660"/>
    </row>
    <row r="5" spans="2:19" ht="41.4">
      <c r="B5" s="65" t="s">
        <v>19</v>
      </c>
      <c r="C5" s="65" t="s">
        <v>1</v>
      </c>
      <c r="D5" s="65" t="s">
        <v>2</v>
      </c>
      <c r="E5" s="65" t="s">
        <v>3</v>
      </c>
      <c r="F5" s="65" t="s">
        <v>20</v>
      </c>
      <c r="G5" s="65" t="s">
        <v>21</v>
      </c>
      <c r="H5" s="65" t="s">
        <v>22</v>
      </c>
      <c r="I5" s="65" t="s">
        <v>23</v>
      </c>
      <c r="J5" s="65" t="s">
        <v>24</v>
      </c>
      <c r="K5" s="553"/>
      <c r="L5" s="296" t="s">
        <v>823</v>
      </c>
      <c r="M5" s="296" t="s">
        <v>766</v>
      </c>
      <c r="N5" s="296" t="s">
        <v>764</v>
      </c>
      <c r="O5" s="296" t="s">
        <v>765</v>
      </c>
      <c r="P5" s="296" t="s">
        <v>81</v>
      </c>
      <c r="Q5" s="296" t="s">
        <v>787</v>
      </c>
      <c r="R5" s="296" t="s">
        <v>802</v>
      </c>
      <c r="S5" s="296" t="s">
        <v>805</v>
      </c>
    </row>
    <row r="6" spans="2:19" ht="21" thickBot="1">
      <c r="B6" s="66" t="s">
        <v>28</v>
      </c>
      <c r="C6" s="66" t="s">
        <v>29</v>
      </c>
      <c r="D6" s="66" t="s">
        <v>30</v>
      </c>
      <c r="E6" s="66" t="s">
        <v>31</v>
      </c>
      <c r="F6" s="66" t="s">
        <v>32</v>
      </c>
      <c r="G6" s="66" t="s">
        <v>33</v>
      </c>
      <c r="H6" s="66" t="s">
        <v>34</v>
      </c>
      <c r="I6" s="66" t="s">
        <v>35</v>
      </c>
      <c r="J6" s="66" t="s">
        <v>36</v>
      </c>
      <c r="K6" s="554"/>
      <c r="L6" s="552" t="s">
        <v>826</v>
      </c>
      <c r="M6" s="552" t="s">
        <v>826</v>
      </c>
      <c r="N6" s="552" t="s">
        <v>826</v>
      </c>
      <c r="O6" s="552" t="s">
        <v>826</v>
      </c>
      <c r="P6" s="552" t="s">
        <v>826</v>
      </c>
      <c r="Q6" s="552" t="s">
        <v>826</v>
      </c>
      <c r="R6" s="552" t="s">
        <v>826</v>
      </c>
      <c r="S6" s="552" t="s">
        <v>826</v>
      </c>
    </row>
    <row r="7" spans="2:19">
      <c r="B7" s="135" t="s">
        <v>25</v>
      </c>
      <c r="C7" s="77"/>
      <c r="D7" s="133" t="str">
        <f>LEFT($D$2,1)&amp;LEFT(L7,1)&amp;LEFT(M7,1)&amp;LEFT(O7,1)&amp;LEFT(N7,1)&amp;P7&amp;LEFT(Q7,1)&amp;R7</f>
        <v>RDHUDL</v>
      </c>
      <c r="E7" s="133" t="str">
        <f>$E$2&amp;" "&amp;L7&amp;" "&amp;M7&amp;" "&amp;O7&amp;" "&amp;N7&amp;" - "&amp;T7&amp;" - "&amp;Q7&amp;" "&amp;R7</f>
        <v xml:space="preserve">Residential Demand Heating Urban Detached -  - Low </v>
      </c>
      <c r="F7" s="78" t="s">
        <v>46</v>
      </c>
      <c r="G7" s="78" t="s">
        <v>46</v>
      </c>
      <c r="H7" s="77"/>
      <c r="I7" s="83"/>
      <c r="J7" s="77"/>
      <c r="K7" s="77"/>
      <c r="L7" s="106" t="s">
        <v>806</v>
      </c>
      <c r="M7" s="127" t="s">
        <v>759</v>
      </c>
      <c r="N7" s="127" t="s">
        <v>116</v>
      </c>
      <c r="O7" s="127" t="s">
        <v>734</v>
      </c>
      <c r="Q7" s="106" t="s">
        <v>746</v>
      </c>
      <c r="R7" s="106"/>
    </row>
    <row r="8" spans="2:19">
      <c r="B8" s="77"/>
      <c r="C8" s="77"/>
      <c r="D8" s="133" t="str">
        <f>LEFT($D$2,1)&amp;LEFT(L8,1)&amp;LEFT(M8,1)&amp;LEFT(O8,1)&amp;LEFT(N8,1)&amp;P8&amp;LEFT(Q8,1)&amp;R8</f>
        <v>RDHUDM</v>
      </c>
      <c r="E8" s="133" t="str">
        <f t="shared" ref="E8:E79" si="0">$E$2&amp;" "&amp;L8&amp;" "&amp;M8&amp;" "&amp;O8&amp;" "&amp;N8&amp;" - "&amp;T8&amp;" - "&amp;Q8&amp;" "&amp;R8</f>
        <v xml:space="preserve">Residential Demand Heating Urban Detached -  - Medium </v>
      </c>
      <c r="F8" s="78" t="s">
        <v>46</v>
      </c>
      <c r="G8" s="78" t="s">
        <v>46</v>
      </c>
      <c r="H8" s="77"/>
      <c r="I8" s="83"/>
      <c r="J8" s="77"/>
      <c r="K8" s="77"/>
      <c r="L8" s="106" t="s">
        <v>806</v>
      </c>
      <c r="M8" s="127" t="s">
        <v>759</v>
      </c>
      <c r="N8" s="127" t="s">
        <v>116</v>
      </c>
      <c r="O8" s="127" t="s">
        <v>734</v>
      </c>
      <c r="Q8" s="106" t="s">
        <v>747</v>
      </c>
    </row>
    <row r="9" spans="2:19">
      <c r="B9" s="77"/>
      <c r="C9" s="77"/>
      <c r="D9" s="133" t="str">
        <f t="shared" ref="D9:D80" si="1">LEFT($D$2,1)&amp;LEFT(L9,1)&amp;LEFT(M9,1)&amp;LEFT(O9,1)&amp;LEFT(N9,1)&amp;P9&amp;LEFT(Q9,1)&amp;R9</f>
        <v>RDHUDH</v>
      </c>
      <c r="E9" s="133" t="str">
        <f t="shared" si="0"/>
        <v xml:space="preserve">Residential Demand Heating Urban Detached -  - High </v>
      </c>
      <c r="F9" s="78" t="s">
        <v>46</v>
      </c>
      <c r="G9" s="68" t="s">
        <v>46</v>
      </c>
      <c r="H9" s="77"/>
      <c r="I9" s="83"/>
      <c r="J9" s="78"/>
      <c r="K9" s="78"/>
      <c r="L9" s="106" t="s">
        <v>806</v>
      </c>
      <c r="M9" s="127" t="s">
        <v>759</v>
      </c>
      <c r="N9" s="127" t="s">
        <v>116</v>
      </c>
      <c r="O9" s="127" t="s">
        <v>734</v>
      </c>
      <c r="Q9" s="106" t="s">
        <v>748</v>
      </c>
    </row>
    <row r="10" spans="2:19">
      <c r="B10" s="77"/>
      <c r="C10" s="77"/>
      <c r="D10" s="133" t="str">
        <f t="shared" si="1"/>
        <v>RDHUDN</v>
      </c>
      <c r="E10" s="133" t="str">
        <f t="shared" si="0"/>
        <v xml:space="preserve">Residential Demand Heating Urban Detached -  - New </v>
      </c>
      <c r="F10" s="78" t="s">
        <v>46</v>
      </c>
      <c r="G10" s="78" t="s">
        <v>46</v>
      </c>
      <c r="H10" s="77"/>
      <c r="I10" s="83"/>
      <c r="J10" s="77"/>
      <c r="K10" s="77"/>
      <c r="L10" s="106" t="s">
        <v>806</v>
      </c>
      <c r="M10" s="127" t="s">
        <v>759</v>
      </c>
      <c r="N10" s="127" t="s">
        <v>116</v>
      </c>
      <c r="O10" s="127" t="s">
        <v>734</v>
      </c>
      <c r="Q10" s="106" t="s">
        <v>51</v>
      </c>
    </row>
    <row r="11" spans="2:19">
      <c r="B11" s="77"/>
      <c r="C11" s="77"/>
      <c r="D11" s="133" t="str">
        <f t="shared" si="1"/>
        <v>RDHRDL</v>
      </c>
      <c r="E11" s="133" t="str">
        <f t="shared" si="0"/>
        <v xml:space="preserve">Residential Demand Heating Rural Detached -  - Low </v>
      </c>
      <c r="F11" s="78" t="s">
        <v>46</v>
      </c>
      <c r="G11" s="78" t="s">
        <v>46</v>
      </c>
      <c r="H11" s="77"/>
      <c r="I11" s="83"/>
      <c r="J11" s="77"/>
      <c r="K11" s="77"/>
      <c r="L11" s="106" t="s">
        <v>806</v>
      </c>
      <c r="M11" s="127" t="s">
        <v>759</v>
      </c>
      <c r="N11" s="127" t="s">
        <v>116</v>
      </c>
      <c r="O11" s="127" t="s">
        <v>735</v>
      </c>
      <c r="Q11" s="106" t="s">
        <v>746</v>
      </c>
    </row>
    <row r="12" spans="2:19">
      <c r="B12" s="77"/>
      <c r="C12" s="77"/>
      <c r="D12" s="133" t="str">
        <f t="shared" si="1"/>
        <v>RDHRDM</v>
      </c>
      <c r="E12" s="133" t="str">
        <f t="shared" si="0"/>
        <v xml:space="preserve">Residential Demand Heating Rural Detached -  - Medium </v>
      </c>
      <c r="F12" s="78" t="s">
        <v>46</v>
      </c>
      <c r="G12" s="78" t="s">
        <v>46</v>
      </c>
      <c r="H12" s="77"/>
      <c r="I12" s="83"/>
      <c r="J12" s="78"/>
      <c r="K12" s="78"/>
      <c r="L12" s="106" t="s">
        <v>806</v>
      </c>
      <c r="M12" s="127" t="s">
        <v>759</v>
      </c>
      <c r="N12" s="127" t="s">
        <v>116</v>
      </c>
      <c r="O12" s="127" t="s">
        <v>735</v>
      </c>
      <c r="Q12" s="106" t="s">
        <v>747</v>
      </c>
    </row>
    <row r="13" spans="2:19">
      <c r="B13" s="77"/>
      <c r="C13" s="77"/>
      <c r="D13" s="133" t="str">
        <f t="shared" si="1"/>
        <v>RDHRDH</v>
      </c>
      <c r="E13" s="133" t="str">
        <f t="shared" si="0"/>
        <v xml:space="preserve">Residential Demand Heating Rural Detached -  - High </v>
      </c>
      <c r="F13" s="78" t="s">
        <v>46</v>
      </c>
      <c r="G13" s="78" t="s">
        <v>46</v>
      </c>
      <c r="H13" s="77"/>
      <c r="I13" s="83"/>
      <c r="J13" s="77"/>
      <c r="K13" s="77"/>
      <c r="L13" s="106" t="s">
        <v>806</v>
      </c>
      <c r="M13" s="127" t="s">
        <v>759</v>
      </c>
      <c r="N13" s="127" t="s">
        <v>116</v>
      </c>
      <c r="O13" s="127" t="s">
        <v>735</v>
      </c>
      <c r="Q13" s="106" t="s">
        <v>748</v>
      </c>
    </row>
    <row r="14" spans="2:19">
      <c r="B14" s="77"/>
      <c r="C14" s="77"/>
      <c r="D14" s="133" t="str">
        <f t="shared" si="1"/>
        <v>RDHRDN</v>
      </c>
      <c r="E14" s="133" t="str">
        <f t="shared" si="0"/>
        <v xml:space="preserve">Residential Demand Heating Rural Detached -  - New </v>
      </c>
      <c r="F14" s="78" t="s">
        <v>46</v>
      </c>
      <c r="G14" s="78" t="s">
        <v>46</v>
      </c>
      <c r="H14" s="77"/>
      <c r="I14" s="83"/>
      <c r="J14" s="77"/>
      <c r="K14" s="77"/>
      <c r="L14" s="106" t="s">
        <v>806</v>
      </c>
      <c r="M14" s="127" t="s">
        <v>759</v>
      </c>
      <c r="N14" s="127" t="s">
        <v>116</v>
      </c>
      <c r="O14" s="127" t="s">
        <v>735</v>
      </c>
      <c r="Q14" s="106" t="s">
        <v>51</v>
      </c>
    </row>
    <row r="15" spans="2:19">
      <c r="B15" s="77"/>
      <c r="C15" s="77"/>
      <c r="D15" s="133" t="str">
        <f t="shared" si="1"/>
        <v>RDHUML</v>
      </c>
      <c r="E15" s="133" t="str">
        <f t="shared" si="0"/>
        <v xml:space="preserve">Residential Demand Heating Urban Multi -  - Low </v>
      </c>
      <c r="F15" s="78" t="s">
        <v>46</v>
      </c>
      <c r="G15" s="78" t="s">
        <v>46</v>
      </c>
      <c r="H15" s="77"/>
      <c r="I15" s="83"/>
      <c r="J15" s="78"/>
      <c r="K15" s="78"/>
      <c r="L15" s="106" t="s">
        <v>806</v>
      </c>
      <c r="M15" s="127" t="s">
        <v>759</v>
      </c>
      <c r="N15" s="127" t="s">
        <v>741</v>
      </c>
      <c r="O15" s="127" t="s">
        <v>734</v>
      </c>
      <c r="Q15" s="106" t="s">
        <v>746</v>
      </c>
    </row>
    <row r="16" spans="2:19">
      <c r="B16" s="77"/>
      <c r="C16" s="77"/>
      <c r="D16" s="133" t="str">
        <f t="shared" si="1"/>
        <v>RDHUMM</v>
      </c>
      <c r="E16" s="133" t="str">
        <f t="shared" si="0"/>
        <v xml:space="preserve">Residential Demand Heating Urban Multi -  - Medium </v>
      </c>
      <c r="F16" s="78" t="s">
        <v>46</v>
      </c>
      <c r="G16" s="78" t="s">
        <v>46</v>
      </c>
      <c r="H16" s="77"/>
      <c r="I16" s="83"/>
      <c r="J16" s="77"/>
      <c r="K16" s="64"/>
      <c r="L16" s="106" t="s">
        <v>806</v>
      </c>
      <c r="M16" s="127" t="s">
        <v>759</v>
      </c>
      <c r="N16" s="127" t="s">
        <v>741</v>
      </c>
      <c r="O16" s="127" t="s">
        <v>734</v>
      </c>
      <c r="Q16" s="106" t="s">
        <v>747</v>
      </c>
    </row>
    <row r="17" spans="2:17">
      <c r="B17" s="77"/>
      <c r="C17" s="77"/>
      <c r="D17" s="133" t="str">
        <f t="shared" si="1"/>
        <v>RDHUMH</v>
      </c>
      <c r="E17" s="133" t="str">
        <f t="shared" si="0"/>
        <v xml:space="preserve">Residential Demand Heating Urban Multi -  - High </v>
      </c>
      <c r="F17" s="78" t="s">
        <v>46</v>
      </c>
      <c r="G17" s="78" t="s">
        <v>46</v>
      </c>
      <c r="H17" s="77"/>
      <c r="I17" s="83"/>
      <c r="J17" s="77"/>
      <c r="K17" s="64"/>
      <c r="L17" s="106" t="s">
        <v>806</v>
      </c>
      <c r="M17" s="127" t="s">
        <v>759</v>
      </c>
      <c r="N17" s="127" t="s">
        <v>741</v>
      </c>
      <c r="O17" s="127" t="s">
        <v>734</v>
      </c>
      <c r="Q17" s="106" t="s">
        <v>748</v>
      </c>
    </row>
    <row r="18" spans="2:17">
      <c r="B18" s="77"/>
      <c r="C18" s="77"/>
      <c r="D18" s="133" t="str">
        <f t="shared" si="1"/>
        <v>RDHUMN</v>
      </c>
      <c r="E18" s="133" t="str">
        <f t="shared" si="0"/>
        <v xml:space="preserve">Residential Demand Heating Urban Multi -  - New </v>
      </c>
      <c r="F18" s="78" t="s">
        <v>46</v>
      </c>
      <c r="G18" s="78" t="s">
        <v>46</v>
      </c>
      <c r="H18" s="77"/>
      <c r="I18" s="83"/>
      <c r="J18" s="77"/>
      <c r="K18" s="77"/>
      <c r="L18" s="106" t="s">
        <v>806</v>
      </c>
      <c r="M18" s="127" t="s">
        <v>759</v>
      </c>
      <c r="N18" s="127" t="s">
        <v>741</v>
      </c>
      <c r="O18" s="127" t="s">
        <v>734</v>
      </c>
      <c r="Q18" s="106" t="s">
        <v>51</v>
      </c>
    </row>
    <row r="19" spans="2:17">
      <c r="B19" s="77"/>
      <c r="C19" s="77"/>
      <c r="D19" s="133" t="str">
        <f t="shared" si="1"/>
        <v>RDHRML</v>
      </c>
      <c r="E19" s="133" t="str">
        <f t="shared" si="0"/>
        <v xml:space="preserve">Residential Demand Heating Rural Multi -  - Low </v>
      </c>
      <c r="F19" s="78" t="s">
        <v>46</v>
      </c>
      <c r="G19" s="78" t="s">
        <v>46</v>
      </c>
      <c r="H19" s="77"/>
      <c r="I19" s="83"/>
      <c r="J19" s="77"/>
      <c r="K19" s="77"/>
      <c r="L19" s="106" t="s">
        <v>806</v>
      </c>
      <c r="M19" s="127" t="s">
        <v>759</v>
      </c>
      <c r="N19" s="127" t="s">
        <v>741</v>
      </c>
      <c r="O19" s="127" t="s">
        <v>735</v>
      </c>
      <c r="Q19" s="106" t="s">
        <v>746</v>
      </c>
    </row>
    <row r="20" spans="2:17">
      <c r="B20" s="77"/>
      <c r="C20" s="77"/>
      <c r="D20" s="133" t="str">
        <f t="shared" si="1"/>
        <v>RDHRMM</v>
      </c>
      <c r="E20" s="133" t="str">
        <f t="shared" si="0"/>
        <v xml:space="preserve">Residential Demand Heating Rural Multi -  - Medium </v>
      </c>
      <c r="F20" s="78" t="s">
        <v>46</v>
      </c>
      <c r="G20" s="78" t="s">
        <v>46</v>
      </c>
      <c r="H20" s="77"/>
      <c r="I20" s="83"/>
      <c r="J20" s="77"/>
      <c r="K20" s="77"/>
      <c r="L20" s="106" t="s">
        <v>806</v>
      </c>
      <c r="M20" s="127" t="s">
        <v>759</v>
      </c>
      <c r="N20" s="127" t="s">
        <v>741</v>
      </c>
      <c r="O20" s="127" t="s">
        <v>735</v>
      </c>
      <c r="Q20" s="106" t="s">
        <v>747</v>
      </c>
    </row>
    <row r="21" spans="2:17">
      <c r="B21" s="77"/>
      <c r="C21" s="77"/>
      <c r="D21" s="133" t="str">
        <f t="shared" si="1"/>
        <v>RDHRMH</v>
      </c>
      <c r="E21" s="133" t="str">
        <f t="shared" si="0"/>
        <v xml:space="preserve">Residential Demand Heating Rural Multi -  - High </v>
      </c>
      <c r="F21" s="78" t="s">
        <v>46</v>
      </c>
      <c r="G21" s="78" t="s">
        <v>46</v>
      </c>
      <c r="H21" s="77"/>
      <c r="I21" s="83"/>
      <c r="J21" s="77"/>
      <c r="K21" s="77"/>
      <c r="L21" s="106" t="s">
        <v>806</v>
      </c>
      <c r="M21" s="127" t="s">
        <v>759</v>
      </c>
      <c r="N21" s="127" t="s">
        <v>741</v>
      </c>
      <c r="O21" s="127" t="s">
        <v>735</v>
      </c>
      <c r="Q21" s="106" t="s">
        <v>748</v>
      </c>
    </row>
    <row r="22" spans="2:17">
      <c r="B22" s="495"/>
      <c r="C22" s="495"/>
      <c r="D22" s="490" t="str">
        <f t="shared" si="1"/>
        <v>RDHRMN</v>
      </c>
      <c r="E22" s="133" t="str">
        <f t="shared" si="0"/>
        <v xml:space="preserve">Residential Demand Heating Rural Multi -  - New </v>
      </c>
      <c r="F22" s="489" t="s">
        <v>46</v>
      </c>
      <c r="G22" s="489" t="s">
        <v>46</v>
      </c>
      <c r="H22" s="495"/>
      <c r="I22" s="498"/>
      <c r="J22" s="495"/>
      <c r="K22" s="77"/>
      <c r="L22" s="106" t="s">
        <v>806</v>
      </c>
      <c r="M22" s="127" t="s">
        <v>759</v>
      </c>
      <c r="N22" s="127" t="s">
        <v>741</v>
      </c>
      <c r="O22" s="127" t="s">
        <v>735</v>
      </c>
      <c r="Q22" s="106" t="s">
        <v>51</v>
      </c>
    </row>
    <row r="23" spans="2:17">
      <c r="B23" s="77"/>
      <c r="C23" s="77"/>
      <c r="D23" s="133" t="str">
        <f t="shared" si="1"/>
        <v>RDCUDL</v>
      </c>
      <c r="E23" s="133" t="str">
        <f t="shared" si="0"/>
        <v xml:space="preserve">Residential Demand Cooling Urban Detached -  - Low </v>
      </c>
      <c r="F23" s="78" t="s">
        <v>46</v>
      </c>
      <c r="G23" s="78" t="s">
        <v>46</v>
      </c>
      <c r="H23" s="77"/>
      <c r="I23" s="83"/>
      <c r="J23" s="77"/>
      <c r="K23" s="77"/>
      <c r="L23" s="106" t="s">
        <v>806</v>
      </c>
      <c r="M23" s="127" t="s">
        <v>293</v>
      </c>
      <c r="N23" s="127" t="s">
        <v>116</v>
      </c>
      <c r="O23" s="127" t="s">
        <v>734</v>
      </c>
      <c r="Q23" s="106" t="s">
        <v>746</v>
      </c>
    </row>
    <row r="24" spans="2:17">
      <c r="B24" s="77"/>
      <c r="C24" s="77"/>
      <c r="D24" s="133" t="str">
        <f t="shared" si="1"/>
        <v>RDCUDM</v>
      </c>
      <c r="E24" s="133" t="str">
        <f t="shared" si="0"/>
        <v xml:space="preserve">Residential Demand Cooling Urban Detached -  - Medium </v>
      </c>
      <c r="F24" s="78" t="s">
        <v>46</v>
      </c>
      <c r="G24" s="78" t="s">
        <v>46</v>
      </c>
      <c r="H24" s="77"/>
      <c r="I24" s="83"/>
      <c r="J24" s="77"/>
      <c r="K24" s="77"/>
      <c r="L24" s="106" t="s">
        <v>806</v>
      </c>
      <c r="M24" s="127" t="s">
        <v>293</v>
      </c>
      <c r="N24" s="127" t="s">
        <v>116</v>
      </c>
      <c r="O24" s="127" t="s">
        <v>734</v>
      </c>
      <c r="Q24" s="106" t="s">
        <v>747</v>
      </c>
    </row>
    <row r="25" spans="2:17">
      <c r="B25" s="77"/>
      <c r="C25" s="77"/>
      <c r="D25" s="133" t="str">
        <f t="shared" si="1"/>
        <v>RDCUDH</v>
      </c>
      <c r="E25" s="133" t="str">
        <f t="shared" si="0"/>
        <v xml:space="preserve">Residential Demand Cooling Urban Detached -  - High </v>
      </c>
      <c r="F25" s="78" t="s">
        <v>46</v>
      </c>
      <c r="G25" s="78" t="s">
        <v>46</v>
      </c>
      <c r="H25" s="77"/>
      <c r="I25" s="83"/>
      <c r="J25" s="77"/>
      <c r="K25" s="77"/>
      <c r="L25" s="106" t="s">
        <v>806</v>
      </c>
      <c r="M25" s="127" t="s">
        <v>293</v>
      </c>
      <c r="N25" s="127" t="s">
        <v>116</v>
      </c>
      <c r="O25" s="127" t="s">
        <v>734</v>
      </c>
      <c r="Q25" s="106" t="s">
        <v>748</v>
      </c>
    </row>
    <row r="26" spans="2:17">
      <c r="B26" s="77"/>
      <c r="C26" s="77"/>
      <c r="D26" s="133" t="str">
        <f t="shared" si="1"/>
        <v>RDCUDN</v>
      </c>
      <c r="E26" s="133" t="str">
        <f t="shared" si="0"/>
        <v xml:space="preserve">Residential Demand Cooling Urban Detached -  - New </v>
      </c>
      <c r="F26" s="78" t="s">
        <v>46</v>
      </c>
      <c r="G26" s="78" t="s">
        <v>46</v>
      </c>
      <c r="H26" s="77"/>
      <c r="I26" s="83"/>
      <c r="J26" s="77"/>
      <c r="K26" s="77"/>
      <c r="L26" s="106" t="s">
        <v>806</v>
      </c>
      <c r="M26" s="127" t="s">
        <v>293</v>
      </c>
      <c r="N26" s="127" t="s">
        <v>116</v>
      </c>
      <c r="O26" s="127" t="s">
        <v>734</v>
      </c>
      <c r="Q26" s="106" t="s">
        <v>51</v>
      </c>
    </row>
    <row r="27" spans="2:17">
      <c r="B27" s="77"/>
      <c r="C27" s="77"/>
      <c r="D27" s="133" t="str">
        <f t="shared" si="1"/>
        <v>RDCRDL</v>
      </c>
      <c r="E27" s="133" t="str">
        <f t="shared" si="0"/>
        <v xml:space="preserve">Residential Demand Cooling Rural Detached -  - Low </v>
      </c>
      <c r="F27" s="78" t="s">
        <v>46</v>
      </c>
      <c r="G27" s="78" t="s">
        <v>46</v>
      </c>
      <c r="H27" s="77"/>
      <c r="I27" s="83"/>
      <c r="J27" s="77"/>
      <c r="K27" s="77"/>
      <c r="L27" s="106" t="s">
        <v>806</v>
      </c>
      <c r="M27" s="127" t="s">
        <v>293</v>
      </c>
      <c r="N27" s="127" t="s">
        <v>116</v>
      </c>
      <c r="O27" s="127" t="s">
        <v>735</v>
      </c>
      <c r="Q27" s="106" t="s">
        <v>746</v>
      </c>
    </row>
    <row r="28" spans="2:17">
      <c r="B28" s="77"/>
      <c r="C28" s="77"/>
      <c r="D28" s="133" t="str">
        <f t="shared" si="1"/>
        <v>RDCRDM</v>
      </c>
      <c r="E28" s="133" t="str">
        <f t="shared" si="0"/>
        <v xml:space="preserve">Residential Demand Cooling Rural Detached -  - Medium </v>
      </c>
      <c r="F28" s="78" t="s">
        <v>46</v>
      </c>
      <c r="G28" s="78" t="s">
        <v>46</v>
      </c>
      <c r="H28" s="77"/>
      <c r="I28" s="83"/>
      <c r="J28" s="77"/>
      <c r="K28" s="77"/>
      <c r="L28" s="106" t="s">
        <v>806</v>
      </c>
      <c r="M28" s="127" t="s">
        <v>293</v>
      </c>
      <c r="N28" s="127" t="s">
        <v>116</v>
      </c>
      <c r="O28" s="127" t="s">
        <v>735</v>
      </c>
      <c r="Q28" s="106" t="s">
        <v>747</v>
      </c>
    </row>
    <row r="29" spans="2:17">
      <c r="B29" s="77"/>
      <c r="C29" s="77"/>
      <c r="D29" s="133" t="str">
        <f t="shared" si="1"/>
        <v>RDCRDH</v>
      </c>
      <c r="E29" s="133" t="str">
        <f t="shared" si="0"/>
        <v xml:space="preserve">Residential Demand Cooling Rural Detached -  - High </v>
      </c>
      <c r="F29" s="78" t="s">
        <v>46</v>
      </c>
      <c r="G29" s="78" t="s">
        <v>46</v>
      </c>
      <c r="H29" s="77"/>
      <c r="I29" s="83"/>
      <c r="J29" s="77"/>
      <c r="K29" s="77"/>
      <c r="L29" s="106" t="s">
        <v>806</v>
      </c>
      <c r="M29" s="127" t="s">
        <v>293</v>
      </c>
      <c r="N29" s="127" t="s">
        <v>116</v>
      </c>
      <c r="O29" s="127" t="s">
        <v>735</v>
      </c>
      <c r="Q29" s="106" t="s">
        <v>748</v>
      </c>
    </row>
    <row r="30" spans="2:17">
      <c r="B30" s="77"/>
      <c r="C30" s="77"/>
      <c r="D30" s="133" t="str">
        <f t="shared" si="1"/>
        <v>RDCRDN</v>
      </c>
      <c r="E30" s="133" t="str">
        <f t="shared" si="0"/>
        <v xml:space="preserve">Residential Demand Cooling Rural Detached -  - New </v>
      </c>
      <c r="F30" s="78" t="s">
        <v>46</v>
      </c>
      <c r="G30" s="78" t="s">
        <v>46</v>
      </c>
      <c r="H30" s="77"/>
      <c r="I30" s="83"/>
      <c r="J30" s="77"/>
      <c r="K30" s="77"/>
      <c r="L30" s="106" t="s">
        <v>806</v>
      </c>
      <c r="M30" s="127" t="s">
        <v>293</v>
      </c>
      <c r="N30" s="127" t="s">
        <v>116</v>
      </c>
      <c r="O30" s="127" t="s">
        <v>735</v>
      </c>
      <c r="Q30" s="106" t="s">
        <v>51</v>
      </c>
    </row>
    <row r="31" spans="2:17">
      <c r="B31" s="77"/>
      <c r="C31" s="77"/>
      <c r="D31" s="133" t="str">
        <f t="shared" si="1"/>
        <v>RDCUML</v>
      </c>
      <c r="E31" s="133" t="str">
        <f t="shared" si="0"/>
        <v xml:space="preserve">Residential Demand Cooling Urban Multi -  - Low </v>
      </c>
      <c r="F31" s="78" t="s">
        <v>46</v>
      </c>
      <c r="G31" s="78" t="s">
        <v>46</v>
      </c>
      <c r="H31" s="77"/>
      <c r="I31" s="83"/>
      <c r="J31" s="77"/>
      <c r="K31" s="77"/>
      <c r="L31" s="106" t="s">
        <v>806</v>
      </c>
      <c r="M31" s="127" t="s">
        <v>293</v>
      </c>
      <c r="N31" s="127" t="s">
        <v>741</v>
      </c>
      <c r="O31" s="127" t="s">
        <v>734</v>
      </c>
      <c r="Q31" s="106" t="s">
        <v>746</v>
      </c>
    </row>
    <row r="32" spans="2:17">
      <c r="B32" s="77"/>
      <c r="C32" s="77"/>
      <c r="D32" s="133" t="str">
        <f t="shared" si="1"/>
        <v>RDCUMM</v>
      </c>
      <c r="E32" s="133" t="str">
        <f t="shared" si="0"/>
        <v xml:space="preserve">Residential Demand Cooling Urban Multi -  - Medium </v>
      </c>
      <c r="F32" s="78" t="s">
        <v>46</v>
      </c>
      <c r="G32" s="78" t="s">
        <v>46</v>
      </c>
      <c r="H32" s="77"/>
      <c r="I32" s="83"/>
      <c r="J32" s="77"/>
      <c r="K32" s="77"/>
      <c r="L32" s="106" t="s">
        <v>806</v>
      </c>
      <c r="M32" s="127" t="s">
        <v>293</v>
      </c>
      <c r="N32" s="127" t="s">
        <v>741</v>
      </c>
      <c r="O32" s="127" t="s">
        <v>734</v>
      </c>
      <c r="Q32" s="106" t="s">
        <v>747</v>
      </c>
    </row>
    <row r="33" spans="2:20">
      <c r="B33" s="77"/>
      <c r="C33" s="77"/>
      <c r="D33" s="133" t="str">
        <f t="shared" si="1"/>
        <v>RDCUMH</v>
      </c>
      <c r="E33" s="133" t="str">
        <f t="shared" si="0"/>
        <v xml:space="preserve">Residential Demand Cooling Urban Multi -  - High </v>
      </c>
      <c r="F33" s="78" t="s">
        <v>46</v>
      </c>
      <c r="G33" s="78" t="s">
        <v>46</v>
      </c>
      <c r="H33" s="77"/>
      <c r="I33" s="83"/>
      <c r="J33" s="77"/>
      <c r="K33" s="77"/>
      <c r="L33" s="106" t="s">
        <v>806</v>
      </c>
      <c r="M33" s="127" t="s">
        <v>293</v>
      </c>
      <c r="N33" s="127" t="s">
        <v>741</v>
      </c>
      <c r="O33" s="127" t="s">
        <v>734</v>
      </c>
      <c r="Q33" s="106" t="s">
        <v>748</v>
      </c>
    </row>
    <row r="34" spans="2:20">
      <c r="B34" s="77"/>
      <c r="C34" s="77"/>
      <c r="D34" s="133" t="str">
        <f t="shared" si="1"/>
        <v>RDCUMN</v>
      </c>
      <c r="E34" s="133" t="str">
        <f t="shared" si="0"/>
        <v xml:space="preserve">Residential Demand Cooling Urban Multi -  - New </v>
      </c>
      <c r="F34" s="78" t="s">
        <v>46</v>
      </c>
      <c r="G34" s="78" t="s">
        <v>46</v>
      </c>
      <c r="H34" s="77"/>
      <c r="I34" s="83"/>
      <c r="J34" s="77"/>
      <c r="K34" s="77"/>
      <c r="L34" s="106" t="s">
        <v>806</v>
      </c>
      <c r="M34" s="127" t="s">
        <v>293</v>
      </c>
      <c r="N34" s="127" t="s">
        <v>741</v>
      </c>
      <c r="O34" s="127" t="s">
        <v>734</v>
      </c>
      <c r="Q34" s="106" t="s">
        <v>51</v>
      </c>
    </row>
    <row r="35" spans="2:20">
      <c r="B35" s="77"/>
      <c r="C35" s="77"/>
      <c r="D35" s="133" t="str">
        <f t="shared" si="1"/>
        <v>RDCRML</v>
      </c>
      <c r="E35" s="133" t="str">
        <f t="shared" si="0"/>
        <v xml:space="preserve">Residential Demand Cooling Rural Multi -  - Low </v>
      </c>
      <c r="F35" s="78" t="s">
        <v>46</v>
      </c>
      <c r="G35" s="78" t="s">
        <v>46</v>
      </c>
      <c r="H35" s="77"/>
      <c r="I35" s="83"/>
      <c r="J35" s="77"/>
      <c r="K35" s="77"/>
      <c r="L35" s="106" t="s">
        <v>806</v>
      </c>
      <c r="M35" s="127" t="s">
        <v>293</v>
      </c>
      <c r="N35" s="127" t="s">
        <v>741</v>
      </c>
      <c r="O35" s="127" t="s">
        <v>735</v>
      </c>
      <c r="Q35" s="106" t="s">
        <v>746</v>
      </c>
    </row>
    <row r="36" spans="2:20">
      <c r="B36" s="77"/>
      <c r="C36" s="77"/>
      <c r="D36" s="133" t="str">
        <f t="shared" si="1"/>
        <v>RDCRMM</v>
      </c>
      <c r="E36" s="133" t="str">
        <f t="shared" si="0"/>
        <v xml:space="preserve">Residential Demand Cooling Rural Multi -  - Medium </v>
      </c>
      <c r="F36" s="78" t="s">
        <v>46</v>
      </c>
      <c r="G36" s="78" t="s">
        <v>46</v>
      </c>
      <c r="H36" s="77"/>
      <c r="I36" s="83"/>
      <c r="J36" s="77"/>
      <c r="K36" s="77"/>
      <c r="L36" s="106" t="s">
        <v>806</v>
      </c>
      <c r="M36" s="127" t="s">
        <v>293</v>
      </c>
      <c r="N36" s="127" t="s">
        <v>741</v>
      </c>
      <c r="O36" s="127" t="s">
        <v>735</v>
      </c>
      <c r="Q36" s="106" t="s">
        <v>747</v>
      </c>
    </row>
    <row r="37" spans="2:20">
      <c r="B37" s="77"/>
      <c r="C37" s="77"/>
      <c r="D37" s="133" t="str">
        <f t="shared" si="1"/>
        <v>RDCRMH</v>
      </c>
      <c r="E37" s="133" t="str">
        <f t="shared" si="0"/>
        <v xml:space="preserve">Residential Demand Cooling Rural Multi -  - High </v>
      </c>
      <c r="F37" s="78" t="s">
        <v>46</v>
      </c>
      <c r="G37" s="78" t="s">
        <v>46</v>
      </c>
      <c r="H37" s="77"/>
      <c r="I37" s="83"/>
      <c r="J37" s="77"/>
      <c r="K37" s="77"/>
      <c r="L37" s="106" t="s">
        <v>806</v>
      </c>
      <c r="M37" s="127" t="s">
        <v>293</v>
      </c>
      <c r="N37" s="127" t="s">
        <v>741</v>
      </c>
      <c r="O37" s="127" t="s">
        <v>735</v>
      </c>
      <c r="Q37" s="106" t="s">
        <v>748</v>
      </c>
    </row>
    <row r="38" spans="2:20">
      <c r="B38" s="495"/>
      <c r="C38" s="495"/>
      <c r="D38" s="490" t="str">
        <f t="shared" si="1"/>
        <v>RDCRMN</v>
      </c>
      <c r="E38" s="490" t="str">
        <f t="shared" si="0"/>
        <v xml:space="preserve">Residential Demand Cooling Rural Multi -  - New </v>
      </c>
      <c r="F38" s="489" t="s">
        <v>46</v>
      </c>
      <c r="G38" s="489" t="s">
        <v>46</v>
      </c>
      <c r="H38" s="495"/>
      <c r="I38" s="498"/>
      <c r="J38" s="495"/>
      <c r="K38" s="77"/>
      <c r="L38" s="106" t="s">
        <v>806</v>
      </c>
      <c r="M38" s="127" t="s">
        <v>293</v>
      </c>
      <c r="N38" s="127" t="s">
        <v>741</v>
      </c>
      <c r="O38" s="127" t="s">
        <v>735</v>
      </c>
      <c r="Q38" s="106" t="s">
        <v>51</v>
      </c>
    </row>
    <row r="39" spans="2:20" ht="13.8">
      <c r="B39" s="77"/>
      <c r="C39" s="77"/>
      <c r="D39" s="133" t="str">
        <f t="shared" si="1"/>
        <v>RFTLPGE1</v>
      </c>
      <c r="E39" s="133" t="str">
        <f t="shared" si="0"/>
        <v>Residential Food (Cooking) Technology   - LPG - Existing 1</v>
      </c>
      <c r="F39" s="133" t="s">
        <v>44</v>
      </c>
      <c r="G39" s="133" t="s">
        <v>65</v>
      </c>
      <c r="H39" s="79" t="s">
        <v>112</v>
      </c>
      <c r="I39" s="83"/>
      <c r="J39" s="77"/>
      <c r="K39" s="77"/>
      <c r="L39" s="133" t="s">
        <v>824</v>
      </c>
      <c r="M39" s="127" t="s">
        <v>766</v>
      </c>
      <c r="O39" s="127"/>
      <c r="P39" t="str">
        <f t="shared" ref="P39:P46" si="2">RIGHT(S39,LEN(S39)-3)</f>
        <v>LPG</v>
      </c>
      <c r="Q39" s="106" t="s">
        <v>825</v>
      </c>
      <c r="R39">
        <v>1</v>
      </c>
      <c r="S39" s="259" t="str">
        <f>Commodities!$C$20</f>
        <v>RESLPG</v>
      </c>
      <c r="T39" t="str">
        <f>VLOOKUP(S39,Commodities!$C$18:$R$37,16,FALSE)</f>
        <v>LPG</v>
      </c>
    </row>
    <row r="40" spans="2:20" ht="13.8">
      <c r="B40" s="77"/>
      <c r="C40" s="77"/>
      <c r="D40" s="133" t="str">
        <f t="shared" si="1"/>
        <v>RFTNGAE1</v>
      </c>
      <c r="E40" s="133" t="str">
        <f t="shared" si="0"/>
        <v>Residential Food (Cooking) Technology   - Natural Gas - Existing 1</v>
      </c>
      <c r="F40" s="133" t="s">
        <v>44</v>
      </c>
      <c r="G40" s="133" t="s">
        <v>65</v>
      </c>
      <c r="H40" s="79" t="s">
        <v>112</v>
      </c>
      <c r="I40" s="83"/>
      <c r="J40" s="77"/>
      <c r="K40" s="77"/>
      <c r="L40" s="133" t="s">
        <v>824</v>
      </c>
      <c r="M40" s="127" t="s">
        <v>766</v>
      </c>
      <c r="O40" s="127"/>
      <c r="P40" t="str">
        <f t="shared" si="2"/>
        <v>NGA</v>
      </c>
      <c r="Q40" s="106" t="s">
        <v>825</v>
      </c>
      <c r="R40">
        <v>1</v>
      </c>
      <c r="S40" s="259" t="str">
        <f>Commodities!$C$18</f>
        <v>RESNGA</v>
      </c>
      <c r="T40" t="str">
        <f>VLOOKUP(S40,Commodities!$C$18:$R$37,16,FALSE)</f>
        <v>Natural Gas</v>
      </c>
    </row>
    <row r="41" spans="2:20" s="617" customFormat="1" ht="13.8">
      <c r="B41" s="624"/>
      <c r="C41" s="624"/>
      <c r="D41" s="625" t="str">
        <f t="shared" ref="D41" si="3">LEFT($D$2,1)&amp;LEFT(L41,1)&amp;LEFT(M41,1)&amp;LEFT(O41,1)&amp;LEFT(N41,1)&amp;P41&amp;LEFT(Q41,1)&amp;R41</f>
        <v>RFTELCOE1</v>
      </c>
      <c r="E41" s="625" t="str">
        <f t="shared" ref="E41" si="4">$E$2&amp;" "&amp;L41&amp;" "&amp;M41&amp;" "&amp;O41&amp;" "&amp;N41&amp;" - "&amp;T41&amp;" - "&amp;Q41&amp;" "&amp;R41</f>
        <v>Residential Food (Cooking) Technology   - Electricity Cooking - Existing 1</v>
      </c>
      <c r="F41" s="625" t="s">
        <v>44</v>
      </c>
      <c r="G41" s="625" t="s">
        <v>65</v>
      </c>
      <c r="H41" s="616" t="s">
        <v>112</v>
      </c>
      <c r="I41" s="626"/>
      <c r="J41" s="624"/>
      <c r="K41" s="624"/>
      <c r="L41" s="625" t="s">
        <v>824</v>
      </c>
      <c r="M41" s="627" t="s">
        <v>766</v>
      </c>
      <c r="O41" s="627"/>
      <c r="P41" s="617" t="str">
        <f>RIGHT(S41,LEN(S41)-3)</f>
        <v>ELCO</v>
      </c>
      <c r="Q41" s="628" t="s">
        <v>825</v>
      </c>
      <c r="R41" s="617">
        <v>1</v>
      </c>
      <c r="S41" s="629" t="str">
        <f>Commodities!$C$31</f>
        <v>RESELCO</v>
      </c>
      <c r="T41" s="617" t="str">
        <f>VLOOKUP(S41,Commodities!$C$18:$R$37,16,FALSE)</f>
        <v>Electricity Cooking</v>
      </c>
    </row>
    <row r="42" spans="2:20" s="617" customFormat="1" ht="13.8">
      <c r="B42" s="624"/>
      <c r="C42" s="624"/>
      <c r="D42" s="625" t="str">
        <f t="shared" ref="D42" si="5">LEFT($D$2,1)&amp;LEFT(L42,1)&amp;LEFT(M42,1)&amp;LEFT(O42,1)&amp;LEFT(N42,1)&amp;P42&amp;LEFT(Q42,1)&amp;R42</f>
        <v>RFTFIWE1</v>
      </c>
      <c r="E42" s="625" t="str">
        <f t="shared" ref="E42" si="6">$E$2&amp;" "&amp;L42&amp;" "&amp;M42&amp;" "&amp;O42&amp;" "&amp;N42&amp;" - "&amp;T42&amp;" - "&amp;Q42&amp;" "&amp;R42</f>
        <v>Residential Food (Cooking) Technology   - Fire wood - Existing 1</v>
      </c>
      <c r="F42" s="625" t="s">
        <v>44</v>
      </c>
      <c r="G42" s="625" t="s">
        <v>65</v>
      </c>
      <c r="H42" s="616" t="s">
        <v>112</v>
      </c>
      <c r="I42" s="626"/>
      <c r="J42" s="624"/>
      <c r="K42" s="624"/>
      <c r="L42" s="625" t="s">
        <v>824</v>
      </c>
      <c r="M42" s="627" t="s">
        <v>766</v>
      </c>
      <c r="O42" s="627"/>
      <c r="P42" s="617" t="str">
        <f>RIGHT(S42,LEN(S42)-3)</f>
        <v>FIW</v>
      </c>
      <c r="Q42" s="628" t="s">
        <v>825</v>
      </c>
      <c r="R42" s="617">
        <v>1</v>
      </c>
      <c r="S42" s="629" t="str">
        <f>Commodities!$C$24</f>
        <v>RESFIW</v>
      </c>
      <c r="T42" s="617" t="str">
        <f>VLOOKUP(S42,Commodities!$C$18:$R$37,16,FALSE)</f>
        <v>Fire wood</v>
      </c>
    </row>
    <row r="43" spans="2:20" ht="13.8">
      <c r="B43" s="77"/>
      <c r="C43" s="77"/>
      <c r="D43" s="133" t="str">
        <f t="shared" si="1"/>
        <v>RATELCAE1</v>
      </c>
      <c r="E43" s="133" t="str">
        <f t="shared" si="0"/>
        <v>Residential Appliances Technology   - Electricity Appliances - Existing 1</v>
      </c>
      <c r="F43" s="133" t="s">
        <v>44</v>
      </c>
      <c r="G43" s="133" t="s">
        <v>65</v>
      </c>
      <c r="H43" s="79" t="s">
        <v>112</v>
      </c>
      <c r="I43" s="83"/>
      <c r="J43" s="77"/>
      <c r="K43" s="77"/>
      <c r="L43" s="133" t="s">
        <v>292</v>
      </c>
      <c r="M43" s="127" t="s">
        <v>766</v>
      </c>
      <c r="O43" s="127"/>
      <c r="P43" t="str">
        <f t="shared" si="2"/>
        <v>ELCA</v>
      </c>
      <c r="Q43" s="106" t="s">
        <v>825</v>
      </c>
      <c r="R43">
        <v>1</v>
      </c>
      <c r="S43" s="259" t="str">
        <f>Commodities!$C$30</f>
        <v>RESELCA</v>
      </c>
      <c r="T43" t="str">
        <f>VLOOKUP(S43,Commodities!$C$18:$R$37,16,FALSE)</f>
        <v>Electricity Appliances</v>
      </c>
    </row>
    <row r="44" spans="2:20">
      <c r="B44" s="77"/>
      <c r="C44" s="77"/>
      <c r="D44" s="133" t="str">
        <f t="shared" si="1"/>
        <v>RATGSLE1</v>
      </c>
      <c r="E44" s="133" t="str">
        <f t="shared" si="0"/>
        <v>Residential Appliances Technology   - Gasoline - Existing 1</v>
      </c>
      <c r="F44" s="133" t="s">
        <v>44</v>
      </c>
      <c r="G44" s="133" t="s">
        <v>65</v>
      </c>
      <c r="H44" s="79" t="s">
        <v>112</v>
      </c>
      <c r="I44" s="83"/>
      <c r="J44" s="77"/>
      <c r="K44" s="77"/>
      <c r="L44" s="133" t="s">
        <v>292</v>
      </c>
      <c r="M44" s="127" t="s">
        <v>766</v>
      </c>
      <c r="O44" s="127"/>
      <c r="P44" t="str">
        <f t="shared" si="2"/>
        <v>GSL</v>
      </c>
      <c r="Q44" s="106" t="s">
        <v>825</v>
      </c>
      <c r="R44">
        <v>1</v>
      </c>
      <c r="S44" s="1" t="str">
        <f>Commodities!$C$22</f>
        <v>RESGSL</v>
      </c>
      <c r="T44" t="str">
        <f>VLOOKUP(S44,Commodities!$C$18:$R$37,16,FALSE)</f>
        <v>Gasoline</v>
      </c>
    </row>
    <row r="45" spans="2:20" ht="13.8">
      <c r="B45" s="77"/>
      <c r="C45" s="77"/>
      <c r="D45" s="133" t="str">
        <f t="shared" si="1"/>
        <v>RWTLPGE1</v>
      </c>
      <c r="E45" s="133" t="str">
        <f t="shared" si="0"/>
        <v>Residential Water Hot Technology   - LPG - Existing 1</v>
      </c>
      <c r="F45" s="133" t="s">
        <v>44</v>
      </c>
      <c r="G45" s="133" t="s">
        <v>65</v>
      </c>
      <c r="H45" s="79" t="s">
        <v>112</v>
      </c>
      <c r="I45" s="83"/>
      <c r="J45" s="77"/>
      <c r="K45" s="77"/>
      <c r="L45" s="133" t="s">
        <v>808</v>
      </c>
      <c r="M45" s="127" t="s">
        <v>766</v>
      </c>
      <c r="O45" s="127"/>
      <c r="P45" t="str">
        <f t="shared" si="2"/>
        <v>LPG</v>
      </c>
      <c r="Q45" s="106" t="s">
        <v>825</v>
      </c>
      <c r="R45">
        <v>1</v>
      </c>
      <c r="S45" s="259" t="str">
        <f>Commodities!$C$20</f>
        <v>RESLPG</v>
      </c>
      <c r="T45" t="str">
        <f>VLOOKUP(S45,Commodities!$C$18:$R$37,16,FALSE)</f>
        <v>LPG</v>
      </c>
    </row>
    <row r="46" spans="2:20" ht="13.8">
      <c r="B46" s="495"/>
      <c r="C46" s="495"/>
      <c r="D46" s="490" t="str">
        <f t="shared" si="1"/>
        <v>RWTNGAE1</v>
      </c>
      <c r="E46" s="490" t="str">
        <f t="shared" si="0"/>
        <v>Residential Water Hot Technology   - Natural Gas - Existing 1</v>
      </c>
      <c r="F46" s="490" t="s">
        <v>44</v>
      </c>
      <c r="G46" s="490" t="s">
        <v>65</v>
      </c>
      <c r="H46" s="493" t="s">
        <v>112</v>
      </c>
      <c r="I46" s="498"/>
      <c r="J46" s="495"/>
      <c r="K46" s="495"/>
      <c r="L46" s="490" t="s">
        <v>808</v>
      </c>
      <c r="M46" s="555" t="s">
        <v>766</v>
      </c>
      <c r="N46" s="187"/>
      <c r="O46" s="555"/>
      <c r="P46" s="187" t="str">
        <f t="shared" si="2"/>
        <v>NGA</v>
      </c>
      <c r="Q46" s="474" t="s">
        <v>825</v>
      </c>
      <c r="R46" s="187">
        <v>1</v>
      </c>
      <c r="S46" s="423" t="str">
        <f>Commodities!$C$18</f>
        <v>RESNGA</v>
      </c>
      <c r="T46" t="str">
        <f>VLOOKUP(S46,Commodities!$C$18:$R$37,16,FALSE)</f>
        <v>Natural Gas</v>
      </c>
    </row>
    <row r="47" spans="2:20" s="617" customFormat="1" ht="13.8">
      <c r="B47" s="634"/>
      <c r="C47" s="634"/>
      <c r="D47" s="633" t="str">
        <f t="shared" ref="D47" si="7">LEFT($D$2,1)&amp;LEFT(L47,1)&amp;LEFT(M47,1)&amp;LEFT(O47,1)&amp;LEFT(N47,1)&amp;P47&amp;LEFT(Q47,1)&amp;R47</f>
        <v>RWTDSLE1</v>
      </c>
      <c r="E47" s="633" t="str">
        <f t="shared" ref="E47" si="8">$E$2&amp;" "&amp;L47&amp;" "&amp;M47&amp;" "&amp;O47&amp;" "&amp;N47&amp;" - "&amp;T47&amp;" - "&amp;Q47&amp;" "&amp;R47</f>
        <v>Residential Water Hot Technology   - Diesel - Existing 1</v>
      </c>
      <c r="F47" s="633" t="s">
        <v>44</v>
      </c>
      <c r="G47" s="633" t="s">
        <v>65</v>
      </c>
      <c r="H47" s="635" t="s">
        <v>112</v>
      </c>
      <c r="I47" s="636"/>
      <c r="J47" s="634"/>
      <c r="K47" s="634"/>
      <c r="L47" s="633" t="s">
        <v>808</v>
      </c>
      <c r="M47" s="637" t="s">
        <v>766</v>
      </c>
      <c r="N47" s="638"/>
      <c r="O47" s="637"/>
      <c r="P47" s="638" t="str">
        <f t="shared" ref="P47" si="9">RIGHT(S47,LEN(S47)-3)</f>
        <v>DSL</v>
      </c>
      <c r="Q47" s="637" t="s">
        <v>825</v>
      </c>
      <c r="R47" s="638">
        <v>1</v>
      </c>
      <c r="S47" s="639" t="str">
        <f>Commodities!$C$21</f>
        <v>RESDSL</v>
      </c>
      <c r="T47" s="617" t="str">
        <f>VLOOKUP(S47,Commodities!$C$18:$R$37,16,FALSE)</f>
        <v>Diesel</v>
      </c>
    </row>
    <row r="48" spans="2:20" s="617" customFormat="1" ht="13.8">
      <c r="B48" s="634"/>
      <c r="C48" s="634"/>
      <c r="D48" s="633" t="str">
        <f t="shared" ref="D48" si="10">LEFT($D$2,1)&amp;LEFT(L48,1)&amp;LEFT(M48,1)&amp;LEFT(O48,1)&amp;LEFT(N48,1)&amp;P48&amp;LEFT(Q48,1)&amp;R48</f>
        <v>RWTSOLE1</v>
      </c>
      <c r="E48" s="633" t="str">
        <f t="shared" ref="E48" si="11">$E$2&amp;" "&amp;L48&amp;" "&amp;M48&amp;" "&amp;O48&amp;" "&amp;N48&amp;" - "&amp;T48&amp;" - "&amp;Q48&amp;" "&amp;R48</f>
        <v>Residential Water Hot Technology   - Solar - Existing 1</v>
      </c>
      <c r="F48" s="633" t="s">
        <v>44</v>
      </c>
      <c r="G48" s="633" t="s">
        <v>65</v>
      </c>
      <c r="H48" s="635" t="s">
        <v>112</v>
      </c>
      <c r="I48" s="636"/>
      <c r="J48" s="634"/>
      <c r="K48" s="634"/>
      <c r="L48" s="633" t="s">
        <v>808</v>
      </c>
      <c r="M48" s="637" t="s">
        <v>766</v>
      </c>
      <c r="N48" s="638"/>
      <c r="O48" s="637"/>
      <c r="P48" s="638" t="str">
        <f t="shared" ref="P48" si="12">RIGHT(S48,LEN(S48)-3)</f>
        <v>SOL</v>
      </c>
      <c r="Q48" s="637" t="s">
        <v>825</v>
      </c>
      <c r="R48" s="638">
        <v>1</v>
      </c>
      <c r="S48" s="639" t="str">
        <f>Commodities!$C$27</f>
        <v>RESSOL</v>
      </c>
      <c r="T48" s="617" t="str">
        <f>VLOOKUP(S48,Commodities!$C$18:$R$37,16,FALSE)</f>
        <v>Solar</v>
      </c>
    </row>
    <row r="49" spans="2:20" s="617" customFormat="1" ht="13.8">
      <c r="B49" s="634"/>
      <c r="C49" s="634"/>
      <c r="D49" s="633" t="str">
        <f t="shared" ref="D49" si="13">LEFT($D$2,1)&amp;LEFT(L49,1)&amp;LEFT(M49,1)&amp;LEFT(O49,1)&amp;LEFT(N49,1)&amp;P49&amp;LEFT(Q49,1)&amp;R49</f>
        <v>RWTELCHE1</v>
      </c>
      <c r="E49" s="633" t="str">
        <f t="shared" ref="E49" si="14">$E$2&amp;" "&amp;L49&amp;" "&amp;M49&amp;" "&amp;O49&amp;" "&amp;N49&amp;" - "&amp;T49&amp;" - "&amp;Q49&amp;" "&amp;R49</f>
        <v>Residential Water Hot Technology   - Electricity Heating - Existing 1</v>
      </c>
      <c r="F49" s="633" t="s">
        <v>44</v>
      </c>
      <c r="G49" s="633" t="s">
        <v>65</v>
      </c>
      <c r="H49" s="635" t="s">
        <v>112</v>
      </c>
      <c r="I49" s="636"/>
      <c r="J49" s="634"/>
      <c r="K49" s="634"/>
      <c r="L49" s="633" t="s">
        <v>808</v>
      </c>
      <c r="M49" s="637" t="s">
        <v>766</v>
      </c>
      <c r="N49" s="638"/>
      <c r="O49" s="637"/>
      <c r="P49" s="638" t="str">
        <f t="shared" ref="P49" si="15">RIGHT(S49,LEN(S49)-3)</f>
        <v>ELCH</v>
      </c>
      <c r="Q49" s="637" t="s">
        <v>825</v>
      </c>
      <c r="R49" s="638">
        <v>1</v>
      </c>
      <c r="S49" s="639" t="str">
        <f>Commodities!$C$28</f>
        <v>RESELCH</v>
      </c>
      <c r="T49" s="617" t="str">
        <f>VLOOKUP(S49,Commodities!$C$18:$R$37,16,FALSE)</f>
        <v>Electricity Heating</v>
      </c>
    </row>
    <row r="50" spans="2:20" s="617" customFormat="1" ht="13.8">
      <c r="B50" s="634"/>
      <c r="C50" s="634"/>
      <c r="D50" s="633" t="str">
        <f t="shared" ref="D50" si="16">LEFT($D$2,1)&amp;LEFT(L50,1)&amp;LEFT(M50,1)&amp;LEFT(O50,1)&amp;LEFT(N50,1)&amp;P50&amp;LEFT(Q50,1)&amp;R50</f>
        <v>RWTFIWE1</v>
      </c>
      <c r="E50" s="633" t="str">
        <f t="shared" ref="E50" si="17">$E$2&amp;" "&amp;L50&amp;" "&amp;M50&amp;" "&amp;O50&amp;" "&amp;N50&amp;" - "&amp;T50&amp;" - "&amp;Q50&amp;" "&amp;R50</f>
        <v>Residential Water Hot Technology   - Fire wood - Existing 1</v>
      </c>
      <c r="F50" s="633" t="s">
        <v>44</v>
      </c>
      <c r="G50" s="633" t="s">
        <v>65</v>
      </c>
      <c r="H50" s="635" t="s">
        <v>112</v>
      </c>
      <c r="I50" s="636"/>
      <c r="J50" s="634"/>
      <c r="K50" s="634"/>
      <c r="L50" s="633" t="s">
        <v>808</v>
      </c>
      <c r="M50" s="637" t="s">
        <v>766</v>
      </c>
      <c r="N50" s="638"/>
      <c r="O50" s="637"/>
      <c r="P50" s="638" t="str">
        <f t="shared" ref="P50" si="18">RIGHT(S50,LEN(S50)-3)</f>
        <v>FIW</v>
      </c>
      <c r="Q50" s="637" t="s">
        <v>825</v>
      </c>
      <c r="R50" s="638">
        <v>1</v>
      </c>
      <c r="S50" s="639" t="str">
        <f>Commodities!$C$24</f>
        <v>RESFIW</v>
      </c>
      <c r="T50" s="617" t="str">
        <f>VLOOKUP(S50,Commodities!$C$18:$R$37,16,FALSE)</f>
        <v>Fire wood</v>
      </c>
    </row>
    <row r="51" spans="2:20" s="617" customFormat="1" ht="13.8">
      <c r="B51" s="634"/>
      <c r="C51" s="634"/>
      <c r="D51" s="633" t="str">
        <f t="shared" ref="D51" si="19">LEFT($D$2,1)&amp;LEFT(L51,1)&amp;LEFT(M51,1)&amp;LEFT(O51,1)&amp;LEFT(N51,1)&amp;P51&amp;LEFT(Q51,1)&amp;R51</f>
        <v>RWTELCWE1</v>
      </c>
      <c r="E51" s="633" t="str">
        <f t="shared" ref="E51" si="20">$E$2&amp;" "&amp;L51&amp;" "&amp;M51&amp;" "&amp;O51&amp;" "&amp;N51&amp;" - "&amp;T51&amp;" - "&amp;Q51&amp;" "&amp;R51</f>
        <v>Residential Water Hot Technology   - Electricity Water Heating - Existing 1</v>
      </c>
      <c r="F51" s="633" t="s">
        <v>44</v>
      </c>
      <c r="G51" s="633" t="s">
        <v>65</v>
      </c>
      <c r="H51" s="635" t="s">
        <v>112</v>
      </c>
      <c r="I51" s="636"/>
      <c r="J51" s="634"/>
      <c r="K51" s="634"/>
      <c r="L51" s="633" t="s">
        <v>808</v>
      </c>
      <c r="M51" s="637" t="s">
        <v>766</v>
      </c>
      <c r="N51" s="638"/>
      <c r="O51" s="637"/>
      <c r="P51" s="638" t="str">
        <f t="shared" ref="P51" si="21">RIGHT(S51,LEN(S51)-3)</f>
        <v>ELCW</v>
      </c>
      <c r="Q51" s="637" t="s">
        <v>825</v>
      </c>
      <c r="R51" s="638">
        <v>1</v>
      </c>
      <c r="S51" s="639" t="str">
        <f>Commodities!$C$32</f>
        <v>RESELCW</v>
      </c>
      <c r="T51" s="617" t="str">
        <f>VLOOKUP(S51,Commodities!$C$18:$R$37,16,FALSE)</f>
        <v>Electricity Water Heating</v>
      </c>
    </row>
    <row r="52" spans="2:20" s="617" customFormat="1" ht="13.8">
      <c r="B52" s="634"/>
      <c r="C52" s="634"/>
      <c r="D52" s="633" t="str">
        <f t="shared" ref="D52" si="22">LEFT($D$2,1)&amp;LEFT(L52,1)&amp;LEFT(M52,1)&amp;LEFT(O52,1)&amp;LEFT(N52,1)&amp;P52&amp;LEFT(Q52,1)&amp;R52</f>
        <v>RWTHCEE1</v>
      </c>
      <c r="E52" s="633" t="str">
        <f t="shared" ref="E52" si="23">$E$2&amp;" "&amp;L52&amp;" "&amp;M52&amp;" "&amp;O52&amp;" "&amp;N52&amp;" - "&amp;T52&amp;" - "&amp;Q52&amp;" "&amp;R52</f>
        <v>Residential Water Hot Technology   - District heating Central - Existing 1</v>
      </c>
      <c r="F52" s="633" t="s">
        <v>44</v>
      </c>
      <c r="G52" s="633" t="s">
        <v>65</v>
      </c>
      <c r="H52" s="635" t="s">
        <v>112</v>
      </c>
      <c r="I52" s="636"/>
      <c r="J52" s="634"/>
      <c r="K52" s="634"/>
      <c r="L52" s="633" t="s">
        <v>808</v>
      </c>
      <c r="M52" s="637" t="s">
        <v>766</v>
      </c>
      <c r="N52" s="638"/>
      <c r="O52" s="637"/>
      <c r="P52" s="638" t="str">
        <f t="shared" ref="P52" si="24">RIGHT(S52,LEN(S52)-3)</f>
        <v>HCE</v>
      </c>
      <c r="Q52" s="637" t="s">
        <v>825</v>
      </c>
      <c r="R52" s="638">
        <v>1</v>
      </c>
      <c r="S52" s="639" t="str">
        <f>Commodities!$C$33</f>
        <v>RESHCE</v>
      </c>
      <c r="T52" s="617" t="str">
        <f>VLOOKUP(S52,Commodities!$C$18:$R$37,16,FALSE)</f>
        <v>District heating Central</v>
      </c>
    </row>
    <row r="53" spans="2:20" ht="13.8">
      <c r="B53" s="85" t="s">
        <v>64</v>
      </c>
      <c r="C53" s="69"/>
      <c r="D53" s="133" t="str">
        <f t="shared" si="1"/>
        <v>RHTUDNGAE1</v>
      </c>
      <c r="E53" s="86" t="str">
        <f t="shared" si="0"/>
        <v>Residential Heating Technology Urban Detached - Natural Gas - Existing 1</v>
      </c>
      <c r="F53" s="68" t="s">
        <v>44</v>
      </c>
      <c r="G53" s="68" t="s">
        <v>65</v>
      </c>
      <c r="H53" s="79" t="s">
        <v>112</v>
      </c>
      <c r="I53" s="64"/>
      <c r="J53" s="64"/>
      <c r="K53" s="64"/>
      <c r="L53" s="133" t="s">
        <v>759</v>
      </c>
      <c r="M53" s="127" t="s">
        <v>766</v>
      </c>
      <c r="N53" s="127" t="s">
        <v>116</v>
      </c>
      <c r="O53" s="127" t="s">
        <v>734</v>
      </c>
      <c r="P53" t="str">
        <f>RIGHT(S53,LEN(S53)-3)</f>
        <v>NGA</v>
      </c>
      <c r="Q53" s="106" t="s">
        <v>825</v>
      </c>
      <c r="R53">
        <v>1</v>
      </c>
      <c r="S53" s="230" t="str">
        <f>Commodities!$C$18</f>
        <v>RESNGA</v>
      </c>
      <c r="T53" t="str">
        <f>VLOOKUP(S53,Commodities!$C$18:$R$37,16,FALSE)</f>
        <v>Natural Gas</v>
      </c>
    </row>
    <row r="54" spans="2:20" ht="13.8">
      <c r="B54" s="69"/>
      <c r="C54" s="69"/>
      <c r="D54" s="68" t="str">
        <f t="shared" si="1"/>
        <v>RHTUDDSLE1</v>
      </c>
      <c r="E54" s="86" t="str">
        <f t="shared" si="0"/>
        <v>Residential Heating Technology Urban Detached - Diesel - Existing 1</v>
      </c>
      <c r="F54" s="68" t="s">
        <v>44</v>
      </c>
      <c r="G54" s="68" t="s">
        <v>65</v>
      </c>
      <c r="H54" s="79" t="s">
        <v>112</v>
      </c>
      <c r="I54" s="64"/>
      <c r="J54" s="64"/>
      <c r="K54" s="64"/>
      <c r="L54" s="133" t="s">
        <v>759</v>
      </c>
      <c r="M54" s="127" t="s">
        <v>766</v>
      </c>
      <c r="N54" s="127" t="s">
        <v>116</v>
      </c>
      <c r="O54" s="127" t="s">
        <v>734</v>
      </c>
      <c r="P54" t="str">
        <f t="shared" ref="P54:P72" si="25">RIGHT(S54,LEN(S54)-3)</f>
        <v>DSL</v>
      </c>
      <c r="Q54" s="106" t="s">
        <v>825</v>
      </c>
      <c r="R54">
        <v>1</v>
      </c>
      <c r="S54" s="230" t="str">
        <f>Commodities!$C$21</f>
        <v>RESDSL</v>
      </c>
      <c r="T54" t="str">
        <f>VLOOKUP(S54,Commodities!$C$18:$R$37,16,FALSE)</f>
        <v>Diesel</v>
      </c>
    </row>
    <row r="55" spans="2:20" ht="13.8">
      <c r="B55" s="69"/>
      <c r="C55" s="69"/>
      <c r="D55" s="68" t="str">
        <f t="shared" si="1"/>
        <v>RHTUDWPEE1</v>
      </c>
      <c r="E55" s="148" t="str">
        <f t="shared" si="0"/>
        <v>Residential Heating Technology Urban Detached - Wood pellets - Existing 1</v>
      </c>
      <c r="F55" s="68" t="s">
        <v>44</v>
      </c>
      <c r="G55" s="68" t="s">
        <v>65</v>
      </c>
      <c r="H55" s="79" t="s">
        <v>112</v>
      </c>
      <c r="I55" s="64"/>
      <c r="J55" s="64"/>
      <c r="K55" s="64"/>
      <c r="L55" s="133" t="s">
        <v>759</v>
      </c>
      <c r="M55" s="127" t="s">
        <v>766</v>
      </c>
      <c r="N55" s="127" t="s">
        <v>116</v>
      </c>
      <c r="O55" s="127" t="s">
        <v>734</v>
      </c>
      <c r="P55" t="str">
        <f t="shared" si="25"/>
        <v>WPE</v>
      </c>
      <c r="Q55" s="106" t="s">
        <v>825</v>
      </c>
      <c r="R55">
        <v>1</v>
      </c>
      <c r="S55" s="230" t="str">
        <f>Commodities!$C$23</f>
        <v>RESWPE</v>
      </c>
      <c r="T55" t="str">
        <f>VLOOKUP(S55,Commodities!$C$18:$R$37,16,FALSE)</f>
        <v>Wood pellets</v>
      </c>
    </row>
    <row r="56" spans="2:20" ht="13.8">
      <c r="B56" s="69"/>
      <c r="C56" s="69"/>
      <c r="D56" s="68" t="str">
        <f t="shared" si="1"/>
        <v>RHTUDFIWE1</v>
      </c>
      <c r="E56" s="148" t="str">
        <f t="shared" si="0"/>
        <v>Residential Heating Technology Urban Detached - Fire wood - Existing 1</v>
      </c>
      <c r="F56" s="68" t="s">
        <v>44</v>
      </c>
      <c r="G56" s="68" t="s">
        <v>65</v>
      </c>
      <c r="H56" s="79" t="s">
        <v>112</v>
      </c>
      <c r="I56" s="64"/>
      <c r="J56" s="64"/>
      <c r="K56" s="64"/>
      <c r="L56" s="133" t="s">
        <v>759</v>
      </c>
      <c r="M56" s="127" t="s">
        <v>766</v>
      </c>
      <c r="N56" s="127" t="s">
        <v>116</v>
      </c>
      <c r="O56" s="127" t="s">
        <v>734</v>
      </c>
      <c r="P56" t="str">
        <f t="shared" si="25"/>
        <v>FIW</v>
      </c>
      <c r="Q56" s="106" t="s">
        <v>825</v>
      </c>
      <c r="R56">
        <v>1</v>
      </c>
      <c r="S56" s="230" t="str">
        <f>Commodities!$C$24</f>
        <v>RESFIW</v>
      </c>
      <c r="T56" t="str">
        <f>VLOOKUP(S56,Commodities!$C$18:$R$37,16,FALSE)</f>
        <v>Fire wood</v>
      </c>
    </row>
    <row r="57" spans="2:20" s="617" customFormat="1" ht="13.8">
      <c r="B57" s="613"/>
      <c r="C57" s="613"/>
      <c r="D57" s="615" t="str">
        <f t="shared" si="1"/>
        <v>RHTUDCOAE1</v>
      </c>
      <c r="E57" s="630" t="str">
        <f t="shared" si="0"/>
        <v>Residential Heating Technology Urban Detached - Coal - Existing 1</v>
      </c>
      <c r="F57" s="615" t="s">
        <v>44</v>
      </c>
      <c r="G57" s="615" t="s">
        <v>65</v>
      </c>
      <c r="H57" s="616" t="s">
        <v>112</v>
      </c>
      <c r="I57" s="613"/>
      <c r="J57" s="613"/>
      <c r="K57" s="613"/>
      <c r="L57" s="625" t="s">
        <v>759</v>
      </c>
      <c r="M57" s="627" t="s">
        <v>766</v>
      </c>
      <c r="N57" s="627" t="s">
        <v>116</v>
      </c>
      <c r="O57" s="627" t="s">
        <v>734</v>
      </c>
      <c r="P57" s="617" t="str">
        <f t="shared" si="25"/>
        <v>COA</v>
      </c>
      <c r="Q57" s="628" t="s">
        <v>825</v>
      </c>
      <c r="R57" s="617">
        <v>1</v>
      </c>
      <c r="S57" s="631" t="str">
        <f>Commodities!$C$25</f>
        <v>RESCOA</v>
      </c>
      <c r="T57" s="617" t="str">
        <f>VLOOKUP(S57,Commodities!$C$18:$R$37,16,FALSE)</f>
        <v>Coal</v>
      </c>
    </row>
    <row r="58" spans="2:20" ht="13.8">
      <c r="B58" s="69"/>
      <c r="C58" s="69"/>
      <c r="D58" s="68" t="str">
        <f t="shared" si="1"/>
        <v>RHTUDSOLE1</v>
      </c>
      <c r="E58" s="87" t="str">
        <f t="shared" si="0"/>
        <v>Residential Heating Technology Urban Detached - Solar - Existing 1</v>
      </c>
      <c r="F58" s="68" t="s">
        <v>44</v>
      </c>
      <c r="G58" s="68" t="s">
        <v>65</v>
      </c>
      <c r="H58" s="79" t="s">
        <v>112</v>
      </c>
      <c r="I58" s="64"/>
      <c r="J58" s="64"/>
      <c r="K58" s="64"/>
      <c r="L58" s="133" t="s">
        <v>759</v>
      </c>
      <c r="M58" s="127" t="s">
        <v>766</v>
      </c>
      <c r="N58" s="127" t="s">
        <v>116</v>
      </c>
      <c r="O58" s="127" t="s">
        <v>734</v>
      </c>
      <c r="P58" t="str">
        <f t="shared" si="25"/>
        <v>SOL</v>
      </c>
      <c r="Q58" s="106" t="s">
        <v>825</v>
      </c>
      <c r="R58">
        <v>1</v>
      </c>
      <c r="S58" s="230" t="str">
        <f>Commodities!$C$27</f>
        <v>RESSOL</v>
      </c>
      <c r="T58" t="str">
        <f>VLOOKUP(S58,Commodities!$C$18:$R$37,16,FALSE)</f>
        <v>Solar</v>
      </c>
    </row>
    <row r="59" spans="2:20" ht="13.8">
      <c r="B59" s="69"/>
      <c r="C59" s="69"/>
      <c r="D59" s="68" t="str">
        <f t="shared" si="1"/>
        <v>RHTUDELCHE1</v>
      </c>
      <c r="E59" s="87" t="str">
        <f t="shared" si="0"/>
        <v>Residential Heating Technology Urban Detached - Electricity Heating - Existing 1</v>
      </c>
      <c r="F59" s="68" t="s">
        <v>44</v>
      </c>
      <c r="G59" s="68" t="s">
        <v>65</v>
      </c>
      <c r="H59" s="79" t="s">
        <v>112</v>
      </c>
      <c r="I59" s="64"/>
      <c r="J59" s="64"/>
      <c r="K59" s="64"/>
      <c r="L59" s="133" t="s">
        <v>759</v>
      </c>
      <c r="M59" s="127" t="s">
        <v>766</v>
      </c>
      <c r="N59" s="127" t="s">
        <v>116</v>
      </c>
      <c r="O59" s="127" t="s">
        <v>734</v>
      </c>
      <c r="P59" t="str">
        <f t="shared" si="25"/>
        <v>ELCH</v>
      </c>
      <c r="Q59" s="106" t="s">
        <v>825</v>
      </c>
      <c r="R59">
        <v>1</v>
      </c>
      <c r="S59" s="230" t="str">
        <f>Commodities!$C$28</f>
        <v>RESELCH</v>
      </c>
      <c r="T59" t="str">
        <f>VLOOKUP(S59,Commodities!$C$18:$R$37,16,FALSE)</f>
        <v>Electricity Heating</v>
      </c>
    </row>
    <row r="60" spans="2:20" ht="13.8">
      <c r="B60" s="69"/>
      <c r="C60" s="69"/>
      <c r="D60" s="68" t="str">
        <f t="shared" si="1"/>
        <v>RHTUDELCHE2</v>
      </c>
      <c r="E60" s="87" t="str">
        <f t="shared" si="0"/>
        <v>Residential Heating Technology Urban Detached - Electricity Heating - Existing 2</v>
      </c>
      <c r="F60" s="68" t="s">
        <v>44</v>
      </c>
      <c r="G60" s="68" t="s">
        <v>65</v>
      </c>
      <c r="H60" s="79" t="s">
        <v>112</v>
      </c>
      <c r="I60" s="64"/>
      <c r="J60" s="64"/>
      <c r="K60" s="64"/>
      <c r="L60" s="133" t="s">
        <v>759</v>
      </c>
      <c r="M60" s="127" t="s">
        <v>766</v>
      </c>
      <c r="N60" s="127" t="s">
        <v>116</v>
      </c>
      <c r="O60" s="127" t="s">
        <v>734</v>
      </c>
      <c r="P60" t="str">
        <f t="shared" si="25"/>
        <v>ELCH</v>
      </c>
      <c r="Q60" s="106" t="s">
        <v>825</v>
      </c>
      <c r="R60">
        <v>2</v>
      </c>
      <c r="S60" s="230" t="s">
        <v>142</v>
      </c>
      <c r="T60" t="str">
        <f>VLOOKUP(S60,Commodities!$C$18:$R$37,16,FALSE)</f>
        <v>Electricity Heating</v>
      </c>
    </row>
    <row r="61" spans="2:20" ht="13.8">
      <c r="B61" s="78"/>
      <c r="C61" s="78"/>
      <c r="D61" s="68" t="str">
        <f t="shared" si="1"/>
        <v>RHTUDHCEE1</v>
      </c>
      <c r="E61" s="86" t="str">
        <f t="shared" si="0"/>
        <v>Residential Heating Technology Urban Detached - District heating Central - Existing 1</v>
      </c>
      <c r="F61" s="68" t="s">
        <v>44</v>
      </c>
      <c r="G61" s="68" t="s">
        <v>65</v>
      </c>
      <c r="H61" s="79" t="s">
        <v>112</v>
      </c>
      <c r="I61" s="82"/>
      <c r="J61" s="77"/>
      <c r="K61" s="77"/>
      <c r="L61" s="133" t="s">
        <v>759</v>
      </c>
      <c r="M61" s="127" t="s">
        <v>766</v>
      </c>
      <c r="N61" s="127" t="s">
        <v>116</v>
      </c>
      <c r="O61" s="127" t="s">
        <v>734</v>
      </c>
      <c r="P61" t="str">
        <f t="shared" si="25"/>
        <v>HCE</v>
      </c>
      <c r="Q61" s="106" t="s">
        <v>825</v>
      </c>
      <c r="R61">
        <v>1</v>
      </c>
      <c r="S61" s="230" t="str">
        <f>Commodities!$C$33</f>
        <v>RESHCE</v>
      </c>
      <c r="T61" t="str">
        <f>VLOOKUP(S61,Commodities!$C$18:$R$37,16,FALSE)</f>
        <v>District heating Central</v>
      </c>
    </row>
    <row r="62" spans="2:20" ht="13.8">
      <c r="B62" s="72"/>
      <c r="C62" s="72"/>
      <c r="D62" s="71" t="str">
        <f t="shared" si="1"/>
        <v>RHTUDLPGE1</v>
      </c>
      <c r="E62" s="88" t="str">
        <f t="shared" si="0"/>
        <v>Residential Heating Technology Urban Detached - LPG - Existing 1</v>
      </c>
      <c r="F62" s="71" t="s">
        <v>44</v>
      </c>
      <c r="G62" s="71" t="s">
        <v>65</v>
      </c>
      <c r="H62" s="75" t="s">
        <v>112</v>
      </c>
      <c r="I62" s="84"/>
      <c r="J62" s="70"/>
      <c r="K62" s="77"/>
      <c r="L62" s="133" t="s">
        <v>759</v>
      </c>
      <c r="M62" s="127" t="s">
        <v>766</v>
      </c>
      <c r="N62" s="127" t="s">
        <v>116</v>
      </c>
      <c r="O62" s="127" t="s">
        <v>734</v>
      </c>
      <c r="P62" t="str">
        <f t="shared" si="25"/>
        <v>LPG</v>
      </c>
      <c r="Q62" s="106" t="s">
        <v>825</v>
      </c>
      <c r="R62">
        <v>1</v>
      </c>
      <c r="S62" s="256" t="str">
        <f>Commodities!$C$20</f>
        <v>RESLPG</v>
      </c>
      <c r="T62" t="str">
        <f>VLOOKUP(S62,Commodities!$C$18:$R$37,16,FALSE)</f>
        <v>LPG</v>
      </c>
    </row>
    <row r="63" spans="2:20" ht="13.8">
      <c r="B63" s="69"/>
      <c r="C63" s="69"/>
      <c r="D63" s="68" t="str">
        <f t="shared" si="1"/>
        <v>RHTRDNGAE1</v>
      </c>
      <c r="E63" s="86" t="str">
        <f t="shared" si="0"/>
        <v>Residential Heating Technology Rural Detached - Natural Gas - Existing 1</v>
      </c>
      <c r="F63" s="68" t="s">
        <v>44</v>
      </c>
      <c r="G63" s="68" t="s">
        <v>65</v>
      </c>
      <c r="H63" s="79" t="s">
        <v>112</v>
      </c>
      <c r="I63" s="64"/>
      <c r="J63" s="64"/>
      <c r="K63" s="64"/>
      <c r="L63" s="133" t="s">
        <v>759</v>
      </c>
      <c r="M63" s="127" t="s">
        <v>766</v>
      </c>
      <c r="N63" s="127" t="s">
        <v>116</v>
      </c>
      <c r="O63" s="127" t="s">
        <v>735</v>
      </c>
      <c r="P63" t="str">
        <f t="shared" si="25"/>
        <v>NGA</v>
      </c>
      <c r="Q63" s="106" t="s">
        <v>825</v>
      </c>
      <c r="R63">
        <v>1</v>
      </c>
      <c r="S63" s="230" t="str">
        <f>Commodities!$C$18</f>
        <v>RESNGA</v>
      </c>
      <c r="T63" t="str">
        <f>VLOOKUP(S63,Commodities!$C$18:$R$37,16,FALSE)</f>
        <v>Natural Gas</v>
      </c>
    </row>
    <row r="64" spans="2:20" ht="13.8">
      <c r="B64" s="69"/>
      <c r="C64" s="69"/>
      <c r="D64" s="68" t="str">
        <f t="shared" si="1"/>
        <v>RHTRDDSLE1</v>
      </c>
      <c r="E64" s="86" t="str">
        <f t="shared" si="0"/>
        <v>Residential Heating Technology Rural Detached - Diesel - Existing 1</v>
      </c>
      <c r="F64" s="68" t="s">
        <v>44</v>
      </c>
      <c r="G64" s="68" t="s">
        <v>65</v>
      </c>
      <c r="H64" s="79" t="s">
        <v>112</v>
      </c>
      <c r="I64" s="64"/>
      <c r="J64" s="64"/>
      <c r="K64" s="64"/>
      <c r="L64" s="133" t="s">
        <v>759</v>
      </c>
      <c r="M64" s="127" t="s">
        <v>766</v>
      </c>
      <c r="N64" s="127" t="s">
        <v>116</v>
      </c>
      <c r="O64" s="127" t="s">
        <v>735</v>
      </c>
      <c r="P64" t="str">
        <f t="shared" si="25"/>
        <v>DSL</v>
      </c>
      <c r="Q64" s="106" t="s">
        <v>825</v>
      </c>
      <c r="R64">
        <v>1</v>
      </c>
      <c r="S64" s="230" t="str">
        <f>Commodities!$C$21</f>
        <v>RESDSL</v>
      </c>
      <c r="T64" t="str">
        <f>VLOOKUP(S64,Commodities!$C$18:$R$37,16,FALSE)</f>
        <v>Diesel</v>
      </c>
    </row>
    <row r="65" spans="2:20" ht="13.8">
      <c r="B65" s="69"/>
      <c r="C65" s="69"/>
      <c r="D65" s="68" t="str">
        <f t="shared" si="1"/>
        <v>RHTRDWPEE1</v>
      </c>
      <c r="E65" s="148" t="str">
        <f t="shared" si="0"/>
        <v>Residential Heating Technology Rural Detached - Wood pellets - Existing 1</v>
      </c>
      <c r="F65" s="68" t="s">
        <v>44</v>
      </c>
      <c r="G65" s="68" t="s">
        <v>65</v>
      </c>
      <c r="H65" s="79" t="s">
        <v>112</v>
      </c>
      <c r="I65" s="64"/>
      <c r="J65" s="64"/>
      <c r="K65" s="64"/>
      <c r="L65" s="133" t="s">
        <v>759</v>
      </c>
      <c r="M65" s="127" t="s">
        <v>766</v>
      </c>
      <c r="N65" s="127" t="s">
        <v>116</v>
      </c>
      <c r="O65" s="127" t="s">
        <v>735</v>
      </c>
      <c r="P65" t="str">
        <f t="shared" si="25"/>
        <v>WPE</v>
      </c>
      <c r="Q65" s="106" t="s">
        <v>825</v>
      </c>
      <c r="R65">
        <v>1</v>
      </c>
      <c r="S65" s="230" t="str">
        <f>Commodities!$C$23</f>
        <v>RESWPE</v>
      </c>
      <c r="T65" t="str">
        <f>VLOOKUP(S65,Commodities!$C$18:$R$37,16,FALSE)</f>
        <v>Wood pellets</v>
      </c>
    </row>
    <row r="66" spans="2:20" ht="13.8">
      <c r="B66" s="69"/>
      <c r="C66" s="69"/>
      <c r="D66" s="68" t="str">
        <f t="shared" si="1"/>
        <v>RHTRDFIWE1</v>
      </c>
      <c r="E66" s="148" t="str">
        <f t="shared" si="0"/>
        <v>Residential Heating Technology Rural Detached - Fire wood - Existing 1</v>
      </c>
      <c r="F66" s="68" t="s">
        <v>44</v>
      </c>
      <c r="G66" s="68" t="s">
        <v>65</v>
      </c>
      <c r="H66" s="79" t="s">
        <v>112</v>
      </c>
      <c r="I66" s="64"/>
      <c r="J66" s="64"/>
      <c r="K66" s="64"/>
      <c r="L66" s="133" t="s">
        <v>759</v>
      </c>
      <c r="M66" s="127" t="s">
        <v>766</v>
      </c>
      <c r="N66" s="127" t="s">
        <v>116</v>
      </c>
      <c r="O66" s="127" t="s">
        <v>735</v>
      </c>
      <c r="P66" t="str">
        <f t="shared" si="25"/>
        <v>FIW</v>
      </c>
      <c r="Q66" s="106" t="s">
        <v>825</v>
      </c>
      <c r="R66">
        <v>1</v>
      </c>
      <c r="S66" s="230" t="str">
        <f>Commodities!$C$24</f>
        <v>RESFIW</v>
      </c>
      <c r="T66" t="str">
        <f>VLOOKUP(S66,Commodities!$C$18:$R$37,16,FALSE)</f>
        <v>Fire wood</v>
      </c>
    </row>
    <row r="67" spans="2:20" ht="13.8">
      <c r="B67" s="69"/>
      <c r="C67" s="69"/>
      <c r="D67" s="68" t="str">
        <f t="shared" si="1"/>
        <v>RHTRDCOAE1</v>
      </c>
      <c r="E67" s="86" t="str">
        <f t="shared" si="0"/>
        <v>Residential Heating Technology Rural Detached - Coal - Existing 1</v>
      </c>
      <c r="F67" s="68" t="s">
        <v>44</v>
      </c>
      <c r="G67" s="68" t="s">
        <v>65</v>
      </c>
      <c r="H67" s="79" t="s">
        <v>112</v>
      </c>
      <c r="I67" s="64"/>
      <c r="J67" s="64"/>
      <c r="K67" s="64"/>
      <c r="L67" s="133" t="s">
        <v>759</v>
      </c>
      <c r="M67" s="127" t="s">
        <v>766</v>
      </c>
      <c r="N67" s="127" t="s">
        <v>116</v>
      </c>
      <c r="O67" s="127" t="s">
        <v>735</v>
      </c>
      <c r="P67" t="str">
        <f t="shared" si="25"/>
        <v>COA</v>
      </c>
      <c r="Q67" s="106" t="s">
        <v>825</v>
      </c>
      <c r="R67">
        <v>1</v>
      </c>
      <c r="S67" s="230" t="str">
        <f>Commodities!$C$25</f>
        <v>RESCOA</v>
      </c>
      <c r="T67" t="str">
        <f>VLOOKUP(S67,Commodities!$C$18:$R$37,16,FALSE)</f>
        <v>Coal</v>
      </c>
    </row>
    <row r="68" spans="2:20" ht="13.8">
      <c r="B68" s="69"/>
      <c r="C68" s="69"/>
      <c r="D68" s="68" t="str">
        <f t="shared" si="1"/>
        <v>RHTRDSOLE1</v>
      </c>
      <c r="E68" s="86" t="str">
        <f t="shared" si="0"/>
        <v>Residential Heating Technology Rural Detached - Solar - Existing 1</v>
      </c>
      <c r="F68" s="68" t="s">
        <v>44</v>
      </c>
      <c r="G68" s="68" t="s">
        <v>65</v>
      </c>
      <c r="H68" s="79" t="s">
        <v>112</v>
      </c>
      <c r="I68" s="64"/>
      <c r="J68" s="64"/>
      <c r="K68" s="64"/>
      <c r="L68" s="133" t="s">
        <v>759</v>
      </c>
      <c r="M68" s="127" t="s">
        <v>766</v>
      </c>
      <c r="N68" s="127" t="s">
        <v>116</v>
      </c>
      <c r="O68" s="127" t="s">
        <v>735</v>
      </c>
      <c r="P68" t="str">
        <f t="shared" si="25"/>
        <v>SOL</v>
      </c>
      <c r="Q68" s="106" t="s">
        <v>825</v>
      </c>
      <c r="R68">
        <v>1</v>
      </c>
      <c r="S68" s="230" t="str">
        <f>Commodities!$C$27</f>
        <v>RESSOL</v>
      </c>
      <c r="T68" t="str">
        <f>VLOOKUP(S68,Commodities!$C$18:$R$37,16,FALSE)</f>
        <v>Solar</v>
      </c>
    </row>
    <row r="69" spans="2:20" ht="13.8">
      <c r="B69" s="69"/>
      <c r="C69" s="69"/>
      <c r="D69" s="68" t="str">
        <f t="shared" si="1"/>
        <v>RHTRDELCHE1</v>
      </c>
      <c r="E69" s="136" t="str">
        <f t="shared" si="0"/>
        <v>Residential Heating Technology Rural Detached - Electricity Heating - Existing 1</v>
      </c>
      <c r="F69" s="68" t="s">
        <v>44</v>
      </c>
      <c r="G69" s="68" t="s">
        <v>65</v>
      </c>
      <c r="H69" s="79" t="s">
        <v>112</v>
      </c>
      <c r="I69" s="64"/>
      <c r="J69" s="64"/>
      <c r="K69" s="64"/>
      <c r="L69" s="133" t="s">
        <v>759</v>
      </c>
      <c r="M69" s="127" t="s">
        <v>766</v>
      </c>
      <c r="N69" s="127" t="s">
        <v>116</v>
      </c>
      <c r="O69" s="127" t="s">
        <v>735</v>
      </c>
      <c r="P69" t="str">
        <f t="shared" si="25"/>
        <v>ELCH</v>
      </c>
      <c r="Q69" s="106" t="s">
        <v>825</v>
      </c>
      <c r="R69">
        <v>1</v>
      </c>
      <c r="S69" s="230" t="str">
        <f>Commodities!$C$28</f>
        <v>RESELCH</v>
      </c>
      <c r="T69" t="str">
        <f>VLOOKUP(S69,Commodities!$C$18:$R$37,16,FALSE)</f>
        <v>Electricity Heating</v>
      </c>
    </row>
    <row r="70" spans="2:20" ht="13.8">
      <c r="B70" s="69"/>
      <c r="C70" s="69"/>
      <c r="D70" s="68" t="str">
        <f t="shared" si="1"/>
        <v>RHTRDELCHE2</v>
      </c>
      <c r="E70" s="87" t="str">
        <f t="shared" si="0"/>
        <v>Residential Heating Technology Rural Detached - Electricity Heating - Existing 2</v>
      </c>
      <c r="F70" s="68" t="s">
        <v>44</v>
      </c>
      <c r="G70" s="68" t="s">
        <v>65</v>
      </c>
      <c r="H70" s="79" t="s">
        <v>112</v>
      </c>
      <c r="I70" s="64"/>
      <c r="J70" s="64"/>
      <c r="K70" s="64"/>
      <c r="L70" s="133" t="s">
        <v>759</v>
      </c>
      <c r="M70" s="127" t="s">
        <v>766</v>
      </c>
      <c r="N70" s="127" t="s">
        <v>116</v>
      </c>
      <c r="O70" s="127" t="s">
        <v>735</v>
      </c>
      <c r="P70" t="str">
        <f t="shared" si="25"/>
        <v>ELCH</v>
      </c>
      <c r="Q70" s="106" t="s">
        <v>825</v>
      </c>
      <c r="R70">
        <v>2</v>
      </c>
      <c r="S70" s="230" t="s">
        <v>142</v>
      </c>
      <c r="T70" t="str">
        <f>VLOOKUP(S70,Commodities!$C$18:$R$37,16,FALSE)</f>
        <v>Electricity Heating</v>
      </c>
    </row>
    <row r="71" spans="2:20" ht="13.8">
      <c r="B71" s="69"/>
      <c r="C71" s="69"/>
      <c r="D71" s="68" t="str">
        <f t="shared" si="1"/>
        <v>RHTRDHCEE1</v>
      </c>
      <c r="E71" s="86" t="str">
        <f t="shared" si="0"/>
        <v>Residential Heating Technology Rural Detached - District heating Central - Existing 1</v>
      </c>
      <c r="F71" s="68" t="s">
        <v>44</v>
      </c>
      <c r="G71" s="68" t="s">
        <v>65</v>
      </c>
      <c r="H71" s="79" t="s">
        <v>112</v>
      </c>
      <c r="I71" s="81"/>
      <c r="J71" s="64"/>
      <c r="K71" s="64"/>
      <c r="L71" s="133" t="s">
        <v>759</v>
      </c>
      <c r="M71" s="127" t="s">
        <v>766</v>
      </c>
      <c r="N71" s="127" t="s">
        <v>116</v>
      </c>
      <c r="O71" s="127" t="s">
        <v>735</v>
      </c>
      <c r="P71" t="str">
        <f t="shared" si="25"/>
        <v>HCE</v>
      </c>
      <c r="Q71" s="106" t="s">
        <v>825</v>
      </c>
      <c r="R71">
        <v>1</v>
      </c>
      <c r="S71" s="230" t="str">
        <f>Commodities!$C$33</f>
        <v>RESHCE</v>
      </c>
      <c r="T71" t="str">
        <f>VLOOKUP(S71,Commodities!$C$18:$R$37,16,FALSE)</f>
        <v>District heating Central</v>
      </c>
    </row>
    <row r="72" spans="2:20" ht="13.8">
      <c r="B72" s="72"/>
      <c r="C72" s="72"/>
      <c r="D72" s="71" t="str">
        <f t="shared" si="1"/>
        <v>RHTRDLPGE1</v>
      </c>
      <c r="E72" s="88" t="str">
        <f t="shared" si="0"/>
        <v>Residential Heating Technology Rural Detached - LPG - Existing 1</v>
      </c>
      <c r="F72" s="71" t="s">
        <v>44</v>
      </c>
      <c r="G72" s="71" t="s">
        <v>65</v>
      </c>
      <c r="H72" s="75" t="s">
        <v>112</v>
      </c>
      <c r="I72" s="84"/>
      <c r="J72" s="70"/>
      <c r="K72" s="77"/>
      <c r="L72" s="133" t="s">
        <v>759</v>
      </c>
      <c r="M72" s="127" t="s">
        <v>766</v>
      </c>
      <c r="N72" s="127" t="s">
        <v>116</v>
      </c>
      <c r="O72" s="127" t="s">
        <v>735</v>
      </c>
      <c r="P72" t="str">
        <f t="shared" si="25"/>
        <v>LPG</v>
      </c>
      <c r="Q72" s="106" t="s">
        <v>825</v>
      </c>
      <c r="R72">
        <v>1</v>
      </c>
      <c r="S72" s="256" t="str">
        <f>Commodities!$C$20</f>
        <v>RESLPG</v>
      </c>
      <c r="T72" t="str">
        <f>VLOOKUP(S72,Commodities!$C$18:$R$37,16,FALSE)</f>
        <v>LPG</v>
      </c>
    </row>
    <row r="73" spans="2:20" ht="13.8">
      <c r="B73" s="85"/>
      <c r="C73" s="69"/>
      <c r="D73" s="133" t="str">
        <f t="shared" si="1"/>
        <v>RHTUMNGAE1</v>
      </c>
      <c r="E73" s="86" t="str">
        <f t="shared" si="0"/>
        <v>Residential Heating Technology Urban Multi - Natural Gas - Existing 1</v>
      </c>
      <c r="F73" s="68" t="s">
        <v>44</v>
      </c>
      <c r="G73" s="68" t="s">
        <v>65</v>
      </c>
      <c r="H73" s="79" t="s">
        <v>112</v>
      </c>
      <c r="I73" s="64"/>
      <c r="J73" s="64"/>
      <c r="K73" s="64"/>
      <c r="L73" s="133" t="s">
        <v>759</v>
      </c>
      <c r="M73" s="127" t="s">
        <v>766</v>
      </c>
      <c r="N73" s="127" t="s">
        <v>741</v>
      </c>
      <c r="O73" s="127" t="s">
        <v>734</v>
      </c>
      <c r="P73" t="str">
        <f>RIGHT(S73,LEN(S73)-3)</f>
        <v>NGA</v>
      </c>
      <c r="Q73" s="106" t="s">
        <v>825</v>
      </c>
      <c r="R73">
        <v>1</v>
      </c>
      <c r="S73" s="230" t="str">
        <f>Commodities!$C$18</f>
        <v>RESNGA</v>
      </c>
      <c r="T73" t="str">
        <f>VLOOKUP(S73,Commodities!$C$18:$R$37,16,FALSE)</f>
        <v>Natural Gas</v>
      </c>
    </row>
    <row r="74" spans="2:20" ht="13.8">
      <c r="B74" s="69"/>
      <c r="C74" s="69"/>
      <c r="D74" s="68" t="str">
        <f t="shared" si="1"/>
        <v>RHTUMDSLE1</v>
      </c>
      <c r="E74" s="86" t="str">
        <f t="shared" si="0"/>
        <v>Residential Heating Technology Urban Multi - Diesel - Existing 1</v>
      </c>
      <c r="F74" s="68" t="s">
        <v>44</v>
      </c>
      <c r="G74" s="68" t="s">
        <v>65</v>
      </c>
      <c r="H74" s="79" t="s">
        <v>112</v>
      </c>
      <c r="I74" s="64"/>
      <c r="J74" s="64"/>
      <c r="K74" s="64"/>
      <c r="L74" s="133" t="s">
        <v>759</v>
      </c>
      <c r="M74" s="127" t="s">
        <v>766</v>
      </c>
      <c r="N74" s="127" t="s">
        <v>741</v>
      </c>
      <c r="O74" s="127" t="s">
        <v>734</v>
      </c>
      <c r="P74" t="str">
        <f t="shared" ref="P74:P92" si="26">RIGHT(S74,LEN(S74)-3)</f>
        <v>DSL</v>
      </c>
      <c r="Q74" s="106" t="s">
        <v>825</v>
      </c>
      <c r="R74">
        <v>1</v>
      </c>
      <c r="S74" s="230" t="str">
        <f>Commodities!$C$21</f>
        <v>RESDSL</v>
      </c>
      <c r="T74" t="str">
        <f>VLOOKUP(S74,Commodities!$C$18:$R$37,16,FALSE)</f>
        <v>Diesel</v>
      </c>
    </row>
    <row r="75" spans="2:20" ht="13.8">
      <c r="B75" s="69"/>
      <c r="C75" s="69"/>
      <c r="D75" s="68" t="str">
        <f t="shared" si="1"/>
        <v>RHTUMWPEE1</v>
      </c>
      <c r="E75" s="148" t="str">
        <f t="shared" si="0"/>
        <v>Residential Heating Technology Urban Multi - Wood pellets - Existing 1</v>
      </c>
      <c r="F75" s="68" t="s">
        <v>44</v>
      </c>
      <c r="G75" s="68" t="s">
        <v>65</v>
      </c>
      <c r="H75" s="79" t="s">
        <v>112</v>
      </c>
      <c r="I75" s="64"/>
      <c r="J75" s="64"/>
      <c r="K75" s="64"/>
      <c r="L75" s="133" t="s">
        <v>759</v>
      </c>
      <c r="M75" s="127" t="s">
        <v>766</v>
      </c>
      <c r="N75" s="127" t="s">
        <v>741</v>
      </c>
      <c r="O75" s="127" t="s">
        <v>734</v>
      </c>
      <c r="P75" t="str">
        <f t="shared" si="26"/>
        <v>WPE</v>
      </c>
      <c r="Q75" s="106" t="s">
        <v>825</v>
      </c>
      <c r="R75">
        <v>1</v>
      </c>
      <c r="S75" s="230" t="str">
        <f>Commodities!$C$23</f>
        <v>RESWPE</v>
      </c>
      <c r="T75" t="str">
        <f>VLOOKUP(S75,Commodities!$C$18:$R$37,16,FALSE)</f>
        <v>Wood pellets</v>
      </c>
    </row>
    <row r="76" spans="2:20" ht="13.8">
      <c r="B76" s="69"/>
      <c r="C76" s="69"/>
      <c r="D76" s="68" t="str">
        <f t="shared" si="1"/>
        <v>RHTUMFIWE1</v>
      </c>
      <c r="E76" s="148" t="str">
        <f t="shared" si="0"/>
        <v>Residential Heating Technology Urban Multi - Fire wood - Existing 1</v>
      </c>
      <c r="F76" s="68" t="s">
        <v>44</v>
      </c>
      <c r="G76" s="68" t="s">
        <v>65</v>
      </c>
      <c r="H76" s="79" t="s">
        <v>112</v>
      </c>
      <c r="I76" s="64"/>
      <c r="J76" s="64"/>
      <c r="K76" s="64"/>
      <c r="L76" s="133" t="s">
        <v>759</v>
      </c>
      <c r="M76" s="127" t="s">
        <v>766</v>
      </c>
      <c r="N76" s="127" t="s">
        <v>741</v>
      </c>
      <c r="O76" s="127" t="s">
        <v>734</v>
      </c>
      <c r="P76" t="str">
        <f t="shared" si="26"/>
        <v>FIW</v>
      </c>
      <c r="Q76" s="106" t="s">
        <v>825</v>
      </c>
      <c r="R76">
        <v>1</v>
      </c>
      <c r="S76" s="230" t="str">
        <f>Commodities!$C$24</f>
        <v>RESFIW</v>
      </c>
      <c r="T76" t="str">
        <f>VLOOKUP(S76,Commodities!$C$18:$R$37,16,FALSE)</f>
        <v>Fire wood</v>
      </c>
    </row>
    <row r="77" spans="2:20" ht="13.8">
      <c r="B77" s="69"/>
      <c r="C77" s="69"/>
      <c r="D77" s="68" t="str">
        <f t="shared" si="1"/>
        <v>RHTUMCOAE1</v>
      </c>
      <c r="E77" s="86" t="str">
        <f t="shared" si="0"/>
        <v>Residential Heating Technology Urban Multi - Coal - Existing 1</v>
      </c>
      <c r="F77" s="68" t="s">
        <v>44</v>
      </c>
      <c r="G77" s="68" t="s">
        <v>65</v>
      </c>
      <c r="H77" s="79" t="s">
        <v>112</v>
      </c>
      <c r="I77" s="64"/>
      <c r="J77" s="64"/>
      <c r="K77" s="64"/>
      <c r="L77" s="133" t="s">
        <v>759</v>
      </c>
      <c r="M77" s="127" t="s">
        <v>766</v>
      </c>
      <c r="N77" s="127" t="s">
        <v>741</v>
      </c>
      <c r="O77" s="127" t="s">
        <v>734</v>
      </c>
      <c r="P77" t="str">
        <f t="shared" si="26"/>
        <v>COA</v>
      </c>
      <c r="Q77" s="106" t="s">
        <v>825</v>
      </c>
      <c r="R77">
        <v>1</v>
      </c>
      <c r="S77" s="230" t="str">
        <f>Commodities!$C$25</f>
        <v>RESCOA</v>
      </c>
      <c r="T77" t="str">
        <f>VLOOKUP(S77,Commodities!$C$18:$R$37,16,FALSE)</f>
        <v>Coal</v>
      </c>
    </row>
    <row r="78" spans="2:20" ht="13.8">
      <c r="B78" s="69"/>
      <c r="C78" s="69"/>
      <c r="D78" s="68" t="str">
        <f t="shared" si="1"/>
        <v>RHTUMSOLE1</v>
      </c>
      <c r="E78" s="87" t="str">
        <f t="shared" si="0"/>
        <v>Residential Heating Technology Urban Multi - Solar - Existing 1</v>
      </c>
      <c r="F78" s="68" t="s">
        <v>44</v>
      </c>
      <c r="G78" s="68" t="s">
        <v>65</v>
      </c>
      <c r="H78" s="79" t="s">
        <v>112</v>
      </c>
      <c r="I78" s="64"/>
      <c r="J78" s="64"/>
      <c r="K78" s="64"/>
      <c r="L78" s="133" t="s">
        <v>759</v>
      </c>
      <c r="M78" s="127" t="s">
        <v>766</v>
      </c>
      <c r="N78" s="127" t="s">
        <v>741</v>
      </c>
      <c r="O78" s="127" t="s">
        <v>734</v>
      </c>
      <c r="P78" t="str">
        <f t="shared" si="26"/>
        <v>SOL</v>
      </c>
      <c r="Q78" s="106" t="s">
        <v>825</v>
      </c>
      <c r="R78">
        <v>1</v>
      </c>
      <c r="S78" s="230" t="str">
        <f>Commodities!$C$27</f>
        <v>RESSOL</v>
      </c>
      <c r="T78" t="str">
        <f>VLOOKUP(S78,Commodities!$C$18:$R$37,16,FALSE)</f>
        <v>Solar</v>
      </c>
    </row>
    <row r="79" spans="2:20" ht="13.8">
      <c r="B79" s="69"/>
      <c r="C79" s="69"/>
      <c r="D79" s="68" t="str">
        <f t="shared" si="1"/>
        <v>RHTUMELCHE1</v>
      </c>
      <c r="E79" s="87" t="str">
        <f t="shared" si="0"/>
        <v>Residential Heating Technology Urban Multi - Electricity Heating - Existing 1</v>
      </c>
      <c r="F79" s="68" t="s">
        <v>44</v>
      </c>
      <c r="G79" s="68" t="s">
        <v>65</v>
      </c>
      <c r="H79" s="79" t="s">
        <v>112</v>
      </c>
      <c r="I79" s="64"/>
      <c r="J79" s="64"/>
      <c r="K79" s="64"/>
      <c r="L79" s="133" t="s">
        <v>759</v>
      </c>
      <c r="M79" s="127" t="s">
        <v>766</v>
      </c>
      <c r="N79" s="127" t="s">
        <v>741</v>
      </c>
      <c r="O79" s="127" t="s">
        <v>734</v>
      </c>
      <c r="P79" t="str">
        <f t="shared" si="26"/>
        <v>ELCH</v>
      </c>
      <c r="Q79" s="106" t="s">
        <v>825</v>
      </c>
      <c r="R79">
        <v>1</v>
      </c>
      <c r="S79" s="230" t="str">
        <f>Commodities!$C$28</f>
        <v>RESELCH</v>
      </c>
      <c r="T79" t="str">
        <f>VLOOKUP(S79,Commodities!$C$18:$R$37,16,FALSE)</f>
        <v>Electricity Heating</v>
      </c>
    </row>
    <row r="80" spans="2:20" ht="13.8">
      <c r="B80" s="69"/>
      <c r="C80" s="69"/>
      <c r="D80" s="68" t="str">
        <f t="shared" si="1"/>
        <v>RHTUMELCHE2</v>
      </c>
      <c r="E80" s="87" t="str">
        <f t="shared" ref="E80:E92" si="27">$E$2&amp;" "&amp;L80&amp;" "&amp;M80&amp;" "&amp;O80&amp;" "&amp;N80&amp;" - "&amp;T80&amp;" - "&amp;Q80&amp;" "&amp;R80</f>
        <v>Residential Heating Technology Urban Multi - Electricity Heating - Existing 2</v>
      </c>
      <c r="F80" s="68" t="s">
        <v>44</v>
      </c>
      <c r="G80" s="68" t="s">
        <v>65</v>
      </c>
      <c r="H80" s="79" t="s">
        <v>112</v>
      </c>
      <c r="I80" s="64"/>
      <c r="J80" s="64"/>
      <c r="K80" s="64"/>
      <c r="L80" s="133" t="s">
        <v>759</v>
      </c>
      <c r="M80" s="127" t="s">
        <v>766</v>
      </c>
      <c r="N80" s="127" t="s">
        <v>741</v>
      </c>
      <c r="O80" s="127" t="s">
        <v>734</v>
      </c>
      <c r="P80" t="str">
        <f t="shared" si="26"/>
        <v>ELCH</v>
      </c>
      <c r="Q80" s="106" t="s">
        <v>825</v>
      </c>
      <c r="R80">
        <v>2</v>
      </c>
      <c r="S80" s="230" t="s">
        <v>142</v>
      </c>
      <c r="T80" t="str">
        <f>VLOOKUP(S80,Commodities!$C$18:$R$37,16,FALSE)</f>
        <v>Electricity Heating</v>
      </c>
    </row>
    <row r="81" spans="2:20" ht="13.8">
      <c r="B81" s="78"/>
      <c r="C81" s="78"/>
      <c r="D81" s="68" t="str">
        <f t="shared" ref="D81:D96" si="28">LEFT($D$2,1)&amp;LEFT(L81,1)&amp;LEFT(M81,1)&amp;LEFT(O81,1)&amp;LEFT(N81,1)&amp;P81&amp;LEFT(Q81,1)&amp;R81</f>
        <v>RHTUMHCEE1</v>
      </c>
      <c r="E81" s="86" t="str">
        <f t="shared" si="27"/>
        <v>Residential Heating Technology Urban Multi - District heating Central - Existing 1</v>
      </c>
      <c r="F81" s="68" t="s">
        <v>44</v>
      </c>
      <c r="G81" s="68" t="s">
        <v>65</v>
      </c>
      <c r="H81" s="79" t="s">
        <v>112</v>
      </c>
      <c r="I81" s="82"/>
      <c r="J81" s="77"/>
      <c r="K81" s="77"/>
      <c r="L81" s="133" t="s">
        <v>759</v>
      </c>
      <c r="M81" s="127" t="s">
        <v>766</v>
      </c>
      <c r="N81" s="127" t="s">
        <v>741</v>
      </c>
      <c r="O81" s="127" t="s">
        <v>734</v>
      </c>
      <c r="P81" t="str">
        <f t="shared" si="26"/>
        <v>HCE</v>
      </c>
      <c r="Q81" s="106" t="s">
        <v>825</v>
      </c>
      <c r="R81">
        <v>1</v>
      </c>
      <c r="S81" s="230" t="str">
        <f>Commodities!$C$33</f>
        <v>RESHCE</v>
      </c>
      <c r="T81" t="str">
        <f>VLOOKUP(S81,Commodities!$C$18:$R$37,16,FALSE)</f>
        <v>District heating Central</v>
      </c>
    </row>
    <row r="82" spans="2:20" ht="13.8">
      <c r="B82" s="72"/>
      <c r="C82" s="72"/>
      <c r="D82" s="71" t="str">
        <f t="shared" si="28"/>
        <v>RHTUMLPGE1</v>
      </c>
      <c r="E82" s="88" t="str">
        <f t="shared" si="27"/>
        <v>Residential Heating Technology Urban Multi - LPG - Existing 1</v>
      </c>
      <c r="F82" s="71" t="s">
        <v>44</v>
      </c>
      <c r="G82" s="71" t="s">
        <v>65</v>
      </c>
      <c r="H82" s="75" t="s">
        <v>112</v>
      </c>
      <c r="I82" s="84"/>
      <c r="J82" s="70"/>
      <c r="K82" s="77"/>
      <c r="L82" s="133" t="s">
        <v>759</v>
      </c>
      <c r="M82" s="127" t="s">
        <v>766</v>
      </c>
      <c r="N82" s="127" t="s">
        <v>741</v>
      </c>
      <c r="O82" s="127" t="s">
        <v>734</v>
      </c>
      <c r="P82" t="str">
        <f t="shared" si="26"/>
        <v>LPG</v>
      </c>
      <c r="Q82" s="106" t="s">
        <v>825</v>
      </c>
      <c r="R82">
        <v>1</v>
      </c>
      <c r="S82" s="256" t="str">
        <f>Commodities!$C$20</f>
        <v>RESLPG</v>
      </c>
      <c r="T82" t="str">
        <f>VLOOKUP(S82,Commodities!$C$18:$R$37,16,FALSE)</f>
        <v>LPG</v>
      </c>
    </row>
    <row r="83" spans="2:20" ht="13.8">
      <c r="B83" s="69"/>
      <c r="C83" s="69"/>
      <c r="D83" s="68" t="str">
        <f t="shared" si="28"/>
        <v>RHTRMNGAE1</v>
      </c>
      <c r="E83" s="86" t="str">
        <f t="shared" si="27"/>
        <v>Residential Heating Technology Rural Multi - Natural Gas - Existing 1</v>
      </c>
      <c r="F83" s="68" t="s">
        <v>44</v>
      </c>
      <c r="G83" s="68" t="s">
        <v>65</v>
      </c>
      <c r="H83" s="79" t="s">
        <v>112</v>
      </c>
      <c r="I83" s="64"/>
      <c r="J83" s="64"/>
      <c r="K83" s="64"/>
      <c r="L83" s="133" t="s">
        <v>759</v>
      </c>
      <c r="M83" s="127" t="s">
        <v>766</v>
      </c>
      <c r="N83" s="127" t="s">
        <v>741</v>
      </c>
      <c r="O83" s="127" t="s">
        <v>735</v>
      </c>
      <c r="P83" t="str">
        <f t="shared" si="26"/>
        <v>NGA</v>
      </c>
      <c r="Q83" s="106" t="s">
        <v>825</v>
      </c>
      <c r="R83">
        <v>1</v>
      </c>
      <c r="S83" s="230" t="str">
        <f>Commodities!$C$18</f>
        <v>RESNGA</v>
      </c>
      <c r="T83" t="str">
        <f>VLOOKUP(S83,Commodities!$C$18:$R$37,16,FALSE)</f>
        <v>Natural Gas</v>
      </c>
    </row>
    <row r="84" spans="2:20" ht="13.8">
      <c r="B84" s="69"/>
      <c r="C84" s="69"/>
      <c r="D84" s="68" t="str">
        <f t="shared" si="28"/>
        <v>RHTRMDSLE1</v>
      </c>
      <c r="E84" s="86" t="str">
        <f t="shared" si="27"/>
        <v>Residential Heating Technology Rural Multi - Diesel - Existing 1</v>
      </c>
      <c r="F84" s="68" t="s">
        <v>44</v>
      </c>
      <c r="G84" s="68" t="s">
        <v>65</v>
      </c>
      <c r="H84" s="79" t="s">
        <v>112</v>
      </c>
      <c r="I84" s="64"/>
      <c r="J84" s="64"/>
      <c r="K84" s="64"/>
      <c r="L84" s="133" t="s">
        <v>759</v>
      </c>
      <c r="M84" s="127" t="s">
        <v>766</v>
      </c>
      <c r="N84" s="127" t="s">
        <v>741</v>
      </c>
      <c r="O84" s="127" t="s">
        <v>735</v>
      </c>
      <c r="P84" t="str">
        <f t="shared" si="26"/>
        <v>DSL</v>
      </c>
      <c r="Q84" s="106" t="s">
        <v>825</v>
      </c>
      <c r="R84">
        <v>1</v>
      </c>
      <c r="S84" s="230" t="str">
        <f>Commodities!$C$21</f>
        <v>RESDSL</v>
      </c>
      <c r="T84" t="str">
        <f>VLOOKUP(S84,Commodities!$C$18:$R$37,16,FALSE)</f>
        <v>Diesel</v>
      </c>
    </row>
    <row r="85" spans="2:20" ht="13.8">
      <c r="B85" s="69"/>
      <c r="C85" s="69"/>
      <c r="D85" s="68" t="str">
        <f t="shared" si="28"/>
        <v>RHTRMWPEE1</v>
      </c>
      <c r="E85" s="148" t="str">
        <f t="shared" si="27"/>
        <v>Residential Heating Technology Rural Multi - Wood pellets - Existing 1</v>
      </c>
      <c r="F85" s="68" t="s">
        <v>44</v>
      </c>
      <c r="G85" s="68" t="s">
        <v>65</v>
      </c>
      <c r="H85" s="79" t="s">
        <v>112</v>
      </c>
      <c r="I85" s="64"/>
      <c r="J85" s="64"/>
      <c r="K85" s="64"/>
      <c r="L85" s="133" t="s">
        <v>759</v>
      </c>
      <c r="M85" s="127" t="s">
        <v>766</v>
      </c>
      <c r="N85" s="127" t="s">
        <v>741</v>
      </c>
      <c r="O85" s="127" t="s">
        <v>735</v>
      </c>
      <c r="P85" t="str">
        <f t="shared" si="26"/>
        <v>WPE</v>
      </c>
      <c r="Q85" s="106" t="s">
        <v>825</v>
      </c>
      <c r="R85">
        <v>1</v>
      </c>
      <c r="S85" s="230" t="str">
        <f>Commodities!$C$23</f>
        <v>RESWPE</v>
      </c>
      <c r="T85" t="str">
        <f>VLOOKUP(S85,Commodities!$C$18:$R$37,16,FALSE)</f>
        <v>Wood pellets</v>
      </c>
    </row>
    <row r="86" spans="2:20" ht="13.8">
      <c r="B86" s="69"/>
      <c r="C86" s="69"/>
      <c r="D86" s="68" t="str">
        <f t="shared" si="28"/>
        <v>RHTRMFIWE1</v>
      </c>
      <c r="E86" s="148" t="str">
        <f t="shared" si="27"/>
        <v>Residential Heating Technology Rural Multi - Fire wood - Existing 1</v>
      </c>
      <c r="F86" s="68" t="s">
        <v>44</v>
      </c>
      <c r="G86" s="68" t="s">
        <v>65</v>
      </c>
      <c r="H86" s="79" t="s">
        <v>112</v>
      </c>
      <c r="I86" s="64"/>
      <c r="J86" s="64"/>
      <c r="K86" s="64"/>
      <c r="L86" s="133" t="s">
        <v>759</v>
      </c>
      <c r="M86" s="127" t="s">
        <v>766</v>
      </c>
      <c r="N86" s="127" t="s">
        <v>741</v>
      </c>
      <c r="O86" s="127" t="s">
        <v>735</v>
      </c>
      <c r="P86" t="str">
        <f t="shared" si="26"/>
        <v>FIW</v>
      </c>
      <c r="Q86" s="106" t="s">
        <v>825</v>
      </c>
      <c r="R86">
        <v>1</v>
      </c>
      <c r="S86" s="230" t="str">
        <f>Commodities!$C$24</f>
        <v>RESFIW</v>
      </c>
      <c r="T86" t="str">
        <f>VLOOKUP(S86,Commodities!$C$18:$R$37,16,FALSE)</f>
        <v>Fire wood</v>
      </c>
    </row>
    <row r="87" spans="2:20" ht="13.8">
      <c r="B87" s="69"/>
      <c r="C87" s="69"/>
      <c r="D87" s="68" t="str">
        <f t="shared" si="28"/>
        <v>RHTRMCOAE1</v>
      </c>
      <c r="E87" s="86" t="str">
        <f t="shared" si="27"/>
        <v>Residential Heating Technology Rural Multi - Coal - Existing 1</v>
      </c>
      <c r="F87" s="68" t="s">
        <v>44</v>
      </c>
      <c r="G87" s="68" t="s">
        <v>65</v>
      </c>
      <c r="H87" s="79" t="s">
        <v>112</v>
      </c>
      <c r="I87" s="64"/>
      <c r="J87" s="64"/>
      <c r="K87" s="64"/>
      <c r="L87" s="133" t="s">
        <v>759</v>
      </c>
      <c r="M87" s="127" t="s">
        <v>766</v>
      </c>
      <c r="N87" s="127" t="s">
        <v>741</v>
      </c>
      <c r="O87" s="127" t="s">
        <v>735</v>
      </c>
      <c r="P87" t="str">
        <f t="shared" si="26"/>
        <v>COA</v>
      </c>
      <c r="Q87" s="106" t="s">
        <v>825</v>
      </c>
      <c r="R87">
        <v>1</v>
      </c>
      <c r="S87" s="230" t="str">
        <f>Commodities!$C$25</f>
        <v>RESCOA</v>
      </c>
      <c r="T87" t="str">
        <f>VLOOKUP(S87,Commodities!$C$18:$R$37,16,FALSE)</f>
        <v>Coal</v>
      </c>
    </row>
    <row r="88" spans="2:20" ht="13.8">
      <c r="B88" s="69"/>
      <c r="C88" s="69"/>
      <c r="D88" s="68" t="str">
        <f t="shared" si="28"/>
        <v>RHTRMSOLE1</v>
      </c>
      <c r="E88" s="86" t="str">
        <f t="shared" si="27"/>
        <v>Residential Heating Technology Rural Multi - Solar - Existing 1</v>
      </c>
      <c r="F88" s="68" t="s">
        <v>44</v>
      </c>
      <c r="G88" s="68" t="s">
        <v>65</v>
      </c>
      <c r="H88" s="79" t="s">
        <v>112</v>
      </c>
      <c r="I88" s="64"/>
      <c r="J88" s="64"/>
      <c r="K88" s="64"/>
      <c r="L88" s="133" t="s">
        <v>759</v>
      </c>
      <c r="M88" s="127" t="s">
        <v>766</v>
      </c>
      <c r="N88" s="127" t="s">
        <v>741</v>
      </c>
      <c r="O88" s="127" t="s">
        <v>735</v>
      </c>
      <c r="P88" t="str">
        <f t="shared" si="26"/>
        <v>SOL</v>
      </c>
      <c r="Q88" s="106" t="s">
        <v>825</v>
      </c>
      <c r="R88">
        <v>1</v>
      </c>
      <c r="S88" s="230" t="str">
        <f>Commodities!$C$27</f>
        <v>RESSOL</v>
      </c>
      <c r="T88" t="str">
        <f>VLOOKUP(S88,Commodities!$C$18:$R$37,16,FALSE)</f>
        <v>Solar</v>
      </c>
    </row>
    <row r="89" spans="2:20" ht="13.8">
      <c r="B89" s="69"/>
      <c r="C89" s="69"/>
      <c r="D89" s="68" t="str">
        <f t="shared" si="28"/>
        <v>RHTRMELCHE1</v>
      </c>
      <c r="E89" s="136" t="str">
        <f t="shared" si="27"/>
        <v>Residential Heating Technology Rural Multi - Electricity Heating - Existing 1</v>
      </c>
      <c r="F89" s="68" t="s">
        <v>44</v>
      </c>
      <c r="G89" s="68" t="s">
        <v>65</v>
      </c>
      <c r="H89" s="79" t="s">
        <v>112</v>
      </c>
      <c r="I89" s="64"/>
      <c r="J89" s="64"/>
      <c r="K89" s="64"/>
      <c r="L89" s="133" t="s">
        <v>759</v>
      </c>
      <c r="M89" s="127" t="s">
        <v>766</v>
      </c>
      <c r="N89" s="127" t="s">
        <v>741</v>
      </c>
      <c r="O89" s="127" t="s">
        <v>735</v>
      </c>
      <c r="P89" t="str">
        <f t="shared" si="26"/>
        <v>ELCH</v>
      </c>
      <c r="Q89" s="106" t="s">
        <v>825</v>
      </c>
      <c r="R89">
        <v>1</v>
      </c>
      <c r="S89" s="230" t="str">
        <f>Commodities!$C$28</f>
        <v>RESELCH</v>
      </c>
      <c r="T89" t="str">
        <f>VLOOKUP(S89,Commodities!$C$18:$R$37,16,FALSE)</f>
        <v>Electricity Heating</v>
      </c>
    </row>
    <row r="90" spans="2:20" ht="13.8">
      <c r="B90" s="69"/>
      <c r="C90" s="69"/>
      <c r="D90" s="68" t="str">
        <f t="shared" si="28"/>
        <v>RHTRMELCHE2</v>
      </c>
      <c r="E90" s="87" t="str">
        <f t="shared" si="27"/>
        <v>Residential Heating Technology Rural Multi - Electricity Heating - Existing 2</v>
      </c>
      <c r="F90" s="68" t="s">
        <v>44</v>
      </c>
      <c r="G90" s="68" t="s">
        <v>65</v>
      </c>
      <c r="H90" s="79" t="s">
        <v>112</v>
      </c>
      <c r="I90" s="64"/>
      <c r="J90" s="64"/>
      <c r="K90" s="64"/>
      <c r="L90" s="133" t="s">
        <v>759</v>
      </c>
      <c r="M90" s="127" t="s">
        <v>766</v>
      </c>
      <c r="N90" s="127" t="s">
        <v>741</v>
      </c>
      <c r="O90" s="127" t="s">
        <v>735</v>
      </c>
      <c r="P90" t="str">
        <f t="shared" si="26"/>
        <v>ELCH</v>
      </c>
      <c r="Q90" s="106" t="s">
        <v>825</v>
      </c>
      <c r="R90">
        <v>2</v>
      </c>
      <c r="S90" s="230" t="s">
        <v>142</v>
      </c>
      <c r="T90" t="str">
        <f>VLOOKUP(S90,Commodities!$C$18:$R$37,16,FALSE)</f>
        <v>Electricity Heating</v>
      </c>
    </row>
    <row r="91" spans="2:20" ht="13.8">
      <c r="B91" s="69"/>
      <c r="C91" s="69"/>
      <c r="D91" s="68" t="str">
        <f t="shared" si="28"/>
        <v>RHTRMHCEE1</v>
      </c>
      <c r="E91" s="86" t="str">
        <f t="shared" si="27"/>
        <v>Residential Heating Technology Rural Multi - District heating Central - Existing 1</v>
      </c>
      <c r="F91" s="68" t="s">
        <v>44</v>
      </c>
      <c r="G91" s="68" t="s">
        <v>65</v>
      </c>
      <c r="H91" s="79" t="s">
        <v>112</v>
      </c>
      <c r="I91" s="81"/>
      <c r="J91" s="64"/>
      <c r="K91" s="64"/>
      <c r="L91" s="133" t="s">
        <v>759</v>
      </c>
      <c r="M91" s="127" t="s">
        <v>766</v>
      </c>
      <c r="N91" s="127" t="s">
        <v>741</v>
      </c>
      <c r="O91" s="127" t="s">
        <v>735</v>
      </c>
      <c r="P91" t="str">
        <f t="shared" si="26"/>
        <v>HCE</v>
      </c>
      <c r="Q91" s="106" t="s">
        <v>825</v>
      </c>
      <c r="R91">
        <v>1</v>
      </c>
      <c r="S91" s="230" t="str">
        <f>Commodities!$C$33</f>
        <v>RESHCE</v>
      </c>
      <c r="T91" t="str">
        <f>VLOOKUP(S91,Commodities!$C$18:$R$37,16,FALSE)</f>
        <v>District heating Central</v>
      </c>
    </row>
    <row r="92" spans="2:20" ht="13.8">
      <c r="B92" s="72"/>
      <c r="C92" s="72"/>
      <c r="D92" s="71" t="str">
        <f t="shared" si="28"/>
        <v>RHTRMLPGE1</v>
      </c>
      <c r="E92" s="88" t="str">
        <f t="shared" si="27"/>
        <v>Residential Heating Technology Rural Multi - LPG - Existing 1</v>
      </c>
      <c r="F92" s="71" t="s">
        <v>44</v>
      </c>
      <c r="G92" s="71" t="s">
        <v>65</v>
      </c>
      <c r="H92" s="75" t="s">
        <v>112</v>
      </c>
      <c r="I92" s="84"/>
      <c r="J92" s="70"/>
      <c r="K92" s="77"/>
      <c r="L92" s="133" t="s">
        <v>759</v>
      </c>
      <c r="M92" s="127" t="s">
        <v>766</v>
      </c>
      <c r="N92" s="127" t="s">
        <v>741</v>
      </c>
      <c r="O92" s="127" t="s">
        <v>735</v>
      </c>
      <c r="P92" t="str">
        <f t="shared" si="26"/>
        <v>LPG</v>
      </c>
      <c r="Q92" s="106" t="s">
        <v>825</v>
      </c>
      <c r="R92">
        <v>1</v>
      </c>
      <c r="S92" s="256" t="str">
        <f>Commodities!$C$20</f>
        <v>RESLPG</v>
      </c>
      <c r="T92" t="str">
        <f>VLOOKUP(S92,Commodities!$C$18:$R$37,16,FALSE)</f>
        <v>LPG</v>
      </c>
    </row>
    <row r="93" spans="2:20" ht="13.8">
      <c r="B93" s="78"/>
      <c r="C93" s="78"/>
      <c r="D93" s="133" t="str">
        <f t="shared" si="28"/>
        <v>RCTUMELCAE1</v>
      </c>
      <c r="E93" s="136" t="str">
        <f t="shared" ref="E93:E96" si="29">$E$2&amp;" "&amp;L93&amp;" "&amp;M93&amp;" "&amp;O93&amp;" "&amp;N93&amp;" - "&amp;T93&amp;" - "&amp;Q93&amp;" "&amp;R93</f>
        <v>Residential Cooling Technology Urban Multi - Electricity Appliances - Existing 1</v>
      </c>
      <c r="F93" s="68" t="s">
        <v>44</v>
      </c>
      <c r="G93" s="68" t="s">
        <v>65</v>
      </c>
      <c r="H93" s="74" t="s">
        <v>112</v>
      </c>
      <c r="I93" s="82"/>
      <c r="J93" s="77"/>
      <c r="K93" s="77"/>
      <c r="L93" s="133" t="s">
        <v>293</v>
      </c>
      <c r="M93" s="127" t="s">
        <v>766</v>
      </c>
      <c r="N93" s="127" t="s">
        <v>741</v>
      </c>
      <c r="O93" s="127" t="s">
        <v>734</v>
      </c>
      <c r="P93" t="str">
        <f t="shared" ref="P93:P96" si="30">RIGHT(S93,LEN(S93)-3)</f>
        <v>ELCA</v>
      </c>
      <c r="Q93" s="106" t="s">
        <v>825</v>
      </c>
      <c r="R93">
        <v>1</v>
      </c>
      <c r="S93" s="256" t="str">
        <f>Commodities!$C$30</f>
        <v>RESELCA</v>
      </c>
      <c r="T93" t="str">
        <f>VLOOKUP(S93,Commodities!$C$18:$R$37,16,FALSE)</f>
        <v>Electricity Appliances</v>
      </c>
    </row>
    <row r="94" spans="2:20" ht="13.8">
      <c r="B94" s="78"/>
      <c r="C94" s="78"/>
      <c r="D94" s="133" t="str">
        <f t="shared" si="28"/>
        <v>RCTRMELCAE1</v>
      </c>
      <c r="E94" s="136" t="str">
        <f t="shared" si="29"/>
        <v>Residential Cooling Technology Rural Multi - Electricity Appliances - Existing 1</v>
      </c>
      <c r="F94" s="68" t="s">
        <v>44</v>
      </c>
      <c r="G94" s="68" t="s">
        <v>65</v>
      </c>
      <c r="H94" s="74" t="s">
        <v>112</v>
      </c>
      <c r="I94" s="82"/>
      <c r="J94" s="77"/>
      <c r="K94" s="77"/>
      <c r="L94" s="133" t="s">
        <v>293</v>
      </c>
      <c r="M94" s="127" t="s">
        <v>766</v>
      </c>
      <c r="N94" s="127" t="s">
        <v>741</v>
      </c>
      <c r="O94" s="127" t="s">
        <v>735</v>
      </c>
      <c r="P94" t="str">
        <f t="shared" si="30"/>
        <v>ELCA</v>
      </c>
      <c r="Q94" s="106" t="s">
        <v>825</v>
      </c>
      <c r="R94">
        <v>1</v>
      </c>
      <c r="S94" s="256" t="str">
        <f>Commodities!$C$30</f>
        <v>RESELCA</v>
      </c>
      <c r="T94" t="str">
        <f>VLOOKUP(S94,Commodities!$C$18:$R$37,16,FALSE)</f>
        <v>Electricity Appliances</v>
      </c>
    </row>
    <row r="95" spans="2:20" ht="13.8">
      <c r="B95" s="78"/>
      <c r="C95" s="78"/>
      <c r="D95" s="133" t="str">
        <f t="shared" si="28"/>
        <v>RCTUDELCAE1</v>
      </c>
      <c r="E95" s="136" t="str">
        <f t="shared" si="29"/>
        <v>Residential Cooling Technology Urban Detached - Electricity Appliances - Existing 1</v>
      </c>
      <c r="F95" s="68" t="s">
        <v>44</v>
      </c>
      <c r="G95" s="68" t="s">
        <v>65</v>
      </c>
      <c r="H95" s="74" t="s">
        <v>112</v>
      </c>
      <c r="I95" s="82"/>
      <c r="J95" s="77"/>
      <c r="K95" s="77"/>
      <c r="L95" s="133" t="s">
        <v>293</v>
      </c>
      <c r="M95" s="127" t="s">
        <v>766</v>
      </c>
      <c r="N95" s="127" t="s">
        <v>116</v>
      </c>
      <c r="O95" s="127" t="s">
        <v>734</v>
      </c>
      <c r="P95" t="str">
        <f t="shared" si="30"/>
        <v>ELCA</v>
      </c>
      <c r="Q95" s="106" t="s">
        <v>825</v>
      </c>
      <c r="R95">
        <v>1</v>
      </c>
      <c r="S95" s="256" t="str">
        <f>Commodities!$C$30</f>
        <v>RESELCA</v>
      </c>
      <c r="T95" t="str">
        <f>VLOOKUP(S95,Commodities!$C$18:$R$37,16,FALSE)</f>
        <v>Electricity Appliances</v>
      </c>
    </row>
    <row r="96" spans="2:20" ht="13.8">
      <c r="B96" s="489"/>
      <c r="C96" s="489"/>
      <c r="D96" s="490" t="str">
        <f t="shared" si="28"/>
        <v>RCTRDELCAE1</v>
      </c>
      <c r="E96" s="491" t="str">
        <f t="shared" si="29"/>
        <v>Residential Cooling Technology Rural Detached - Electricity Appliances - Existing 1</v>
      </c>
      <c r="F96" s="492" t="s">
        <v>44</v>
      </c>
      <c r="G96" s="492" t="s">
        <v>65</v>
      </c>
      <c r="H96" s="493" t="s">
        <v>112</v>
      </c>
      <c r="I96" s="494"/>
      <c r="J96" s="495"/>
      <c r="K96" s="77"/>
      <c r="L96" s="133" t="s">
        <v>293</v>
      </c>
      <c r="M96" s="127" t="s">
        <v>766</v>
      </c>
      <c r="N96" s="127" t="s">
        <v>116</v>
      </c>
      <c r="O96" s="127" t="s">
        <v>735</v>
      </c>
      <c r="P96" t="str">
        <f t="shared" si="30"/>
        <v>ELCA</v>
      </c>
      <c r="Q96" s="106" t="s">
        <v>825</v>
      </c>
      <c r="R96">
        <v>1</v>
      </c>
      <c r="S96" s="256" t="str">
        <f>Commodities!$C$30</f>
        <v>RESELCA</v>
      </c>
      <c r="T96" t="str">
        <f>VLOOKUP(S96,Commodities!$C$18:$R$37,16,FALSE)</f>
        <v>Electricity Appliances</v>
      </c>
    </row>
    <row r="97" spans="2:19" ht="13.8">
      <c r="B97" s="78"/>
      <c r="C97" s="78"/>
      <c r="D97" s="69" t="str">
        <f>"FT-"&amp;$D$2&amp;RIGHT(Commodities!C19,3)</f>
        <v>FT-RESBGA</v>
      </c>
      <c r="E97" s="89" t="str">
        <f>"Fuel Technology "&amp;Commodities!D19</f>
        <v>Fuel Technology Residential      Biogas</v>
      </c>
      <c r="F97" s="68" t="s">
        <v>44</v>
      </c>
      <c r="G97" s="68" t="s">
        <v>66</v>
      </c>
      <c r="H97" s="74"/>
      <c r="I97" s="82"/>
      <c r="J97" s="77"/>
      <c r="K97" s="77"/>
      <c r="L97" s="133"/>
      <c r="M97" s="127"/>
      <c r="N97" s="127"/>
      <c r="O97" s="127"/>
      <c r="Q97" s="106"/>
      <c r="S97" s="259"/>
    </row>
    <row r="98" spans="2:19">
      <c r="B98" s="69"/>
      <c r="C98" s="69"/>
      <c r="D98" s="69" t="str">
        <f>"FT-"&amp;$D$2&amp;RIGHT(Commodities!C18,3)</f>
        <v>FT-RESNGA</v>
      </c>
      <c r="E98" s="89" t="str">
        <f>"Fuel Technology "&amp;Commodities!D18</f>
        <v>Fuel Technology Residential      Natural Gas</v>
      </c>
      <c r="F98" s="68" t="s">
        <v>44</v>
      </c>
      <c r="G98" s="68" t="s">
        <v>66</v>
      </c>
      <c r="H98" s="64"/>
      <c r="I98" s="64"/>
      <c r="J98" s="64"/>
      <c r="K98" s="64"/>
      <c r="L98" s="106"/>
      <c r="N98" s="127"/>
      <c r="O98" s="127"/>
    </row>
    <row r="99" spans="2:19">
      <c r="B99" s="69"/>
      <c r="C99" s="69"/>
      <c r="D99" s="69" t="str">
        <f>"FT-"&amp;$D$2&amp;RIGHT(Commodities!C20,3)</f>
        <v>FT-RESLPG</v>
      </c>
      <c r="E99" s="89" t="str">
        <f>"Fuel Technology "&amp;Commodities!D20</f>
        <v>Fuel Technology Residential      LPG</v>
      </c>
      <c r="F99" s="68" t="s">
        <v>44</v>
      </c>
      <c r="G99" s="68" t="s">
        <v>66</v>
      </c>
      <c r="H99" s="64"/>
      <c r="I99" s="64"/>
      <c r="J99" s="64"/>
      <c r="K99" s="64"/>
      <c r="L99" s="106"/>
      <c r="N99" s="127"/>
      <c r="O99" s="127"/>
    </row>
    <row r="100" spans="2:19">
      <c r="B100" s="69"/>
      <c r="C100" s="69"/>
      <c r="D100" s="69" t="str">
        <f>"FT-"&amp;$D$2&amp;RIGHT(Commodities!C21,3)</f>
        <v>FT-RESDSL</v>
      </c>
      <c r="E100" s="89" t="str">
        <f>"Fuel Technology "&amp;Commodities!D21</f>
        <v>Fuel Technology Residential      Diesel</v>
      </c>
      <c r="F100" s="68" t="s">
        <v>44</v>
      </c>
      <c r="G100" s="68" t="s">
        <v>66</v>
      </c>
      <c r="H100" s="64"/>
      <c r="I100" s="64"/>
      <c r="J100" s="64"/>
      <c r="K100" s="64"/>
      <c r="N100" s="127"/>
      <c r="O100" s="127"/>
    </row>
    <row r="101" spans="2:19">
      <c r="B101" s="69"/>
      <c r="C101" s="69"/>
      <c r="D101" s="69" t="str">
        <f>"FT-"&amp;$D$2&amp;RIGHT(Commodities!C22,3)</f>
        <v>FT-RESGSL</v>
      </c>
      <c r="E101" s="89" t="str">
        <f>"Fuel Technology "&amp;Commodities!D22</f>
        <v>Fuel Technology Residential      Gasoline</v>
      </c>
      <c r="F101" s="68" t="s">
        <v>44</v>
      </c>
      <c r="G101" s="68" t="s">
        <v>66</v>
      </c>
      <c r="H101" s="64"/>
      <c r="I101" s="64"/>
      <c r="J101" s="64"/>
      <c r="K101" s="64"/>
      <c r="N101" s="127"/>
      <c r="O101" s="127"/>
    </row>
    <row r="102" spans="2:19">
      <c r="B102" s="69"/>
      <c r="C102" s="69"/>
      <c r="D102" s="69" t="str">
        <f>"FT-"&amp;$D$2&amp;RIGHT(Commodities!C23,3)</f>
        <v>FT-RESWPE</v>
      </c>
      <c r="E102" s="89" t="str">
        <f>"Fuel Technology "&amp;Commodities!D23</f>
        <v>Fuel Technology Residential      Wood pellets</v>
      </c>
      <c r="F102" s="68" t="s">
        <v>44</v>
      </c>
      <c r="G102" s="68" t="s">
        <v>66</v>
      </c>
      <c r="H102" s="64"/>
      <c r="I102" s="64"/>
      <c r="J102" s="64"/>
      <c r="K102" s="64"/>
    </row>
    <row r="103" spans="2:19">
      <c r="B103" s="69"/>
      <c r="C103" s="69"/>
      <c r="D103" s="69" t="str">
        <f>"FT-"&amp;$D$2&amp;RIGHT(Commodities!C24,3)</f>
        <v>FT-RESFIW</v>
      </c>
      <c r="E103" s="89" t="str">
        <f>"Fuel Technology "&amp;Commodities!D24</f>
        <v>Fuel Technology Residential      Fire wood</v>
      </c>
      <c r="F103" s="68" t="s">
        <v>44</v>
      </c>
      <c r="G103" s="68" t="s">
        <v>66</v>
      </c>
      <c r="H103" s="64"/>
      <c r="I103" s="64"/>
      <c r="J103" s="64"/>
      <c r="K103" s="64"/>
    </row>
    <row r="104" spans="2:19" s="617" customFormat="1">
      <c r="B104" s="613"/>
      <c r="C104" s="613"/>
      <c r="D104" s="613" t="str">
        <f>"FT-"&amp;$D$2&amp;RIGHT(Commodities!C25,3)</f>
        <v>FT-RESCOA</v>
      </c>
      <c r="E104" s="614" t="str">
        <f>"Fuel Technology "&amp;Commodities!D25</f>
        <v>Fuel Technology Residential      Coal</v>
      </c>
      <c r="F104" s="615" t="s">
        <v>44</v>
      </c>
      <c r="G104" s="615" t="s">
        <v>66</v>
      </c>
      <c r="H104" s="613"/>
      <c r="I104" s="613"/>
      <c r="J104" s="613"/>
      <c r="K104" s="613"/>
    </row>
    <row r="105" spans="2:19">
      <c r="B105" s="64"/>
      <c r="C105" s="64"/>
      <c r="D105" s="64" t="str">
        <f>"FT-"&amp;$D$2&amp;RIGHT(Commodities!C26,3)</f>
        <v>FT-RESSH2</v>
      </c>
      <c r="E105" s="64" t="str">
        <f>"Fuel Technology "&amp;Commodities!D26</f>
        <v>Fuel Technology Residential      Hydrogen</v>
      </c>
      <c r="F105" s="149" t="s">
        <v>44</v>
      </c>
      <c r="G105" s="149" t="s">
        <v>66</v>
      </c>
      <c r="H105" s="64"/>
      <c r="I105" s="64"/>
      <c r="J105" s="64"/>
      <c r="K105" s="64"/>
    </row>
    <row r="106" spans="2:19">
      <c r="B106" s="69"/>
      <c r="C106" s="69"/>
      <c r="D106" s="69" t="str">
        <f>"FT-"&amp;$D$2&amp;RIGHT(Commodities!C27,3)</f>
        <v>FT-RESSOL</v>
      </c>
      <c r="E106" s="89" t="str">
        <f>"Fuel Technology "&amp;Commodities!D27</f>
        <v>Fuel Technology Residential      Solar</v>
      </c>
      <c r="F106" s="68" t="s">
        <v>44</v>
      </c>
      <c r="G106" s="68" t="s">
        <v>66</v>
      </c>
      <c r="H106" s="64"/>
      <c r="I106" s="64"/>
      <c r="J106" s="64"/>
      <c r="K106" s="64"/>
    </row>
    <row r="107" spans="2:19">
      <c r="B107" s="69"/>
      <c r="C107" s="69"/>
      <c r="D107" s="69" t="str">
        <f>"FT-"&amp;$D$2&amp;RIGHT(Commodities!C28,3)</f>
        <v>FT-RESLCH</v>
      </c>
      <c r="E107" s="89" t="str">
        <f>"Fuel Technology for "&amp;Commodities!D28</f>
        <v>Fuel Technology for Residential      Electricity Heating</v>
      </c>
      <c r="F107" s="68" t="s">
        <v>44</v>
      </c>
      <c r="G107" s="68" t="s">
        <v>66</v>
      </c>
      <c r="H107" s="79" t="s">
        <v>112</v>
      </c>
      <c r="I107" s="64"/>
      <c r="J107" s="64"/>
      <c r="K107" s="64"/>
    </row>
    <row r="108" spans="2:19">
      <c r="B108" s="69"/>
      <c r="C108" s="69"/>
      <c r="D108" s="69" t="str">
        <f>"FT-"&amp;$D$2&amp;RIGHT(Commodities!C29,3)</f>
        <v>FT-RESLCC</v>
      </c>
      <c r="E108" s="89" t="str">
        <f>"Fuel Technology for "&amp;Commodities!D29</f>
        <v>Fuel Technology for Residential      Electricity Cooling</v>
      </c>
      <c r="F108" s="68" t="s">
        <v>44</v>
      </c>
      <c r="G108" s="68" t="s">
        <v>66</v>
      </c>
      <c r="H108" s="79" t="s">
        <v>112</v>
      </c>
      <c r="I108" s="64"/>
      <c r="J108" s="64"/>
      <c r="K108" s="64"/>
    </row>
    <row r="109" spans="2:19">
      <c r="B109" s="69"/>
      <c r="C109" s="69"/>
      <c r="D109" s="69" t="str">
        <f>"FT-"&amp;$D$2&amp;RIGHT(Commodities!C30,3)</f>
        <v>FT-RESLCA</v>
      </c>
      <c r="E109" s="89" t="str">
        <f>"Fuel Technology for "&amp;Commodities!D30</f>
        <v>Fuel Technology for Residential      Electricity Appliances</v>
      </c>
      <c r="F109" s="68" t="s">
        <v>44</v>
      </c>
      <c r="G109" s="68" t="s">
        <v>66</v>
      </c>
      <c r="H109" s="79" t="s">
        <v>112</v>
      </c>
      <c r="I109" s="64"/>
      <c r="J109" s="64"/>
      <c r="K109" s="64"/>
    </row>
    <row r="110" spans="2:19" s="617" customFormat="1">
      <c r="B110" s="613"/>
      <c r="C110" s="613"/>
      <c r="D110" s="613" t="str">
        <f>"FT-"&amp;$D$2&amp;RIGHT(Commodities!C31,3)</f>
        <v>FT-RESLCO</v>
      </c>
      <c r="E110" s="614" t="str">
        <f>"Fuel Technology for "&amp;Commodities!D31</f>
        <v>Fuel Technology for Residential      Electricity Cooking</v>
      </c>
      <c r="F110" s="615" t="s">
        <v>44</v>
      </c>
      <c r="G110" s="615" t="s">
        <v>66</v>
      </c>
      <c r="H110" s="616" t="s">
        <v>112</v>
      </c>
      <c r="I110" s="613"/>
      <c r="J110" s="613"/>
      <c r="K110" s="613"/>
    </row>
    <row r="111" spans="2:19" s="617" customFormat="1">
      <c r="B111" s="613"/>
      <c r="C111" s="613"/>
      <c r="D111" s="613" t="str">
        <f>"FT-"&amp;$D$2&amp;RIGHT(Commodities!C32,3)</f>
        <v>FT-RESLCW</v>
      </c>
      <c r="E111" s="614" t="str">
        <f>"Fuel Technology for "&amp;Commodities!D32</f>
        <v>Fuel Technology for Residential      Electricity Water Heating</v>
      </c>
      <c r="F111" s="615" t="s">
        <v>44</v>
      </c>
      <c r="G111" s="615" t="s">
        <v>66</v>
      </c>
      <c r="H111" s="616" t="s">
        <v>112</v>
      </c>
      <c r="I111" s="613"/>
      <c r="J111" s="613"/>
      <c r="K111" s="613"/>
    </row>
    <row r="112" spans="2:19">
      <c r="B112" s="69"/>
      <c r="C112" s="69"/>
      <c r="D112" s="69" t="str">
        <f>"FT-"&amp;$D$2&amp;RIGHT(Commodities!C33,3)</f>
        <v>FT-RESHCE</v>
      </c>
      <c r="E112" s="89" t="str">
        <f>"Fuel Technology "&amp;Commodities!D33</f>
        <v>Fuel Technology Residential      District heating Central</v>
      </c>
      <c r="F112" s="68" t="s">
        <v>44</v>
      </c>
      <c r="G112" s="68" t="s">
        <v>66</v>
      </c>
      <c r="H112" s="79" t="s">
        <v>112</v>
      </c>
      <c r="I112" s="64"/>
      <c r="J112" s="64"/>
      <c r="K112" s="64"/>
    </row>
    <row r="113" spans="2:12">
      <c r="B113" s="78"/>
      <c r="C113" s="78"/>
      <c r="D113" s="78" t="str">
        <f>"FT-"&amp;$D$2&amp;RIGHT(Commodities!C35,3)</f>
        <v>FT-RESHDE</v>
      </c>
      <c r="E113" s="80" t="str">
        <f>"Fuel Technology "&amp;Commodities!D35</f>
        <v>Fuel Technology Residential      District heating Decentral</v>
      </c>
      <c r="F113" s="68" t="s">
        <v>44</v>
      </c>
      <c r="G113" s="68" t="s">
        <v>66</v>
      </c>
      <c r="H113" s="74" t="s">
        <v>112</v>
      </c>
      <c r="I113" s="77"/>
      <c r="J113" s="77"/>
      <c r="K113" s="77"/>
      <c r="L113" s="1"/>
    </row>
    <row r="114" spans="2:12">
      <c r="B114" s="77"/>
      <c r="C114" s="77"/>
      <c r="D114" s="78" t="str">
        <f>"FT-"&amp;$D$2&amp;RIGHT(Commodities!C36,3)</f>
        <v>FT-RESSNG</v>
      </c>
      <c r="E114" s="80" t="str">
        <f>"Fuel Technology "&amp;Commodities!D36</f>
        <v>Fuel Technology Residential      Synthetic Natural Gas</v>
      </c>
      <c r="F114" s="68" t="s">
        <v>44</v>
      </c>
      <c r="G114" s="68" t="s">
        <v>66</v>
      </c>
      <c r="H114" s="77"/>
      <c r="I114" s="77"/>
      <c r="J114" s="77"/>
      <c r="K114" s="77"/>
      <c r="L114" s="1"/>
    </row>
    <row r="115" spans="2:12">
      <c r="B115" s="64"/>
      <c r="C115" s="64"/>
      <c r="D115" s="78" t="str">
        <f>"FT-"&amp;$D$2&amp;RIGHT(Commodities!C37,3)</f>
        <v>FT-RESDSB</v>
      </c>
      <c r="E115" s="80" t="str">
        <f>"Fuel Technology "&amp;Commodities!D37</f>
        <v>Fuel Technology Residential      Renewable Diesel</v>
      </c>
      <c r="F115" s="68" t="s">
        <v>44</v>
      </c>
      <c r="G115" s="68" t="s">
        <v>66</v>
      </c>
      <c r="H115" s="64"/>
      <c r="I115" s="77"/>
      <c r="J115" s="77"/>
      <c r="K115" s="77"/>
    </row>
    <row r="116" spans="2:12">
      <c r="B116" s="1"/>
      <c r="C116" s="1"/>
      <c r="D116" s="6"/>
      <c r="F116" s="68"/>
      <c r="G116" s="68"/>
      <c r="H116" s="79"/>
      <c r="I116" s="1"/>
      <c r="J116" s="1"/>
      <c r="K116" s="1"/>
    </row>
    <row r="117" spans="2:12">
      <c r="B117" s="69"/>
      <c r="C117" s="69"/>
      <c r="D117" s="6"/>
      <c r="F117" s="68"/>
      <c r="G117" s="68"/>
      <c r="H117" s="79"/>
    </row>
    <row r="118" spans="2:12">
      <c r="B118" s="77"/>
      <c r="C118" s="77"/>
      <c r="H118" s="74"/>
    </row>
  </sheetData>
  <mergeCells count="1">
    <mergeCell ref="L4:S4"/>
  </mergeCells>
  <phoneticPr fontId="28" type="noConversion"/>
  <pageMargins left="0.75" right="0.75" top="1" bottom="1" header="0.5" footer="0.5"/>
  <pageSetup paperSize="9"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92D050"/>
  </sheetPr>
  <dimension ref="B1:I37"/>
  <sheetViews>
    <sheetView topLeftCell="A4" zoomScaleNormal="100" workbookViewId="0">
      <selection activeCell="D8" sqref="D8"/>
    </sheetView>
  </sheetViews>
  <sheetFormatPr defaultColWidth="8.77734375" defaultRowHeight="13.2"/>
  <cols>
    <col min="1" max="1" width="4.6640625" customWidth="1"/>
    <col min="2" max="2" width="16.33203125" customWidth="1"/>
    <col min="3" max="3" width="53.44140625" bestFit="1" customWidth="1"/>
    <col min="4" max="4" width="10.44140625" bestFit="1" customWidth="1"/>
    <col min="5" max="5" width="11.44140625" customWidth="1"/>
    <col min="6" max="6" width="5" bestFit="1" customWidth="1"/>
    <col min="7" max="7" width="4" bestFit="1" customWidth="1"/>
    <col min="8" max="8" width="15" customWidth="1"/>
    <col min="9" max="9" width="15.21875" customWidth="1"/>
  </cols>
  <sheetData>
    <row r="1" spans="2:9">
      <c r="E1">
        <v>1</v>
      </c>
      <c r="G1" s="47"/>
      <c r="H1" s="48"/>
    </row>
    <row r="3" spans="2:9" ht="13.8">
      <c r="B3" s="8"/>
      <c r="C3" s="13"/>
      <c r="D3" s="13"/>
      <c r="E3" s="14" t="s">
        <v>8</v>
      </c>
      <c r="F3" s="13"/>
    </row>
    <row r="4" spans="2:9" ht="13.8">
      <c r="B4" s="12" t="s">
        <v>2</v>
      </c>
      <c r="C4" s="12" t="s">
        <v>26</v>
      </c>
      <c r="D4" s="12" t="s">
        <v>14</v>
      </c>
      <c r="E4" s="15" t="s">
        <v>15</v>
      </c>
      <c r="F4" s="16" t="s">
        <v>16</v>
      </c>
      <c r="G4" s="16" t="s">
        <v>107</v>
      </c>
      <c r="H4" s="16"/>
      <c r="I4" s="16"/>
    </row>
    <row r="5" spans="2:9" ht="13.8" thickBot="1">
      <c r="B5" s="17" t="s">
        <v>45</v>
      </c>
      <c r="C5" s="18"/>
      <c r="D5" s="18"/>
      <c r="E5" s="19"/>
      <c r="F5" s="20"/>
      <c r="G5" s="20"/>
      <c r="H5" s="20"/>
      <c r="I5" s="20"/>
    </row>
    <row r="6" spans="2:9" ht="13.8" thickBot="1">
      <c r="B6" s="193" t="str">
        <f>Processes!D98</f>
        <v>FT-RESNGA</v>
      </c>
      <c r="C6" s="193" t="str">
        <f>Processes!E98</f>
        <v>Fuel Technology Residential      Natural Gas</v>
      </c>
      <c r="D6" s="193" t="s">
        <v>959</v>
      </c>
      <c r="E6" s="193" t="str">
        <f>Commodities!C18</f>
        <v>RESNGA</v>
      </c>
      <c r="F6" s="194">
        <v>1</v>
      </c>
      <c r="G6" s="193">
        <v>50</v>
      </c>
      <c r="H6" s="279"/>
      <c r="I6" s="279"/>
    </row>
    <row r="7" spans="2:9" s="617" customFormat="1" ht="13.8" thickBot="1">
      <c r="B7" s="621" t="str">
        <f>Processes!D97</f>
        <v>FT-RESBGA</v>
      </c>
      <c r="C7" s="621" t="str">
        <f>Processes!E97</f>
        <v>Fuel Technology Residential      Biogas</v>
      </c>
      <c r="D7" s="621" t="s">
        <v>891</v>
      </c>
      <c r="E7" s="621" t="str">
        <f>Commodities!C19</f>
        <v>RESBGA</v>
      </c>
      <c r="F7" s="622">
        <v>1</v>
      </c>
      <c r="G7" s="621">
        <v>50</v>
      </c>
      <c r="H7" s="623"/>
      <c r="I7" s="623"/>
    </row>
    <row r="8" spans="2:9">
      <c r="B8" s="193" t="str">
        <f>Processes!D99</f>
        <v>FT-RESLPG</v>
      </c>
      <c r="C8" s="193" t="str">
        <f>Processes!E99</f>
        <v>Fuel Technology Residential      LPG</v>
      </c>
      <c r="D8" s="193" t="str">
        <f>RIGHT(Commodities!C20,3)</f>
        <v>LPG</v>
      </c>
      <c r="E8" s="193" t="str">
        <f>Commodities!C20</f>
        <v>RESLPG</v>
      </c>
      <c r="F8" s="194">
        <v>1</v>
      </c>
      <c r="G8" s="193">
        <v>50</v>
      </c>
      <c r="H8" s="279"/>
      <c r="I8" s="279"/>
    </row>
    <row r="9" spans="2:9">
      <c r="B9" s="1" t="str">
        <f>Processes!D100</f>
        <v>FT-RESDSL</v>
      </c>
      <c r="C9" s="1" t="str">
        <f>Processes!E100</f>
        <v>Fuel Technology Residential      Diesel</v>
      </c>
      <c r="D9" s="1" t="str">
        <f>RIGHT(Commodities!C21,3)</f>
        <v>DSL</v>
      </c>
      <c r="E9" s="1" t="str">
        <f>Commodities!C21</f>
        <v>RESDSL</v>
      </c>
      <c r="F9" s="21">
        <v>1</v>
      </c>
      <c r="G9" s="1">
        <v>50</v>
      </c>
      <c r="H9" s="280"/>
      <c r="I9" s="280"/>
    </row>
    <row r="10" spans="2:9">
      <c r="B10" s="1" t="str">
        <f>Processes!D101</f>
        <v>FT-RESGSL</v>
      </c>
      <c r="C10" s="1" t="str">
        <f>Processes!E101</f>
        <v>Fuel Technology Residential      Gasoline</v>
      </c>
      <c r="D10" s="1" t="str">
        <f>RIGHT(Commodities!C22,3)</f>
        <v>GSL</v>
      </c>
      <c r="E10" s="1" t="str">
        <f>Commodities!C22</f>
        <v>RESGSL</v>
      </c>
      <c r="F10" s="21">
        <v>1</v>
      </c>
      <c r="G10" s="1">
        <v>50</v>
      </c>
      <c r="H10" s="280"/>
      <c r="I10" s="280"/>
    </row>
    <row r="11" spans="2:9">
      <c r="B11" s="1" t="str">
        <f>Processes!D104</f>
        <v>FT-RESCOA</v>
      </c>
      <c r="C11" s="1" t="str">
        <f>Processes!E104</f>
        <v>Fuel Technology Residential      Coal</v>
      </c>
      <c r="D11" s="1" t="str">
        <f>RIGHT(Commodities!C25,3)</f>
        <v>COA</v>
      </c>
      <c r="E11" s="1" t="str">
        <f>Commodities!C25</f>
        <v>RESCOA</v>
      </c>
      <c r="F11" s="21">
        <v>1</v>
      </c>
      <c r="G11" s="1">
        <v>50</v>
      </c>
      <c r="H11" s="280"/>
      <c r="I11" s="280"/>
    </row>
    <row r="12" spans="2:9">
      <c r="B12" s="1" t="str">
        <f>Processes!D102</f>
        <v>FT-RESWPE</v>
      </c>
      <c r="C12" s="1" t="str">
        <f>Processes!E102</f>
        <v>Fuel Technology Residential      Wood pellets</v>
      </c>
      <c r="D12" s="1" t="str">
        <f>RIGHT(Commodities!C23,3)</f>
        <v>WPE</v>
      </c>
      <c r="E12" s="1" t="str">
        <f>Commodities!C23</f>
        <v>RESWPE</v>
      </c>
      <c r="F12" s="21">
        <v>1</v>
      </c>
      <c r="G12" s="1">
        <v>50</v>
      </c>
      <c r="H12" s="280"/>
      <c r="I12" s="280"/>
    </row>
    <row r="13" spans="2:9">
      <c r="B13" s="1" t="str">
        <f>Processes!D103</f>
        <v>FT-RESFIW</v>
      </c>
      <c r="C13" s="1" t="str">
        <f>Processes!E103</f>
        <v>Fuel Technology Residential      Fire wood</v>
      </c>
      <c r="D13" s="1" t="str">
        <f>RIGHT(Commodities!C24,3)</f>
        <v>FIW</v>
      </c>
      <c r="E13" s="1" t="str">
        <f>Commodities!C24</f>
        <v>RESFIW</v>
      </c>
      <c r="F13" s="21">
        <v>1</v>
      </c>
      <c r="G13" s="1">
        <v>50</v>
      </c>
      <c r="H13" s="280"/>
      <c r="I13" s="280"/>
    </row>
    <row r="14" spans="2:9">
      <c r="B14" s="1" t="str">
        <f>Processes!D104</f>
        <v>FT-RESCOA</v>
      </c>
      <c r="C14" s="1" t="str">
        <f>Processes!E104</f>
        <v>Fuel Technology Residential      Coal</v>
      </c>
      <c r="D14" s="1" t="str">
        <f>RIGHT(Commodities!C25,3)</f>
        <v>COA</v>
      </c>
      <c r="E14" s="1" t="str">
        <f>Commodities!C25</f>
        <v>RESCOA</v>
      </c>
      <c r="F14" s="21">
        <v>1</v>
      </c>
      <c r="G14" s="1">
        <v>50</v>
      </c>
      <c r="H14" s="280"/>
      <c r="I14" s="280"/>
    </row>
    <row r="15" spans="2:9">
      <c r="B15" s="1" t="str">
        <f>Processes!D105</f>
        <v>FT-RESSH2</v>
      </c>
      <c r="C15" s="1" t="str">
        <f>Processes!E105</f>
        <v>Fuel Technology Residential      Hydrogen</v>
      </c>
      <c r="D15" s="1" t="s">
        <v>186</v>
      </c>
      <c r="E15" s="1" t="str">
        <f>Commodities!C26</f>
        <v>RESH2</v>
      </c>
      <c r="F15" s="21">
        <v>1</v>
      </c>
      <c r="G15" s="1">
        <v>50</v>
      </c>
      <c r="H15" s="280"/>
      <c r="I15" s="280"/>
    </row>
    <row r="16" spans="2:9">
      <c r="B16" s="1" t="str">
        <f>Processes!D106</f>
        <v>FT-RESSOL</v>
      </c>
      <c r="C16" s="1" t="str">
        <f>Processes!E106</f>
        <v>Fuel Technology Residential      Solar</v>
      </c>
      <c r="D16" s="1" t="str">
        <f>RIGHT(Commodities!C27,3)</f>
        <v>SOL</v>
      </c>
      <c r="E16" s="1" t="str">
        <f>Commodities!C27</f>
        <v>RESSOL</v>
      </c>
      <c r="F16" s="21">
        <v>1</v>
      </c>
      <c r="G16" s="1">
        <v>50</v>
      </c>
      <c r="H16" s="280"/>
      <c r="I16" s="280"/>
    </row>
    <row r="17" spans="2:9">
      <c r="B17" s="1" t="str">
        <f>Processes!D107</f>
        <v>FT-RESLCH</v>
      </c>
      <c r="C17" s="1" t="str">
        <f>Processes!E107</f>
        <v>Fuel Technology for Residential      Electricity Heating</v>
      </c>
      <c r="D17" s="1" t="s">
        <v>839</v>
      </c>
      <c r="E17" s="1" t="str">
        <f>Commodities!C28</f>
        <v>RESELCH</v>
      </c>
      <c r="F17" s="21">
        <v>1</v>
      </c>
      <c r="G17" s="1">
        <v>50</v>
      </c>
      <c r="H17" s="280"/>
      <c r="I17" s="280"/>
    </row>
    <row r="18" spans="2:9">
      <c r="B18" s="1" t="str">
        <f>Processes!D108</f>
        <v>FT-RESLCC</v>
      </c>
      <c r="C18" s="1" t="str">
        <f>Processes!E108</f>
        <v>Fuel Technology for Residential      Electricity Cooling</v>
      </c>
      <c r="D18" s="1" t="s">
        <v>839</v>
      </c>
      <c r="E18" s="1" t="str">
        <f>Commodities!C29</f>
        <v>RESELCC</v>
      </c>
      <c r="F18" s="21">
        <v>1</v>
      </c>
      <c r="G18" s="1">
        <v>50</v>
      </c>
      <c r="H18" s="280"/>
      <c r="I18" s="280"/>
    </row>
    <row r="19" spans="2:9">
      <c r="B19" s="1" t="str">
        <f>Processes!D109</f>
        <v>FT-RESLCA</v>
      </c>
      <c r="C19" s="1" t="str">
        <f>Processes!E109</f>
        <v>Fuel Technology for Residential      Electricity Appliances</v>
      </c>
      <c r="D19" s="1" t="s">
        <v>839</v>
      </c>
      <c r="E19" s="1" t="str">
        <f>Commodities!C30</f>
        <v>RESELCA</v>
      </c>
      <c r="F19" s="21">
        <v>1</v>
      </c>
      <c r="G19" s="1">
        <v>50</v>
      </c>
      <c r="H19" s="280"/>
      <c r="I19" s="280"/>
    </row>
    <row r="20" spans="2:9" s="617" customFormat="1">
      <c r="B20" s="618" t="str">
        <f>Processes!D110</f>
        <v>FT-RESLCO</v>
      </c>
      <c r="C20" s="618" t="str">
        <f>Processes!E110</f>
        <v>Fuel Technology for Residential      Electricity Cooking</v>
      </c>
      <c r="D20" s="618" t="s">
        <v>839</v>
      </c>
      <c r="E20" s="618" t="str">
        <f>Commodities!C31</f>
        <v>RESELCO</v>
      </c>
      <c r="F20" s="619">
        <v>1</v>
      </c>
      <c r="G20" s="618">
        <v>50</v>
      </c>
      <c r="H20" s="620"/>
      <c r="I20" s="620"/>
    </row>
    <row r="21" spans="2:9" s="617" customFormat="1">
      <c r="B21" s="618" t="str">
        <f>Processes!D111</f>
        <v>FT-RESLCW</v>
      </c>
      <c r="C21" s="618" t="str">
        <f>Processes!E111</f>
        <v>Fuel Technology for Residential      Electricity Water Heating</v>
      </c>
      <c r="D21" s="618" t="s">
        <v>839</v>
      </c>
      <c r="E21" s="618" t="str">
        <f>Commodities!C32</f>
        <v>RESELCW</v>
      </c>
      <c r="F21" s="619">
        <v>1</v>
      </c>
      <c r="G21" s="618">
        <v>50</v>
      </c>
      <c r="H21" s="620"/>
      <c r="I21" s="620"/>
    </row>
    <row r="22" spans="2:9">
      <c r="B22" s="1" t="str">
        <f>Processes!D112</f>
        <v>FT-RESHCE</v>
      </c>
      <c r="C22" s="1" t="str">
        <f>Processes!E112</f>
        <v>Fuel Technology Residential      District heating Central</v>
      </c>
      <c r="D22" s="473" t="s">
        <v>838</v>
      </c>
      <c r="E22" s="3" t="str">
        <f>Commodities!C33</f>
        <v>RESHCE</v>
      </c>
      <c r="F22" s="520">
        <v>1</v>
      </c>
      <c r="G22" s="1">
        <v>50</v>
      </c>
      <c r="H22" s="280"/>
      <c r="I22" s="280"/>
    </row>
    <row r="23" spans="2:9">
      <c r="B23" s="187" t="str">
        <f>Processes!D113</f>
        <v>FT-RESHDE</v>
      </c>
      <c r="C23" s="187" t="str">
        <f>Processes!E113</f>
        <v>Fuel Technology Residential      District heating Decentral</v>
      </c>
      <c r="D23" s="652" t="s">
        <v>838</v>
      </c>
      <c r="E23" s="195" t="str">
        <f>Commodities!C35</f>
        <v>RESHDE</v>
      </c>
      <c r="F23" s="521">
        <v>1</v>
      </c>
      <c r="G23" s="187">
        <v>50</v>
      </c>
      <c r="H23" s="281"/>
      <c r="I23" s="281"/>
    </row>
    <row r="24" spans="2:9">
      <c r="B24" s="1" t="str">
        <f>Processes!D114</f>
        <v>FT-RESSNG</v>
      </c>
      <c r="C24" s="1" t="str">
        <f>Processes!E114</f>
        <v>Fuel Technology Residential      Synthetic Natural Gas</v>
      </c>
      <c r="D24" t="str">
        <f>RIGHT(Commodities!C36,3)&amp;"1"</f>
        <v>SNG1</v>
      </c>
      <c r="E24" t="str">
        <f>Commodities!C36</f>
        <v>RESSNG</v>
      </c>
      <c r="F24" s="21">
        <v>1</v>
      </c>
      <c r="G24">
        <v>50</v>
      </c>
    </row>
    <row r="25" spans="2:9">
      <c r="B25" s="1"/>
      <c r="C25" s="1"/>
      <c r="D25" t="str">
        <f>RIGHT(Commodities!C36,3)&amp;"2"</f>
        <v>SNG2</v>
      </c>
      <c r="F25" s="21"/>
    </row>
    <row r="26" spans="2:9">
      <c r="B26" s="1"/>
      <c r="C26" s="1"/>
      <c r="D26" t="s">
        <v>761</v>
      </c>
      <c r="F26" s="21"/>
    </row>
    <row r="27" spans="2:9">
      <c r="B27" s="1" t="str">
        <f>Processes!D115</f>
        <v>FT-RESDSB</v>
      </c>
      <c r="C27" s="1" t="str">
        <f>Processes!E115</f>
        <v>Fuel Technology Residential      Renewable Diesel</v>
      </c>
      <c r="D27" t="str">
        <f>RIGHT(Commodities!C37,3)&amp;"1"</f>
        <v>DSB1</v>
      </c>
      <c r="E27" t="str">
        <f>Commodities!C37</f>
        <v>RESDSB</v>
      </c>
      <c r="F27" s="21">
        <v>1</v>
      </c>
      <c r="G27">
        <v>50</v>
      </c>
      <c r="H27" s="1"/>
      <c r="I27" s="3"/>
    </row>
    <row r="28" spans="2:9">
      <c r="D28" t="str">
        <f>RIGHT(Commodities!C37,3)&amp;"2"</f>
        <v>DSB2</v>
      </c>
      <c r="F28" s="21"/>
    </row>
    <row r="29" spans="2:9">
      <c r="B29" s="6"/>
      <c r="D29" s="4" t="s">
        <v>762</v>
      </c>
      <c r="E29" s="34"/>
      <c r="F29" s="30"/>
    </row>
    <row r="30" spans="2:9">
      <c r="B30" s="6"/>
      <c r="D30" s="4"/>
      <c r="E30" s="34"/>
      <c r="F30" s="30"/>
    </row>
    <row r="31" spans="2:9">
      <c r="H31" s="132"/>
      <c r="I31" s="290"/>
    </row>
    <row r="32" spans="2:9" ht="14.4">
      <c r="I32" s="134"/>
    </row>
    <row r="37" spans="9:9">
      <c r="I37" s="106"/>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2:AD1576"/>
  <sheetViews>
    <sheetView topLeftCell="H1" zoomScale="80" zoomScaleNormal="80" workbookViewId="0">
      <selection activeCell="X8" sqref="X8"/>
    </sheetView>
  </sheetViews>
  <sheetFormatPr defaultColWidth="8.77734375" defaultRowHeight="13.8"/>
  <cols>
    <col min="2" max="2" width="13.33203125" bestFit="1" customWidth="1"/>
    <col min="3" max="3" width="66.77734375" bestFit="1" customWidth="1"/>
    <col min="4" max="4" width="10.44140625" style="227" bestFit="1" customWidth="1"/>
    <col min="5" max="5" width="13.44140625" style="227" bestFit="1" customWidth="1"/>
    <col min="6" max="6" width="14" bestFit="1" customWidth="1"/>
    <col min="7" max="7" width="9.44140625" bestFit="1" customWidth="1"/>
    <col min="21" max="21" width="16.21875" bestFit="1" customWidth="1"/>
    <col min="22" max="22" width="14.6640625" bestFit="1" customWidth="1"/>
    <col min="23" max="23" width="6.6640625" customWidth="1"/>
  </cols>
  <sheetData>
    <row r="2" spans="2:30" ht="15" thickBot="1">
      <c r="B2" s="226"/>
      <c r="C2" s="227"/>
      <c r="F2" s="228"/>
      <c r="G2" s="229" t="s">
        <v>181</v>
      </c>
      <c r="H2" s="229"/>
      <c r="I2" s="271">
        <v>1.05</v>
      </c>
      <c r="J2" s="271"/>
      <c r="K2" s="271"/>
      <c r="L2" s="230"/>
      <c r="M2" s="230"/>
      <c r="N2" s="230"/>
      <c r="O2" s="231"/>
      <c r="P2" s="232"/>
      <c r="Q2" s="232"/>
      <c r="R2" s="227"/>
      <c r="S2" s="227"/>
      <c r="T2" s="233"/>
      <c r="U2" s="295"/>
      <c r="V2" s="233"/>
      <c r="W2" s="233"/>
      <c r="X2" s="233"/>
      <c r="Y2" s="233"/>
      <c r="Z2" s="233"/>
      <c r="AA2" s="233"/>
      <c r="AB2" s="227"/>
      <c r="AC2" s="227"/>
    </row>
    <row r="3" spans="2:30" ht="14.4">
      <c r="B3" s="226"/>
      <c r="C3" s="227"/>
      <c r="F3" s="228"/>
      <c r="G3" s="229"/>
      <c r="H3" s="229"/>
      <c r="I3" s="271"/>
      <c r="J3" s="271"/>
      <c r="K3" s="271"/>
      <c r="L3" s="230"/>
      <c r="M3" s="230"/>
      <c r="N3" s="230"/>
      <c r="O3" s="232"/>
      <c r="P3" s="227"/>
      <c r="Q3" s="227"/>
      <c r="R3" s="233"/>
      <c r="S3" s="295"/>
      <c r="T3" s="233"/>
      <c r="U3" s="233"/>
      <c r="V3" s="266" t="s">
        <v>193</v>
      </c>
      <c r="W3" s="233"/>
      <c r="X3" s="233"/>
      <c r="Y3" s="233"/>
      <c r="Z3" s="227"/>
      <c r="AA3" s="227"/>
      <c r="AB3" s="227"/>
      <c r="AC3" s="227"/>
    </row>
    <row r="4" spans="2:30" ht="14.4" thickBot="1">
      <c r="B4" s="227"/>
      <c r="C4" s="227"/>
      <c r="F4" s="230"/>
      <c r="G4" s="230"/>
      <c r="H4" s="234" t="s">
        <v>8</v>
      </c>
      <c r="I4" s="230"/>
      <c r="J4" s="234"/>
      <c r="K4" s="234"/>
      <c r="L4" s="234"/>
      <c r="M4" s="234"/>
      <c r="N4" s="234"/>
      <c r="O4" s="235"/>
      <c r="P4" s="227"/>
      <c r="Q4" s="233"/>
      <c r="R4" s="233"/>
      <c r="S4" s="268"/>
      <c r="T4" s="233"/>
      <c r="U4" s="233"/>
      <c r="V4" s="267">
        <v>3.5999999999999999E-3</v>
      </c>
      <c r="W4" s="233"/>
      <c r="X4" s="438" t="s">
        <v>906</v>
      </c>
      <c r="Y4" s="439" t="s">
        <v>933</v>
      </c>
      <c r="Z4" s="440" t="s">
        <v>934</v>
      </c>
      <c r="AA4" s="438" t="s">
        <v>906</v>
      </c>
      <c r="AB4" s="439" t="s">
        <v>933</v>
      </c>
      <c r="AC4" s="440" t="s">
        <v>934</v>
      </c>
    </row>
    <row r="5" spans="2:30" ht="27.6">
      <c r="B5" s="238" t="s">
        <v>2</v>
      </c>
      <c r="C5" s="238" t="s">
        <v>26</v>
      </c>
      <c r="D5" s="422" t="s">
        <v>776</v>
      </c>
      <c r="E5" s="422" t="s">
        <v>777</v>
      </c>
      <c r="F5" s="238" t="s">
        <v>14</v>
      </c>
      <c r="G5" s="238" t="s">
        <v>15</v>
      </c>
      <c r="H5" s="422" t="s">
        <v>108</v>
      </c>
      <c r="I5" s="239" t="s">
        <v>907</v>
      </c>
      <c r="J5" s="239" t="s">
        <v>935</v>
      </c>
      <c r="K5" s="239" t="s">
        <v>936</v>
      </c>
      <c r="L5" s="240" t="s">
        <v>908</v>
      </c>
      <c r="M5" s="240" t="s">
        <v>937</v>
      </c>
      <c r="N5" s="240" t="s">
        <v>938</v>
      </c>
      <c r="O5" s="238" t="s">
        <v>0</v>
      </c>
      <c r="P5" s="238" t="s">
        <v>184</v>
      </c>
      <c r="Q5" s="239" t="s">
        <v>107</v>
      </c>
      <c r="R5" s="227"/>
      <c r="S5" s="227"/>
      <c r="T5" s="227"/>
      <c r="U5" s="227"/>
      <c r="V5" s="227"/>
      <c r="W5" s="227"/>
      <c r="X5" s="273" t="s">
        <v>81</v>
      </c>
      <c r="Y5" s="272" t="s">
        <v>81</v>
      </c>
      <c r="Z5" s="441" t="s">
        <v>81</v>
      </c>
      <c r="AA5" s="273" t="s">
        <v>77</v>
      </c>
      <c r="AB5" s="272" t="s">
        <v>77</v>
      </c>
      <c r="AC5" s="441" t="s">
        <v>77</v>
      </c>
    </row>
    <row r="6" spans="2:30" ht="21" thickBot="1">
      <c r="B6" s="242" t="s">
        <v>27</v>
      </c>
      <c r="C6" s="242"/>
      <c r="D6" s="243"/>
      <c r="E6" s="243"/>
      <c r="F6" s="242"/>
      <c r="G6" s="242"/>
      <c r="H6" s="243"/>
      <c r="I6" s="243" t="s">
        <v>65</v>
      </c>
      <c r="J6" s="243" t="s">
        <v>65</v>
      </c>
      <c r="K6" s="243" t="s">
        <v>65</v>
      </c>
      <c r="L6" s="243" t="s">
        <v>75</v>
      </c>
      <c r="M6" s="243" t="s">
        <v>75</v>
      </c>
      <c r="N6" s="243" t="s">
        <v>75</v>
      </c>
      <c r="O6" s="242"/>
      <c r="P6" s="242" t="s">
        <v>775</v>
      </c>
      <c r="Q6" s="242" t="s">
        <v>108</v>
      </c>
      <c r="R6" s="227"/>
      <c r="S6" s="227"/>
      <c r="T6" s="227"/>
      <c r="U6" s="227"/>
      <c r="V6" s="227"/>
      <c r="W6" s="227" t="s">
        <v>108</v>
      </c>
      <c r="X6" s="275" t="s">
        <v>48</v>
      </c>
      <c r="Y6" s="459" t="s">
        <v>48</v>
      </c>
      <c r="Z6" s="442" t="s">
        <v>48</v>
      </c>
      <c r="AA6" s="275" t="s">
        <v>76</v>
      </c>
      <c r="AB6" s="274" t="s">
        <v>76</v>
      </c>
      <c r="AC6" s="442" t="s">
        <v>76</v>
      </c>
    </row>
    <row r="7" spans="2:30" ht="14.4">
      <c r="B7" s="233" t="str">
        <f>Processes!D93</f>
        <v>RCTUMELCAE1</v>
      </c>
      <c r="C7" s="233" t="str">
        <f>Processes!E93</f>
        <v>Residential Cooling Technology Urban Multi - Electricity Appliances - Existing 1</v>
      </c>
      <c r="D7" s="227" t="s">
        <v>734</v>
      </c>
      <c r="E7" s="227" t="s">
        <v>116</v>
      </c>
      <c r="F7" s="230" t="str">
        <f>Commodities!$C$29</f>
        <v>RESELCC</v>
      </c>
      <c r="G7" s="230" t="str">
        <f>Commodities!$C$54</f>
        <v>RESCUDB</v>
      </c>
      <c r="H7" s="230">
        <v>2010</v>
      </c>
      <c r="I7" s="250">
        <f>ROUNDUP(AA7/($O7*$P7)*$I$2,1)</f>
        <v>625.20000000000005</v>
      </c>
      <c r="J7" s="250">
        <f t="shared" ref="J7:J14" si="0">ROUNDUP(AB7/($O7*$P7)*$I$2,1)</f>
        <v>0</v>
      </c>
      <c r="K7" s="250">
        <f t="shared" ref="K7:K14" si="1">ROUNDUP(AC7/($O7*$P7)*$I$2,1)</f>
        <v>0</v>
      </c>
      <c r="L7" s="462">
        <v>1</v>
      </c>
      <c r="M7" s="462">
        <v>1</v>
      </c>
      <c r="N7" s="462">
        <v>1</v>
      </c>
      <c r="O7" s="244">
        <f t="shared" ref="O7:O10" si="2">31.536/1000</f>
        <v>3.1536000000000002E-2</v>
      </c>
      <c r="P7" s="460">
        <v>0.1</v>
      </c>
      <c r="Q7" s="245">
        <v>30</v>
      </c>
      <c r="R7" s="227"/>
      <c r="S7" s="268"/>
      <c r="T7" s="268"/>
      <c r="U7" s="227" t="s">
        <v>79</v>
      </c>
      <c r="V7" s="254" t="s">
        <v>189</v>
      </c>
      <c r="W7" s="246">
        <v>2010</v>
      </c>
      <c r="X7" s="434">
        <f>_xlfn.IFNA(INDEX('Data manipulation'!$C$107:$O$124,MATCH($U7,'Data manipulation'!$B$107:$B$124,0),MATCH($W7,'Data manipulation'!$C$106:$N$106,0))/1000,0)*SUMIFS('Regional split'!$F$4:$F$6,'Regional split'!$B$4:$B$6,X$4)*SUMIFS('Data manipulation'!$V$46:$V$49,'Data manipulation'!$X$46:$X$49,$E7,'Data manipulation'!$Y$46:$Y$49,$D7)</f>
        <v>1.8776486399999999</v>
      </c>
      <c r="Y7" s="434">
        <f>_xlfn.IFNA(INDEX('Data manipulation'!$C$107:$O$124,MATCH($U7,'Data manipulation'!$B$107:$B$124,0),MATCH($W7,'Data manipulation'!$C$106:$N$106,0))/1000,0)*SUMIFS('Regional split'!$F$4:$F$6,'Regional split'!$B$4:$B$6,Y$4)*SUMIFS('Data manipulation'!$V$46:$V$49,'Data manipulation'!$X$46:$X$49,$E7,'Data manipulation'!$Y$46:$Y$49,$D7)</f>
        <v>0</v>
      </c>
      <c r="Z7" s="434">
        <f>_xlfn.IFNA(INDEX('Data manipulation'!$C$107:$O$124,MATCH($U7,'Data manipulation'!$B$107:$B$124,0),MATCH($W7,'Data manipulation'!$C$106:$N$106,0))/1000,0)*SUMIFS('Regional split'!$F$4:$F$6,'Regional split'!$B$4:$B$6,Z$4)*SUMIFS('Data manipulation'!$V$46:$V$49,'Data manipulation'!$X$46:$X$49,$E7,'Data manipulation'!$Y$46:$Y$49,$D7)</f>
        <v>0</v>
      </c>
      <c r="AA7" s="445">
        <f t="shared" ref="AA7:AC12" si="3">X7*L7</f>
        <v>1.8776486399999999</v>
      </c>
      <c r="AB7" s="251">
        <f t="shared" si="3"/>
        <v>0</v>
      </c>
      <c r="AC7" s="446">
        <f t="shared" si="3"/>
        <v>0</v>
      </c>
    </row>
    <row r="8" spans="2:30" ht="14.4">
      <c r="B8" s="233" t="str">
        <f>Processes!D94</f>
        <v>RCTRMELCAE1</v>
      </c>
      <c r="C8" s="233" t="str">
        <f>Processes!E94</f>
        <v>Residential Cooling Technology Rural Multi - Electricity Appliances - Existing 1</v>
      </c>
      <c r="D8" s="233" t="s">
        <v>735</v>
      </c>
      <c r="E8" s="233" t="s">
        <v>116</v>
      </c>
      <c r="F8" s="230" t="str">
        <f>Commodities!$C$29</f>
        <v>RESELCC</v>
      </c>
      <c r="G8" s="259" t="str">
        <f>Commodities!$C$55</f>
        <v>RESCRDB</v>
      </c>
      <c r="H8" s="259">
        <v>2010</v>
      </c>
      <c r="I8" s="250">
        <f>ROUNDUP(AA8/($O8*$P8)*$I$2,1)</f>
        <v>474.90000000000003</v>
      </c>
      <c r="J8" s="250">
        <f t="shared" si="0"/>
        <v>0</v>
      </c>
      <c r="K8" s="250">
        <f t="shared" si="1"/>
        <v>0</v>
      </c>
      <c r="L8" s="462">
        <v>1</v>
      </c>
      <c r="M8" s="462">
        <v>1</v>
      </c>
      <c r="N8" s="462">
        <v>1</v>
      </c>
      <c r="O8" s="244">
        <f t="shared" si="2"/>
        <v>3.1536000000000002E-2</v>
      </c>
      <c r="P8" s="460">
        <v>0.1</v>
      </c>
      <c r="Q8" s="245">
        <v>30</v>
      </c>
      <c r="R8" s="227"/>
      <c r="S8" s="268"/>
      <c r="T8" s="268"/>
      <c r="U8" s="227" t="s">
        <v>79</v>
      </c>
      <c r="V8" s="254" t="s">
        <v>189</v>
      </c>
      <c r="W8" s="246">
        <v>2010</v>
      </c>
      <c r="X8" s="434">
        <f>_xlfn.IFNA(INDEX('Data manipulation'!$C$107:$O$124,MATCH($U8,'Data manipulation'!$B$107:$B$124,0),MATCH($W8,'Data manipulation'!$C$106:$N$106,0))/1000,0)*SUMIFS('Regional split'!$F$4:$F$6,'Regional split'!$B$4:$B$6,X$4)*SUMIFS('Data manipulation'!$V$46:$V$49,'Data manipulation'!$X$46:$X$49,$E8,'Data manipulation'!$Y$46:$Y$49,$D8)</f>
        <v>1.426118848</v>
      </c>
      <c r="Y8" s="434">
        <f>_xlfn.IFNA(INDEX('Data manipulation'!$C$107:$O$124,MATCH($U8,'Data manipulation'!$B$107:$B$124,0),MATCH($W8,'Data manipulation'!$C$106:$N$106,0))/1000,0)*SUMIFS('Regional split'!$F$4:$F$6,'Regional split'!$B$4:$B$6,Y$4)*SUMIFS('Data manipulation'!$V$46:$V$49,'Data manipulation'!$X$46:$X$49,$E8,'Data manipulation'!$Y$46:$Y$49,$D8)</f>
        <v>0</v>
      </c>
      <c r="Z8" s="434">
        <f>_xlfn.IFNA(INDEX('Data manipulation'!$C$107:$O$124,MATCH($U8,'Data manipulation'!$B$107:$B$124,0),MATCH($W8,'Data manipulation'!$C$106:$N$106,0))/1000,0)*SUMIFS('Regional split'!$F$4:$F$6,'Regional split'!$B$4:$B$6,Z$4)*SUMIFS('Data manipulation'!$V$46:$V$49,'Data manipulation'!$X$46:$X$49,$E8,'Data manipulation'!$Y$46:$Y$49,$D8)</f>
        <v>0</v>
      </c>
      <c r="AA8" s="445">
        <f t="shared" si="3"/>
        <v>1.426118848</v>
      </c>
      <c r="AB8" s="251">
        <f t="shared" si="3"/>
        <v>0</v>
      </c>
      <c r="AC8" s="446">
        <f t="shared" si="3"/>
        <v>0</v>
      </c>
    </row>
    <row r="9" spans="2:30" ht="14.4">
      <c r="B9" s="233" t="str">
        <f>Processes!D95</f>
        <v>RCTUDELCAE1</v>
      </c>
      <c r="C9" s="233" t="str">
        <f>Processes!E95</f>
        <v>Residential Cooling Technology Urban Detached - Electricity Appliances - Existing 1</v>
      </c>
      <c r="D9" s="227" t="s">
        <v>734</v>
      </c>
      <c r="E9" s="227" t="s">
        <v>778</v>
      </c>
      <c r="F9" s="230" t="str">
        <f>Commodities!$C$29</f>
        <v>RESELCC</v>
      </c>
      <c r="G9" s="259" t="str">
        <f>Commodities!$C$56</f>
        <v>RESCUMB</v>
      </c>
      <c r="H9" s="259">
        <v>2010</v>
      </c>
      <c r="I9" s="250">
        <f t="shared" ref="I9:I14" si="4">ROUNDUP(AA9/($O9*$P9)*$I$2,1)</f>
        <v>367.70000000000005</v>
      </c>
      <c r="J9" s="250">
        <f t="shared" si="0"/>
        <v>0</v>
      </c>
      <c r="K9" s="250">
        <f t="shared" si="1"/>
        <v>0</v>
      </c>
      <c r="L9" s="462">
        <v>1</v>
      </c>
      <c r="M9" s="462">
        <v>1</v>
      </c>
      <c r="N9" s="462">
        <v>1</v>
      </c>
      <c r="O9" s="244">
        <f t="shared" si="2"/>
        <v>3.1536000000000002E-2</v>
      </c>
      <c r="P9" s="460">
        <v>0.1</v>
      </c>
      <c r="Q9" s="245">
        <v>30</v>
      </c>
      <c r="R9" s="227"/>
      <c r="S9" s="268"/>
      <c r="T9" s="268"/>
      <c r="U9" s="227" t="s">
        <v>79</v>
      </c>
      <c r="V9" s="254" t="s">
        <v>189</v>
      </c>
      <c r="W9" s="246">
        <v>2010</v>
      </c>
      <c r="X9" s="434">
        <f>_xlfn.IFNA(INDEX('Data manipulation'!$C$107:$O$124,MATCH($U9,'Data manipulation'!$B$107:$B$124,0),MATCH($W9,'Data manipulation'!$C$106:$N$106,0))/1000,0)*SUMIFS('Regional split'!$F$4:$F$6,'Regional split'!$B$4:$B$6,X$4)*SUMIFS('Data manipulation'!$V$46:$V$49,'Data manipulation'!$X$46:$X$49,$E9,'Data manipulation'!$Y$46:$Y$49,$D9)</f>
        <v>1.1042362239999999</v>
      </c>
      <c r="Y9" s="434">
        <f>_xlfn.IFNA(INDEX('Data manipulation'!$C$107:$O$124,MATCH($U9,'Data manipulation'!$B$107:$B$124,0),MATCH($W9,'Data manipulation'!$C$106:$N$106,0))/1000,0)*SUMIFS('Regional split'!$F$4:$F$6,'Regional split'!$B$4:$B$6,Y$4)*SUMIFS('Data manipulation'!$V$46:$V$49,'Data manipulation'!$X$46:$X$49,$E9,'Data manipulation'!$Y$46:$Y$49,$D9)</f>
        <v>0</v>
      </c>
      <c r="Z9" s="434">
        <f>_xlfn.IFNA(INDEX('Data manipulation'!$C$107:$O$124,MATCH($U9,'Data manipulation'!$B$107:$B$124,0),MATCH($W9,'Data manipulation'!$C$106:$N$106,0))/1000,0)*SUMIFS('Regional split'!$F$4:$F$6,'Regional split'!$B$4:$B$6,Z$4)*SUMIFS('Data manipulation'!$V$46:$V$49,'Data manipulation'!$X$46:$X$49,$E9,'Data manipulation'!$Y$46:$Y$49,$D9)</f>
        <v>0</v>
      </c>
      <c r="AA9" s="445">
        <f t="shared" ref="AA9:AA10" si="5">X9*L9</f>
        <v>1.1042362239999999</v>
      </c>
      <c r="AB9" s="251">
        <f t="shared" ref="AB9:AB10" si="6">Y9*M9</f>
        <v>0</v>
      </c>
      <c r="AC9" s="446">
        <f t="shared" ref="AC9:AC10" si="7">Z9*N9</f>
        <v>0</v>
      </c>
      <c r="AD9" s="632"/>
    </row>
    <row r="10" spans="2:30" ht="14.4">
      <c r="B10" s="233" t="str">
        <f>Processes!D96</f>
        <v>RCTRDELCAE1</v>
      </c>
      <c r="C10" s="233" t="str">
        <f>Processes!E96</f>
        <v>Residential Cooling Technology Rural Detached - Electricity Appliances - Existing 1</v>
      </c>
      <c r="D10" s="233" t="s">
        <v>735</v>
      </c>
      <c r="E10" s="233" t="s">
        <v>778</v>
      </c>
      <c r="F10" s="230" t="str">
        <f>Commodities!$C$29</f>
        <v>RESELCC</v>
      </c>
      <c r="G10" s="259" t="str">
        <f>Commodities!$C$57</f>
        <v>RESCRMB</v>
      </c>
      <c r="H10" s="259">
        <v>2010</v>
      </c>
      <c r="I10" s="250">
        <f t="shared" si="4"/>
        <v>20.900000000000002</v>
      </c>
      <c r="J10" s="250">
        <f t="shared" si="0"/>
        <v>0</v>
      </c>
      <c r="K10" s="250">
        <f t="shared" si="1"/>
        <v>0</v>
      </c>
      <c r="L10" s="462">
        <v>1</v>
      </c>
      <c r="M10" s="462">
        <v>1</v>
      </c>
      <c r="N10" s="462">
        <v>1</v>
      </c>
      <c r="O10" s="244">
        <f t="shared" si="2"/>
        <v>3.1536000000000002E-2</v>
      </c>
      <c r="P10" s="460">
        <v>0.1</v>
      </c>
      <c r="Q10" s="245">
        <v>30</v>
      </c>
      <c r="R10" s="227"/>
      <c r="S10" s="268"/>
      <c r="T10" s="268"/>
      <c r="U10" s="227" t="s">
        <v>79</v>
      </c>
      <c r="V10" s="254" t="s">
        <v>189</v>
      </c>
      <c r="W10" s="246">
        <v>2010</v>
      </c>
      <c r="X10" s="434">
        <f>_xlfn.IFNA(INDEX('Data manipulation'!$C$107:$O$124,MATCH($U10,'Data manipulation'!$B$107:$B$124,0),MATCH($W10,'Data manipulation'!$C$106:$N$106,0))/1000,0)*SUMIFS('Regional split'!$F$4:$F$6,'Regional split'!$B$4:$B$6,X$4)*SUMIFS('Data manipulation'!$V$46:$V$49,'Data manipulation'!$X$46:$X$49,$E10,'Data manipulation'!$Y$46:$Y$49,$D10)</f>
        <v>6.2588288000000006E-2</v>
      </c>
      <c r="Y10" s="434">
        <f>_xlfn.IFNA(INDEX('Data manipulation'!$C$107:$O$124,MATCH($U10,'Data manipulation'!$B$107:$B$124,0),MATCH($W10,'Data manipulation'!$C$106:$N$106,0))/1000,0)*SUMIFS('Regional split'!$F$4:$F$6,'Regional split'!$B$4:$B$6,Y$4)*SUMIFS('Data manipulation'!$V$46:$V$49,'Data manipulation'!$X$46:$X$49,$E10,'Data manipulation'!$Y$46:$Y$49,$D10)</f>
        <v>0</v>
      </c>
      <c r="Z10" s="434">
        <f>_xlfn.IFNA(INDEX('Data manipulation'!$C$107:$O$124,MATCH($U10,'Data manipulation'!$B$107:$B$124,0),MATCH($W10,'Data manipulation'!$C$106:$N$106,0))/1000,0)*SUMIFS('Regional split'!$F$4:$F$6,'Regional split'!$B$4:$B$6,Z$4)*SUMIFS('Data manipulation'!$V$46:$V$49,'Data manipulation'!$X$46:$X$49,$E10,'Data manipulation'!$Y$46:$Y$49,$D10)</f>
        <v>0</v>
      </c>
      <c r="AA10" s="445">
        <f t="shared" si="5"/>
        <v>6.2588288000000006E-2</v>
      </c>
      <c r="AB10" s="251">
        <f t="shared" si="6"/>
        <v>0</v>
      </c>
      <c r="AC10" s="446">
        <f t="shared" si="7"/>
        <v>0</v>
      </c>
    </row>
    <row r="11" spans="2:30" ht="14.4">
      <c r="B11" s="233" t="str">
        <f t="shared" ref="B11:G14" si="8">B7</f>
        <v>RCTUMELCAE1</v>
      </c>
      <c r="C11" s="233" t="str">
        <f t="shared" si="8"/>
        <v>Residential Cooling Technology Urban Multi - Electricity Appliances - Existing 1</v>
      </c>
      <c r="D11" s="227" t="str">
        <f t="shared" si="8"/>
        <v>Urban</v>
      </c>
      <c r="E11" s="227" t="str">
        <f t="shared" si="8"/>
        <v>Detached</v>
      </c>
      <c r="F11" s="233" t="str">
        <f t="shared" si="8"/>
        <v>RESELCC</v>
      </c>
      <c r="G11" s="233" t="str">
        <f t="shared" si="8"/>
        <v>RESCUDB</v>
      </c>
      <c r="H11" s="230">
        <v>2015</v>
      </c>
      <c r="I11" s="250">
        <f>ROUNDUP(AA11/($O11*$P11)*$I$2,1)</f>
        <v>580.30000000000007</v>
      </c>
      <c r="J11" s="250">
        <f t="shared" si="0"/>
        <v>0</v>
      </c>
      <c r="K11" s="250">
        <f t="shared" si="1"/>
        <v>0</v>
      </c>
      <c r="L11" s="462">
        <v>1</v>
      </c>
      <c r="M11" s="462">
        <v>1</v>
      </c>
      <c r="N11" s="462">
        <v>1</v>
      </c>
      <c r="O11" s="244">
        <f t="shared" ref="O11:O22" si="9">31.536/1000</f>
        <v>3.1536000000000002E-2</v>
      </c>
      <c r="P11" s="460">
        <v>0.1</v>
      </c>
      <c r="Q11" s="245">
        <v>30</v>
      </c>
      <c r="R11" s="227"/>
      <c r="S11" s="227"/>
      <c r="T11" s="268"/>
      <c r="U11" s="227" t="s">
        <v>79</v>
      </c>
      <c r="V11" s="254" t="s">
        <v>189</v>
      </c>
      <c r="W11" s="246">
        <v>2015</v>
      </c>
      <c r="X11" s="434">
        <f>_xlfn.IFNA(INDEX('Data manipulation'!$C$107:$O$124,MATCH($U11,'Data manipulation'!$B$107:$B$124,0),MATCH($W11,'Data manipulation'!$C$106:$N$106,0))/1000,0)*SUMIFS('Regional split'!$F$4:$F$6,'Regional split'!$B$4:$B$6,X$4)*SUMIFS('Data manipulation'!$V$46:$V$49,'Data manipulation'!$X$46:$X$49,$E11,'Data manipulation'!$Y$46:$Y$49,$D11)</f>
        <v>1.7426312399999999</v>
      </c>
      <c r="Y11" s="434">
        <f>_xlfn.IFNA(INDEX('Data manipulation'!$C$107:$O$124,MATCH($U11,'Data manipulation'!$B$107:$B$124,0),MATCH($W11,'Data manipulation'!$C$106:$N$106,0))/1000,0)*SUMIFS('Regional split'!$F$4:$F$6,'Regional split'!$B$4:$B$6,Y$4)*SUMIFS('Data manipulation'!$V$46:$V$49,'Data manipulation'!$X$46:$X$49,$E11,'Data manipulation'!$Y$46:$Y$49,$D11)</f>
        <v>0</v>
      </c>
      <c r="Z11" s="434">
        <f>_xlfn.IFNA(INDEX('Data manipulation'!$C$107:$O$124,MATCH($U11,'Data manipulation'!$B$107:$B$124,0),MATCH($W11,'Data manipulation'!$C$106:$N$106,0))/1000,0)*SUMIFS('Regional split'!$F$4:$F$6,'Regional split'!$B$4:$B$6,Z$4)*SUMIFS('Data manipulation'!$V$46:$V$49,'Data manipulation'!$X$46:$X$49,$E11,'Data manipulation'!$Y$46:$Y$49,$D11)</f>
        <v>0</v>
      </c>
      <c r="AA11" s="445">
        <f t="shared" si="3"/>
        <v>1.7426312399999999</v>
      </c>
      <c r="AB11" s="251">
        <f t="shared" si="3"/>
        <v>0</v>
      </c>
      <c r="AC11" s="446">
        <f t="shared" si="3"/>
        <v>0</v>
      </c>
    </row>
    <row r="12" spans="2:30" ht="14.4">
      <c r="B12" s="233" t="str">
        <f t="shared" si="8"/>
        <v>RCTRMELCAE1</v>
      </c>
      <c r="C12" s="233" t="str">
        <f t="shared" si="8"/>
        <v>Residential Cooling Technology Rural Multi - Electricity Appliances - Existing 1</v>
      </c>
      <c r="D12" s="227" t="str">
        <f t="shared" si="8"/>
        <v>Rural</v>
      </c>
      <c r="E12" s="227" t="str">
        <f t="shared" si="8"/>
        <v>Detached</v>
      </c>
      <c r="F12" s="233" t="str">
        <f t="shared" si="8"/>
        <v>RESELCC</v>
      </c>
      <c r="G12" s="233" t="str">
        <f t="shared" si="8"/>
        <v>RESCRDB</v>
      </c>
      <c r="H12" s="230">
        <v>2015</v>
      </c>
      <c r="I12" s="250">
        <f t="shared" si="4"/>
        <v>440.70000000000005</v>
      </c>
      <c r="J12" s="250">
        <f t="shared" si="0"/>
        <v>0</v>
      </c>
      <c r="K12" s="250">
        <f t="shared" si="1"/>
        <v>0</v>
      </c>
      <c r="L12" s="462">
        <v>1</v>
      </c>
      <c r="M12" s="462">
        <v>1</v>
      </c>
      <c r="N12" s="462">
        <v>1</v>
      </c>
      <c r="O12" s="244">
        <f t="shared" si="9"/>
        <v>3.1536000000000002E-2</v>
      </c>
      <c r="P12" s="460">
        <v>0.1</v>
      </c>
      <c r="Q12" s="245">
        <v>30</v>
      </c>
      <c r="R12" s="227"/>
      <c r="S12" s="227"/>
      <c r="T12" s="268"/>
      <c r="U12" s="227" t="s">
        <v>79</v>
      </c>
      <c r="V12" s="254" t="s">
        <v>189</v>
      </c>
      <c r="W12" s="246">
        <v>2015</v>
      </c>
      <c r="X12" s="434">
        <f>_xlfn.IFNA(INDEX('Data manipulation'!$C$107:$O$124,MATCH($U12,'Data manipulation'!$B$107:$B$124,0),MATCH($W12,'Data manipulation'!$C$106:$N$106,0))/1000,0)*SUMIFS('Regional split'!$F$4:$F$6,'Regional split'!$B$4:$B$6,X$4)*SUMIFS('Data manipulation'!$V$46:$V$49,'Data manipulation'!$X$46:$X$49,$E12,'Data manipulation'!$Y$46:$Y$49,$D12)</f>
        <v>1.323569918</v>
      </c>
      <c r="Y12" s="434">
        <f>_xlfn.IFNA(INDEX('Data manipulation'!$C$107:$O$124,MATCH($U12,'Data manipulation'!$B$107:$B$124,0),MATCH($W12,'Data manipulation'!$C$106:$N$106,0))/1000,0)*SUMIFS('Regional split'!$F$4:$F$6,'Regional split'!$B$4:$B$6,Y$4)*SUMIFS('Data manipulation'!$V$46:$V$49,'Data manipulation'!$X$46:$X$49,$E12,'Data manipulation'!$Y$46:$Y$49,$D12)</f>
        <v>0</v>
      </c>
      <c r="Z12" s="434">
        <f>_xlfn.IFNA(INDEX('Data manipulation'!$C$107:$O$124,MATCH($U12,'Data manipulation'!$B$107:$B$124,0),MATCH($W12,'Data manipulation'!$C$106:$N$106,0))/1000,0)*SUMIFS('Regional split'!$F$4:$F$6,'Regional split'!$B$4:$B$6,Z$4)*SUMIFS('Data manipulation'!$V$46:$V$49,'Data manipulation'!$X$46:$X$49,$E12,'Data manipulation'!$Y$46:$Y$49,$D12)</f>
        <v>0</v>
      </c>
      <c r="AA12" s="445">
        <f t="shared" si="3"/>
        <v>1.323569918</v>
      </c>
      <c r="AB12" s="251">
        <f t="shared" si="3"/>
        <v>0</v>
      </c>
      <c r="AC12" s="446">
        <f t="shared" si="3"/>
        <v>0</v>
      </c>
    </row>
    <row r="13" spans="2:30" ht="14.4">
      <c r="B13" s="233" t="str">
        <f t="shared" si="8"/>
        <v>RCTUDELCAE1</v>
      </c>
      <c r="C13" s="233" t="str">
        <f t="shared" si="8"/>
        <v>Residential Cooling Technology Urban Detached - Electricity Appliances - Existing 1</v>
      </c>
      <c r="D13" s="227" t="str">
        <f t="shared" si="8"/>
        <v>Urban</v>
      </c>
      <c r="E13" s="227" t="str">
        <f t="shared" si="8"/>
        <v>Multi storey</v>
      </c>
      <c r="F13" s="233" t="str">
        <f t="shared" si="8"/>
        <v>RESELCC</v>
      </c>
      <c r="G13" s="233" t="str">
        <f t="shared" si="8"/>
        <v>RESCUMB</v>
      </c>
      <c r="H13" s="230">
        <v>2015</v>
      </c>
      <c r="I13" s="250">
        <f t="shared" si="4"/>
        <v>341.3</v>
      </c>
      <c r="J13" s="250">
        <f t="shared" si="0"/>
        <v>0</v>
      </c>
      <c r="K13" s="250">
        <f t="shared" si="1"/>
        <v>0</v>
      </c>
      <c r="L13" s="462">
        <v>1</v>
      </c>
      <c r="M13" s="462">
        <v>1</v>
      </c>
      <c r="N13" s="462">
        <v>1</v>
      </c>
      <c r="O13" s="244">
        <f t="shared" si="9"/>
        <v>3.1536000000000002E-2</v>
      </c>
      <c r="P13" s="460">
        <v>0.1</v>
      </c>
      <c r="Q13" s="245">
        <v>30</v>
      </c>
      <c r="R13" s="227"/>
      <c r="S13" s="227"/>
      <c r="T13" s="268"/>
      <c r="U13" s="227" t="s">
        <v>79</v>
      </c>
      <c r="V13" s="254" t="s">
        <v>189</v>
      </c>
      <c r="W13" s="246">
        <v>2015</v>
      </c>
      <c r="X13" s="434">
        <f>_xlfn.IFNA(INDEX('Data manipulation'!$C$107:$O$124,MATCH($U13,'Data manipulation'!$B$107:$B$124,0),MATCH($W13,'Data manipulation'!$C$106:$N$106,0))/1000,0)*SUMIFS('Regional split'!$F$4:$F$6,'Regional split'!$B$4:$B$6,X$4)*SUMIFS('Data manipulation'!$V$46:$V$49,'Data manipulation'!$X$46:$X$49,$E13,'Data manipulation'!$Y$46:$Y$49,$D13)</f>
        <v>1.0248331340000001</v>
      </c>
      <c r="Y13" s="434">
        <f>_xlfn.IFNA(INDEX('Data manipulation'!$C$107:$O$124,MATCH($U13,'Data manipulation'!$B$107:$B$124,0),MATCH($W13,'Data manipulation'!$C$106:$N$106,0))/1000,0)*SUMIFS('Regional split'!$F$4:$F$6,'Regional split'!$B$4:$B$6,Y$4)*SUMIFS('Data manipulation'!$V$46:$V$49,'Data manipulation'!$X$46:$X$49,$E13,'Data manipulation'!$Y$46:$Y$49,$D13)</f>
        <v>0</v>
      </c>
      <c r="Z13" s="434">
        <f>_xlfn.IFNA(INDEX('Data manipulation'!$C$107:$O$124,MATCH($U13,'Data manipulation'!$B$107:$B$124,0),MATCH($W13,'Data manipulation'!$C$106:$N$106,0))/1000,0)*SUMIFS('Regional split'!$F$4:$F$6,'Regional split'!$B$4:$B$6,Z$4)*SUMIFS('Data manipulation'!$V$46:$V$49,'Data manipulation'!$X$46:$X$49,$E13,'Data manipulation'!$Y$46:$Y$49,$D13)</f>
        <v>0</v>
      </c>
      <c r="AA13" s="445">
        <f t="shared" ref="AA13:AA20" si="10">X13*L13</f>
        <v>1.0248331340000001</v>
      </c>
      <c r="AB13" s="251">
        <f t="shared" ref="AB13:AB20" si="11">Y13*M13</f>
        <v>0</v>
      </c>
      <c r="AC13" s="446">
        <f t="shared" ref="AC13:AC20" si="12">Z13*N13</f>
        <v>0</v>
      </c>
    </row>
    <row r="14" spans="2:30" ht="14.4">
      <c r="B14" s="233" t="str">
        <f t="shared" si="8"/>
        <v>RCTRDELCAE1</v>
      </c>
      <c r="C14" s="233" t="str">
        <f t="shared" si="8"/>
        <v>Residential Cooling Technology Rural Detached - Electricity Appliances - Existing 1</v>
      </c>
      <c r="D14" s="227" t="str">
        <f t="shared" si="8"/>
        <v>Rural</v>
      </c>
      <c r="E14" s="227" t="str">
        <f t="shared" si="8"/>
        <v>Multi storey</v>
      </c>
      <c r="F14" s="233" t="str">
        <f t="shared" si="8"/>
        <v>RESELCC</v>
      </c>
      <c r="G14" s="233" t="str">
        <f t="shared" si="8"/>
        <v>RESCRMB</v>
      </c>
      <c r="H14" s="230">
        <v>2015</v>
      </c>
      <c r="I14" s="250">
        <f t="shared" si="4"/>
        <v>19.400000000000002</v>
      </c>
      <c r="J14" s="250">
        <f t="shared" si="0"/>
        <v>0</v>
      </c>
      <c r="K14" s="250">
        <f t="shared" si="1"/>
        <v>0</v>
      </c>
      <c r="L14" s="462">
        <v>1</v>
      </c>
      <c r="M14" s="462">
        <v>1</v>
      </c>
      <c r="N14" s="462">
        <v>1</v>
      </c>
      <c r="O14" s="244">
        <f t="shared" si="9"/>
        <v>3.1536000000000002E-2</v>
      </c>
      <c r="P14" s="460">
        <v>0.1</v>
      </c>
      <c r="Q14" s="245">
        <v>30</v>
      </c>
      <c r="R14" s="227"/>
      <c r="S14" s="227"/>
      <c r="T14" s="268"/>
      <c r="U14" s="227" t="s">
        <v>79</v>
      </c>
      <c r="V14" s="254" t="s">
        <v>189</v>
      </c>
      <c r="W14" s="246">
        <v>2015</v>
      </c>
      <c r="X14" s="434">
        <f>_xlfn.IFNA(INDEX('Data manipulation'!$C$107:$O$124,MATCH($U14,'Data manipulation'!$B$107:$B$124,0),MATCH($W14,'Data manipulation'!$C$106:$N$106,0))/1000,0)*SUMIFS('Regional split'!$F$4:$F$6,'Regional split'!$B$4:$B$6,X$4)*SUMIFS('Data manipulation'!$V$46:$V$49,'Data manipulation'!$X$46:$X$49,$E14,'Data manipulation'!$Y$46:$Y$49,$D14)</f>
        <v>5.8087708000000002E-2</v>
      </c>
      <c r="Y14" s="434">
        <f>_xlfn.IFNA(INDEX('Data manipulation'!$C$107:$O$124,MATCH($U14,'Data manipulation'!$B$107:$B$124,0),MATCH($W14,'Data manipulation'!$C$106:$N$106,0))/1000,0)*SUMIFS('Regional split'!$F$4:$F$6,'Regional split'!$B$4:$B$6,Y$4)*SUMIFS('Data manipulation'!$V$46:$V$49,'Data manipulation'!$X$46:$X$49,$E14,'Data manipulation'!$Y$46:$Y$49,$D14)</f>
        <v>0</v>
      </c>
      <c r="Z14" s="434">
        <f>_xlfn.IFNA(INDEX('Data manipulation'!$C$107:$O$124,MATCH($U14,'Data manipulation'!$B$107:$B$124,0),MATCH($W14,'Data manipulation'!$C$106:$N$106,0))/1000,0)*SUMIFS('Regional split'!$F$4:$F$6,'Regional split'!$B$4:$B$6,Z$4)*SUMIFS('Data manipulation'!$V$46:$V$49,'Data manipulation'!$X$46:$X$49,$E14,'Data manipulation'!$Y$46:$Y$49,$D14)</f>
        <v>0</v>
      </c>
      <c r="AA14" s="445">
        <f t="shared" si="10"/>
        <v>5.8087708000000002E-2</v>
      </c>
      <c r="AB14" s="251">
        <f t="shared" si="11"/>
        <v>0</v>
      </c>
      <c r="AC14" s="446">
        <f t="shared" si="12"/>
        <v>0</v>
      </c>
    </row>
    <row r="15" spans="2:30" ht="14.4">
      <c r="B15" s="233" t="str">
        <f t="shared" ref="B15:G15" si="13">B11</f>
        <v>RCTUMELCAE1</v>
      </c>
      <c r="C15" s="233" t="str">
        <f t="shared" si="13"/>
        <v>Residential Cooling Technology Urban Multi - Electricity Appliances - Existing 1</v>
      </c>
      <c r="D15" s="227" t="str">
        <f t="shared" si="13"/>
        <v>Urban</v>
      </c>
      <c r="E15" s="227" t="str">
        <f t="shared" si="13"/>
        <v>Detached</v>
      </c>
      <c r="F15" s="233" t="str">
        <f t="shared" si="13"/>
        <v>RESELCC</v>
      </c>
      <c r="G15" s="233" t="str">
        <f t="shared" si="13"/>
        <v>RESCUDB</v>
      </c>
      <c r="H15" s="230">
        <v>2018</v>
      </c>
      <c r="I15" s="250">
        <f>ROUNDUP(AA15/($O15*$P15)*$I$2,1)</f>
        <v>623</v>
      </c>
      <c r="J15" s="250">
        <f t="shared" ref="J15:J18" si="14">ROUNDUP(AB15/($O15*$P15)*$I$2,1)</f>
        <v>0</v>
      </c>
      <c r="K15" s="250">
        <f t="shared" ref="K15:K18" si="15">ROUNDUP(AC15/($O15*$P15)*$I$2,1)</f>
        <v>0</v>
      </c>
      <c r="L15" s="462">
        <v>1</v>
      </c>
      <c r="M15" s="462">
        <v>1</v>
      </c>
      <c r="N15" s="462">
        <v>1</v>
      </c>
      <c r="O15" s="244">
        <f t="shared" si="9"/>
        <v>3.1536000000000002E-2</v>
      </c>
      <c r="P15" s="460">
        <v>0.1</v>
      </c>
      <c r="Q15" s="245">
        <v>30</v>
      </c>
      <c r="R15" s="227"/>
      <c r="S15" s="227"/>
      <c r="T15" s="268"/>
      <c r="U15" s="227" t="s">
        <v>79</v>
      </c>
      <c r="V15" s="254" t="s">
        <v>189</v>
      </c>
      <c r="W15" s="246">
        <v>2018</v>
      </c>
      <c r="X15" s="434">
        <f>_xlfn.IFNA(INDEX('Data manipulation'!$C$107:$O$124,MATCH($U15,'Data manipulation'!$B$107:$B$124,0),MATCH($W15,'Data manipulation'!$C$106:$N$106,0))/1000,0)*SUMIFS('Regional split'!$F$4:$F$6,'Regional split'!$B$4:$B$6,X$4)*SUMIFS('Data manipulation'!$V$46:$V$49,'Data manipulation'!$X$46:$X$49,$E15,'Data manipulation'!$Y$46:$Y$49,$D15)</f>
        <v>1.8710273399999999</v>
      </c>
      <c r="Y15" s="434">
        <f>_xlfn.IFNA(INDEX('Data manipulation'!$C$107:$O$124,MATCH($U15,'Data manipulation'!$B$107:$B$124,0),MATCH($W15,'Data manipulation'!$C$106:$N$106,0))/1000,0)*SUMIFS('Regional split'!$F$4:$F$6,'Regional split'!$B$4:$B$6,Y$4)*SUMIFS('Data manipulation'!$V$46:$V$49,'Data manipulation'!$X$46:$X$49,$E15,'Data manipulation'!$Y$46:$Y$49,$D15)</f>
        <v>0</v>
      </c>
      <c r="Z15" s="434">
        <f>_xlfn.IFNA(INDEX('Data manipulation'!$C$107:$O$124,MATCH($U15,'Data manipulation'!$B$107:$B$124,0),MATCH($W15,'Data manipulation'!$C$106:$N$106,0))/1000,0)*SUMIFS('Regional split'!$F$4:$F$6,'Regional split'!$B$4:$B$6,Z$4)*SUMIFS('Data manipulation'!$V$46:$V$49,'Data manipulation'!$X$46:$X$49,$E15,'Data manipulation'!$Y$46:$Y$49,$D15)</f>
        <v>0</v>
      </c>
      <c r="AA15" s="445">
        <f t="shared" si="10"/>
        <v>1.8710273399999999</v>
      </c>
      <c r="AB15" s="251">
        <f t="shared" si="11"/>
        <v>0</v>
      </c>
      <c r="AC15" s="446">
        <f t="shared" si="12"/>
        <v>0</v>
      </c>
    </row>
    <row r="16" spans="2:30" ht="14.4">
      <c r="B16" s="233" t="str">
        <f t="shared" ref="B16:G16" si="16">B12</f>
        <v>RCTRMELCAE1</v>
      </c>
      <c r="C16" s="233" t="str">
        <f t="shared" si="16"/>
        <v>Residential Cooling Technology Rural Multi - Electricity Appliances - Existing 1</v>
      </c>
      <c r="D16" s="227" t="str">
        <f t="shared" si="16"/>
        <v>Rural</v>
      </c>
      <c r="E16" s="227" t="str">
        <f t="shared" si="16"/>
        <v>Detached</v>
      </c>
      <c r="F16" s="233" t="str">
        <f t="shared" si="16"/>
        <v>RESELCC</v>
      </c>
      <c r="G16" s="233" t="str">
        <f t="shared" si="16"/>
        <v>RESCRDB</v>
      </c>
      <c r="H16" s="259">
        <v>2018</v>
      </c>
      <c r="I16" s="250">
        <f t="shared" ref="I16:I18" si="17">ROUNDUP(AA16/($O16*$P16)*$I$2,1)</f>
        <v>473.20000000000005</v>
      </c>
      <c r="J16" s="250">
        <f t="shared" si="14"/>
        <v>0</v>
      </c>
      <c r="K16" s="250">
        <f t="shared" si="15"/>
        <v>0</v>
      </c>
      <c r="L16" s="462">
        <v>1</v>
      </c>
      <c r="M16" s="462">
        <v>1</v>
      </c>
      <c r="N16" s="462">
        <v>1</v>
      </c>
      <c r="O16" s="244">
        <f t="shared" si="9"/>
        <v>3.1536000000000002E-2</v>
      </c>
      <c r="P16" s="460">
        <v>0.1</v>
      </c>
      <c r="Q16" s="245">
        <v>30</v>
      </c>
      <c r="R16" s="227"/>
      <c r="S16" s="227"/>
      <c r="T16" s="268"/>
      <c r="U16" s="227" t="s">
        <v>79</v>
      </c>
      <c r="V16" s="254" t="s">
        <v>189</v>
      </c>
      <c r="W16" s="246">
        <v>2018</v>
      </c>
      <c r="X16" s="434">
        <f>_xlfn.IFNA(INDEX('Data manipulation'!$C$107:$O$124,MATCH($U16,'Data manipulation'!$B$107:$B$124,0),MATCH($W16,'Data manipulation'!$C$106:$N$106,0))/1000,0)*SUMIFS('Regional split'!$F$4:$F$6,'Regional split'!$B$4:$B$6,X$4)*SUMIFS('Data manipulation'!$V$46:$V$49,'Data manipulation'!$X$46:$X$49,$E16,'Data manipulation'!$Y$46:$Y$49,$D16)</f>
        <v>1.421089813</v>
      </c>
      <c r="Y16" s="434">
        <f>_xlfn.IFNA(INDEX('Data manipulation'!$C$107:$O$124,MATCH($U16,'Data manipulation'!$B$107:$B$124,0),MATCH($W16,'Data manipulation'!$C$106:$N$106,0))/1000,0)*SUMIFS('Regional split'!$F$4:$F$6,'Regional split'!$B$4:$B$6,Y$4)*SUMIFS('Data manipulation'!$V$46:$V$49,'Data manipulation'!$X$46:$X$49,$E16,'Data manipulation'!$Y$46:$Y$49,$D16)</f>
        <v>0</v>
      </c>
      <c r="Z16" s="434">
        <f>_xlfn.IFNA(INDEX('Data manipulation'!$C$107:$O$124,MATCH($U16,'Data manipulation'!$B$107:$B$124,0),MATCH($W16,'Data manipulation'!$C$106:$N$106,0))/1000,0)*SUMIFS('Regional split'!$F$4:$F$6,'Regional split'!$B$4:$B$6,Z$4)*SUMIFS('Data manipulation'!$V$46:$V$49,'Data manipulation'!$X$46:$X$49,$E16,'Data manipulation'!$Y$46:$Y$49,$D16)</f>
        <v>0</v>
      </c>
      <c r="AA16" s="445">
        <f t="shared" si="10"/>
        <v>1.421089813</v>
      </c>
      <c r="AB16" s="251">
        <f t="shared" si="11"/>
        <v>0</v>
      </c>
      <c r="AC16" s="446">
        <f t="shared" si="12"/>
        <v>0</v>
      </c>
    </row>
    <row r="17" spans="2:29" ht="14.4">
      <c r="B17" s="233" t="str">
        <f t="shared" ref="B17:G17" si="18">B13</f>
        <v>RCTUDELCAE1</v>
      </c>
      <c r="C17" s="233" t="str">
        <f t="shared" si="18"/>
        <v>Residential Cooling Technology Urban Detached - Electricity Appliances - Existing 1</v>
      </c>
      <c r="D17" s="227" t="str">
        <f t="shared" si="18"/>
        <v>Urban</v>
      </c>
      <c r="E17" s="227" t="str">
        <f t="shared" si="18"/>
        <v>Multi storey</v>
      </c>
      <c r="F17" s="233" t="str">
        <f t="shared" si="18"/>
        <v>RESELCC</v>
      </c>
      <c r="G17" s="233" t="str">
        <f t="shared" si="18"/>
        <v>RESCUMB</v>
      </c>
      <c r="H17" s="230">
        <v>2018</v>
      </c>
      <c r="I17" s="250">
        <f t="shared" si="17"/>
        <v>366.40000000000003</v>
      </c>
      <c r="J17" s="250">
        <f t="shared" si="14"/>
        <v>0</v>
      </c>
      <c r="K17" s="250">
        <f t="shared" si="15"/>
        <v>0</v>
      </c>
      <c r="L17" s="462">
        <v>1</v>
      </c>
      <c r="M17" s="462">
        <v>1</v>
      </c>
      <c r="N17" s="462">
        <v>1</v>
      </c>
      <c r="O17" s="244">
        <f t="shared" si="9"/>
        <v>3.1536000000000002E-2</v>
      </c>
      <c r="P17" s="460">
        <v>0.1</v>
      </c>
      <c r="Q17" s="245">
        <v>30</v>
      </c>
      <c r="R17" s="227"/>
      <c r="S17" s="227"/>
      <c r="T17" s="268"/>
      <c r="U17" s="227" t="s">
        <v>79</v>
      </c>
      <c r="V17" s="254" t="s">
        <v>189</v>
      </c>
      <c r="W17" s="246">
        <v>2018</v>
      </c>
      <c r="X17" s="434">
        <f>_xlfn.IFNA(INDEX('Data manipulation'!$C$107:$O$124,MATCH($U17,'Data manipulation'!$B$107:$B$124,0),MATCH($W17,'Data manipulation'!$C$106:$N$106,0))/1000,0)*SUMIFS('Regional split'!$F$4:$F$6,'Regional split'!$B$4:$B$6,X$4)*SUMIFS('Data manipulation'!$V$46:$V$49,'Data manipulation'!$X$46:$X$49,$E17,'Data manipulation'!$Y$46:$Y$49,$D17)</f>
        <v>1.100342269</v>
      </c>
      <c r="Y17" s="434">
        <f>_xlfn.IFNA(INDEX('Data manipulation'!$C$107:$O$124,MATCH($U17,'Data manipulation'!$B$107:$B$124,0),MATCH($W17,'Data manipulation'!$C$106:$N$106,0))/1000,0)*SUMIFS('Regional split'!$F$4:$F$6,'Regional split'!$B$4:$B$6,Y$4)*SUMIFS('Data manipulation'!$V$46:$V$49,'Data manipulation'!$X$46:$X$49,$E17,'Data manipulation'!$Y$46:$Y$49,$D17)</f>
        <v>0</v>
      </c>
      <c r="Z17" s="434">
        <f>_xlfn.IFNA(INDEX('Data manipulation'!$C$107:$O$124,MATCH($U17,'Data manipulation'!$B$107:$B$124,0),MATCH($W17,'Data manipulation'!$C$106:$N$106,0))/1000,0)*SUMIFS('Regional split'!$F$4:$F$6,'Regional split'!$B$4:$B$6,Z$4)*SUMIFS('Data manipulation'!$V$46:$V$49,'Data manipulation'!$X$46:$X$49,$E17,'Data manipulation'!$Y$46:$Y$49,$D17)</f>
        <v>0</v>
      </c>
      <c r="AA17" s="445">
        <f t="shared" ref="AA17:AA18" si="19">X17*L17</f>
        <v>1.100342269</v>
      </c>
      <c r="AB17" s="251">
        <f t="shared" ref="AB17:AB18" si="20">Y17*M17</f>
        <v>0</v>
      </c>
      <c r="AC17" s="446">
        <f t="shared" ref="AC17:AC18" si="21">Z17*N17</f>
        <v>0</v>
      </c>
    </row>
    <row r="18" spans="2:29" ht="14.4">
      <c r="B18" s="233" t="str">
        <f t="shared" ref="B18:G18" si="22">B14</f>
        <v>RCTRDELCAE1</v>
      </c>
      <c r="C18" s="233" t="str">
        <f t="shared" si="22"/>
        <v>Residential Cooling Technology Rural Detached - Electricity Appliances - Existing 1</v>
      </c>
      <c r="D18" s="227" t="str">
        <f t="shared" si="22"/>
        <v>Rural</v>
      </c>
      <c r="E18" s="227" t="str">
        <f t="shared" si="22"/>
        <v>Multi storey</v>
      </c>
      <c r="F18" s="233" t="str">
        <f t="shared" si="22"/>
        <v>RESELCC</v>
      </c>
      <c r="G18" s="233" t="str">
        <f t="shared" si="22"/>
        <v>RESCRMB</v>
      </c>
      <c r="H18" s="259">
        <v>2018</v>
      </c>
      <c r="I18" s="250">
        <f t="shared" si="17"/>
        <v>20.8</v>
      </c>
      <c r="J18" s="250">
        <f t="shared" si="14"/>
        <v>0</v>
      </c>
      <c r="K18" s="250">
        <f t="shared" si="15"/>
        <v>0</v>
      </c>
      <c r="L18" s="462">
        <v>1</v>
      </c>
      <c r="M18" s="462">
        <v>1</v>
      </c>
      <c r="N18" s="462">
        <v>1</v>
      </c>
      <c r="O18" s="244">
        <f t="shared" si="9"/>
        <v>3.1536000000000002E-2</v>
      </c>
      <c r="P18" s="460">
        <v>0.1</v>
      </c>
      <c r="Q18" s="245">
        <v>30</v>
      </c>
      <c r="R18" s="227"/>
      <c r="S18" s="227"/>
      <c r="T18" s="268"/>
      <c r="U18" s="227" t="s">
        <v>79</v>
      </c>
      <c r="V18" s="254" t="s">
        <v>189</v>
      </c>
      <c r="W18" s="246">
        <v>2018</v>
      </c>
      <c r="X18" s="434">
        <f>_xlfn.IFNA(INDEX('Data manipulation'!$C$107:$O$124,MATCH($U18,'Data manipulation'!$B$107:$B$124,0),MATCH($W18,'Data manipulation'!$C$106:$N$106,0))/1000,0)*SUMIFS('Regional split'!$F$4:$F$6,'Regional split'!$B$4:$B$6,X$4)*SUMIFS('Data manipulation'!$V$46:$V$49,'Data manipulation'!$X$46:$X$49,$E18,'Data manipulation'!$Y$46:$Y$49,$D18)</f>
        <v>6.2367578E-2</v>
      </c>
      <c r="Y18" s="434">
        <f>_xlfn.IFNA(INDEX('Data manipulation'!$C$107:$O$124,MATCH($U18,'Data manipulation'!$B$107:$B$124,0),MATCH($W18,'Data manipulation'!$C$106:$N$106,0))/1000,0)*SUMIFS('Regional split'!$F$4:$F$6,'Regional split'!$B$4:$B$6,Y$4)*SUMIFS('Data manipulation'!$V$46:$V$49,'Data manipulation'!$X$46:$X$49,$E18,'Data manipulation'!$Y$46:$Y$49,$D18)</f>
        <v>0</v>
      </c>
      <c r="Z18" s="434">
        <f>_xlfn.IFNA(INDEX('Data manipulation'!$C$107:$O$124,MATCH($U18,'Data manipulation'!$B$107:$B$124,0),MATCH($W18,'Data manipulation'!$C$106:$N$106,0))/1000,0)*SUMIFS('Regional split'!$F$4:$F$6,'Regional split'!$B$4:$B$6,Z$4)*SUMIFS('Data manipulation'!$V$46:$V$49,'Data manipulation'!$X$46:$X$49,$E18,'Data manipulation'!$Y$46:$Y$49,$D18)</f>
        <v>0</v>
      </c>
      <c r="AA18" s="445">
        <f t="shared" si="19"/>
        <v>6.2367578E-2</v>
      </c>
      <c r="AB18" s="251">
        <f t="shared" si="20"/>
        <v>0</v>
      </c>
      <c r="AC18" s="446">
        <f t="shared" si="21"/>
        <v>0</v>
      </c>
    </row>
    <row r="19" spans="2:29" ht="14.4">
      <c r="B19" s="233" t="str">
        <f t="shared" ref="B19:G19" si="23">B11</f>
        <v>RCTUMELCAE1</v>
      </c>
      <c r="C19" s="233" t="str">
        <f t="shared" si="23"/>
        <v>Residential Cooling Technology Urban Multi - Electricity Appliances - Existing 1</v>
      </c>
      <c r="D19" s="227" t="str">
        <f t="shared" si="23"/>
        <v>Urban</v>
      </c>
      <c r="E19" s="227" t="str">
        <f t="shared" si="23"/>
        <v>Detached</v>
      </c>
      <c r="F19" s="233" t="str">
        <f t="shared" si="23"/>
        <v>RESELCC</v>
      </c>
      <c r="G19" s="233" t="str">
        <f t="shared" si="23"/>
        <v>RESCUDB</v>
      </c>
      <c r="H19" s="573">
        <f>H15+Q19</f>
        <v>2048</v>
      </c>
      <c r="I19" s="250">
        <v>0</v>
      </c>
      <c r="J19" s="250">
        <v>0</v>
      </c>
      <c r="K19" s="250">
        <v>0</v>
      </c>
      <c r="L19" s="462">
        <v>1</v>
      </c>
      <c r="M19" s="462">
        <v>1</v>
      </c>
      <c r="N19" s="462">
        <v>1</v>
      </c>
      <c r="O19" s="244">
        <f t="shared" si="9"/>
        <v>3.1536000000000002E-2</v>
      </c>
      <c r="P19" s="460">
        <v>0.1</v>
      </c>
      <c r="Q19" s="245">
        <v>30</v>
      </c>
      <c r="R19" s="227"/>
      <c r="S19" s="227"/>
      <c r="T19" s="268"/>
      <c r="U19" s="227" t="s">
        <v>79</v>
      </c>
      <c r="V19" s="254" t="s">
        <v>189</v>
      </c>
      <c r="W19" s="246">
        <v>2018</v>
      </c>
      <c r="X19" s="434">
        <f>_xlfn.IFNA(INDEX('Data manipulation'!$C$107:$O$124,MATCH($U19,'Data manipulation'!$B$107:$B$124,0),MATCH($W19,'Data manipulation'!$C$106:$N$106,0))/1000,0)*SUMIFS('Regional split'!$F$4:$F$6,'Regional split'!$B$4:$B$6,X$4)*SUMIFS('Data manipulation'!$V$46:$V$49,'Data manipulation'!$X$46:$X$49,$E19,'Data manipulation'!$Y$46:$Y$49,$D19)</f>
        <v>1.8710273399999999</v>
      </c>
      <c r="Y19" s="434">
        <f>_xlfn.IFNA(INDEX('Data manipulation'!$C$107:$O$124,MATCH($U19,'Data manipulation'!$B$107:$B$124,0),MATCH($W19,'Data manipulation'!$C$106:$N$106,0))/1000,0)*SUMIFS('Regional split'!$F$4:$F$6,'Regional split'!$B$4:$B$6,Y$4)*SUMIFS('Data manipulation'!$V$46:$V$49,'Data manipulation'!$X$46:$X$49,$E19,'Data manipulation'!$Y$46:$Y$49,$D19)</f>
        <v>0</v>
      </c>
      <c r="Z19" s="434">
        <f>_xlfn.IFNA(INDEX('Data manipulation'!$C$107:$O$124,MATCH($U19,'Data manipulation'!$B$107:$B$124,0),MATCH($W19,'Data manipulation'!$C$106:$N$106,0))/1000,0)*SUMIFS('Regional split'!$F$4:$F$6,'Regional split'!$B$4:$B$6,Z$4)*SUMIFS('Data manipulation'!$V$46:$V$49,'Data manipulation'!$X$46:$X$49,$E19,'Data manipulation'!$Y$46:$Y$49,$D19)</f>
        <v>0</v>
      </c>
      <c r="AA19" s="445">
        <f t="shared" si="10"/>
        <v>1.8710273399999999</v>
      </c>
      <c r="AB19" s="251">
        <f t="shared" si="11"/>
        <v>0</v>
      </c>
      <c r="AC19" s="446">
        <f t="shared" si="12"/>
        <v>0</v>
      </c>
    </row>
    <row r="20" spans="2:29" ht="14.4">
      <c r="B20" s="233" t="str">
        <f t="shared" ref="B20:G20" si="24">B12</f>
        <v>RCTRMELCAE1</v>
      </c>
      <c r="C20" s="233" t="str">
        <f t="shared" si="24"/>
        <v>Residential Cooling Technology Rural Multi - Electricity Appliances - Existing 1</v>
      </c>
      <c r="D20" s="227" t="str">
        <f t="shared" si="24"/>
        <v>Rural</v>
      </c>
      <c r="E20" s="227" t="str">
        <f t="shared" si="24"/>
        <v>Detached</v>
      </c>
      <c r="F20" s="233" t="str">
        <f t="shared" si="24"/>
        <v>RESELCC</v>
      </c>
      <c r="G20" s="233" t="str">
        <f t="shared" si="24"/>
        <v>RESCRDB</v>
      </c>
      <c r="H20" s="573">
        <f>H16+Q20</f>
        <v>2048</v>
      </c>
      <c r="I20" s="250">
        <v>0</v>
      </c>
      <c r="J20" s="250">
        <v>0</v>
      </c>
      <c r="K20" s="250">
        <v>0</v>
      </c>
      <c r="L20" s="462">
        <v>1</v>
      </c>
      <c r="M20" s="462">
        <v>1</v>
      </c>
      <c r="N20" s="462">
        <v>1</v>
      </c>
      <c r="O20" s="244">
        <f t="shared" si="9"/>
        <v>3.1536000000000002E-2</v>
      </c>
      <c r="P20" s="460">
        <v>0.1</v>
      </c>
      <c r="Q20" s="245">
        <v>30</v>
      </c>
      <c r="R20" s="227"/>
      <c r="S20" s="227"/>
      <c r="T20" s="268"/>
      <c r="U20" s="227" t="s">
        <v>79</v>
      </c>
      <c r="V20" s="254" t="s">
        <v>189</v>
      </c>
      <c r="W20" s="246">
        <v>2018</v>
      </c>
      <c r="X20" s="434">
        <f>_xlfn.IFNA(INDEX('Data manipulation'!$C$107:$O$124,MATCH($U20,'Data manipulation'!$B$107:$B$124,0),MATCH($W20,'Data manipulation'!$C$106:$N$106,0))/1000,0)*SUMIFS('Regional split'!$F$4:$F$6,'Regional split'!$B$4:$B$6,X$4)*SUMIFS('Data manipulation'!$V$46:$V$49,'Data manipulation'!$X$46:$X$49,$E20,'Data manipulation'!$Y$46:$Y$49,$D20)</f>
        <v>1.421089813</v>
      </c>
      <c r="Y20" s="434">
        <f>_xlfn.IFNA(INDEX('Data manipulation'!$C$107:$O$124,MATCH($U20,'Data manipulation'!$B$107:$B$124,0),MATCH($W20,'Data manipulation'!$C$106:$N$106,0))/1000,0)*SUMIFS('Regional split'!$F$4:$F$6,'Regional split'!$B$4:$B$6,Y$4)*SUMIFS('Data manipulation'!$V$46:$V$49,'Data manipulation'!$X$46:$X$49,$E20,'Data manipulation'!$Y$46:$Y$49,$D20)</f>
        <v>0</v>
      </c>
      <c r="Z20" s="434">
        <f>_xlfn.IFNA(INDEX('Data manipulation'!$C$107:$O$124,MATCH($U20,'Data manipulation'!$B$107:$B$124,0),MATCH($W20,'Data manipulation'!$C$106:$N$106,0))/1000,0)*SUMIFS('Regional split'!$F$4:$F$6,'Regional split'!$B$4:$B$6,Z$4)*SUMIFS('Data manipulation'!$V$46:$V$49,'Data manipulation'!$X$46:$X$49,$E20,'Data manipulation'!$Y$46:$Y$49,$D20)</f>
        <v>0</v>
      </c>
      <c r="AA20" s="445">
        <f t="shared" si="10"/>
        <v>1.421089813</v>
      </c>
      <c r="AB20" s="251">
        <f t="shared" si="11"/>
        <v>0</v>
      </c>
      <c r="AC20" s="446">
        <f t="shared" si="12"/>
        <v>0</v>
      </c>
    </row>
    <row r="21" spans="2:29" ht="14.4">
      <c r="B21" s="233" t="str">
        <f t="shared" ref="B21:G21" si="25">B13</f>
        <v>RCTUDELCAE1</v>
      </c>
      <c r="C21" s="233" t="str">
        <f t="shared" si="25"/>
        <v>Residential Cooling Technology Urban Detached - Electricity Appliances - Existing 1</v>
      </c>
      <c r="D21" s="227" t="str">
        <f t="shared" si="25"/>
        <v>Urban</v>
      </c>
      <c r="E21" s="227" t="str">
        <f t="shared" si="25"/>
        <v>Multi storey</v>
      </c>
      <c r="F21" s="233" t="str">
        <f t="shared" si="25"/>
        <v>RESELCC</v>
      </c>
      <c r="G21" s="233" t="str">
        <f t="shared" si="25"/>
        <v>RESCUMB</v>
      </c>
      <c r="H21" s="573">
        <f>H17+Q21</f>
        <v>2048</v>
      </c>
      <c r="I21" s="250">
        <v>0</v>
      </c>
      <c r="J21" s="250">
        <v>0</v>
      </c>
      <c r="K21" s="250">
        <v>0</v>
      </c>
      <c r="L21" s="462">
        <v>1</v>
      </c>
      <c r="M21" s="462">
        <v>1</v>
      </c>
      <c r="N21" s="462">
        <v>1</v>
      </c>
      <c r="O21" s="244">
        <f t="shared" si="9"/>
        <v>3.1536000000000002E-2</v>
      </c>
      <c r="P21" s="460">
        <v>0.1</v>
      </c>
      <c r="Q21" s="245">
        <v>30</v>
      </c>
      <c r="R21" s="227"/>
      <c r="S21" s="227"/>
      <c r="T21" s="268"/>
      <c r="U21" s="227" t="s">
        <v>79</v>
      </c>
      <c r="V21" s="254" t="s">
        <v>189</v>
      </c>
      <c r="W21" s="246">
        <v>2018</v>
      </c>
      <c r="X21" s="434">
        <f>_xlfn.IFNA(INDEX('Data manipulation'!$C$107:$O$124,MATCH($U21,'Data manipulation'!$B$107:$B$124,0),MATCH($W21,'Data manipulation'!$C$106:$N$106,0))/1000,0)*SUMIFS('Regional split'!$F$4:$F$6,'Regional split'!$B$4:$B$6,X$4)*SUMIFS('Data manipulation'!$V$46:$V$49,'Data manipulation'!$X$46:$X$49,$E21,'Data manipulation'!$Y$46:$Y$49,$D21)</f>
        <v>1.100342269</v>
      </c>
      <c r="Y21" s="434">
        <f>_xlfn.IFNA(INDEX('Data manipulation'!$C$107:$O$124,MATCH($U21,'Data manipulation'!$B$107:$B$124,0),MATCH($W21,'Data manipulation'!$C$106:$N$106,0))/1000,0)*SUMIFS('Regional split'!$F$4:$F$6,'Regional split'!$B$4:$B$6,Y$4)*SUMIFS('Data manipulation'!$V$46:$V$49,'Data manipulation'!$X$46:$X$49,$E21,'Data manipulation'!$Y$46:$Y$49,$D21)</f>
        <v>0</v>
      </c>
      <c r="Z21" s="434">
        <f>_xlfn.IFNA(INDEX('Data manipulation'!$C$107:$O$124,MATCH($U21,'Data manipulation'!$B$107:$B$124,0),MATCH($W21,'Data manipulation'!$C$106:$N$106,0))/1000,0)*SUMIFS('Regional split'!$F$4:$F$6,'Regional split'!$B$4:$B$6,Z$4)*SUMIFS('Data manipulation'!$V$46:$V$49,'Data manipulation'!$X$46:$X$49,$E21,'Data manipulation'!$Y$46:$Y$49,$D21)</f>
        <v>0</v>
      </c>
      <c r="AA21" s="445">
        <f t="shared" ref="AA21:AA22" si="26">X21*L21</f>
        <v>1.100342269</v>
      </c>
      <c r="AB21" s="251">
        <f t="shared" ref="AB21:AB22" si="27">Y21*M21</f>
        <v>0</v>
      </c>
      <c r="AC21" s="446">
        <f t="shared" ref="AC21:AC22" si="28">Z21*N21</f>
        <v>0</v>
      </c>
    </row>
    <row r="22" spans="2:29" ht="14.4">
      <c r="B22" s="233" t="str">
        <f t="shared" ref="B22:G22" si="29">B14</f>
        <v>RCTRDELCAE1</v>
      </c>
      <c r="C22" s="233" t="str">
        <f t="shared" si="29"/>
        <v>Residential Cooling Technology Rural Detached - Electricity Appliances - Existing 1</v>
      </c>
      <c r="D22" s="227" t="str">
        <f t="shared" si="29"/>
        <v>Rural</v>
      </c>
      <c r="E22" s="227" t="str">
        <f t="shared" si="29"/>
        <v>Multi storey</v>
      </c>
      <c r="F22" s="233" t="str">
        <f t="shared" si="29"/>
        <v>RESELCC</v>
      </c>
      <c r="G22" s="233" t="str">
        <f t="shared" si="29"/>
        <v>RESCRMB</v>
      </c>
      <c r="H22" s="573">
        <f>H18+Q22</f>
        <v>2048</v>
      </c>
      <c r="I22" s="250">
        <v>0</v>
      </c>
      <c r="J22" s="250">
        <v>0</v>
      </c>
      <c r="K22" s="250">
        <v>0</v>
      </c>
      <c r="L22" s="462">
        <v>1</v>
      </c>
      <c r="M22" s="462">
        <v>1</v>
      </c>
      <c r="N22" s="462">
        <v>1</v>
      </c>
      <c r="O22" s="244">
        <f t="shared" si="9"/>
        <v>3.1536000000000002E-2</v>
      </c>
      <c r="P22" s="460">
        <v>0.1</v>
      </c>
      <c r="Q22" s="245">
        <v>30</v>
      </c>
      <c r="R22" s="227"/>
      <c r="S22" s="227"/>
      <c r="T22" s="268"/>
      <c r="U22" s="227" t="s">
        <v>79</v>
      </c>
      <c r="V22" s="254" t="s">
        <v>189</v>
      </c>
      <c r="W22" s="246">
        <v>2018</v>
      </c>
      <c r="X22" s="434">
        <f>_xlfn.IFNA(INDEX('Data manipulation'!$C$107:$O$124,MATCH($U22,'Data manipulation'!$B$107:$B$124,0),MATCH($W22,'Data manipulation'!$C$106:$N$106,0))/1000,0)*SUMIFS('Regional split'!$F$4:$F$6,'Regional split'!$B$4:$B$6,X$4)*SUMIFS('Data manipulation'!$V$46:$V$49,'Data manipulation'!$X$46:$X$49,$E22,'Data manipulation'!$Y$46:$Y$49,$D22)</f>
        <v>6.2367578E-2</v>
      </c>
      <c r="Y22" s="434">
        <f>_xlfn.IFNA(INDEX('Data manipulation'!$C$107:$O$124,MATCH($U22,'Data manipulation'!$B$107:$B$124,0),MATCH($W22,'Data manipulation'!$C$106:$N$106,0))/1000,0)*SUMIFS('Regional split'!$F$4:$F$6,'Regional split'!$B$4:$B$6,Y$4)*SUMIFS('Data manipulation'!$V$46:$V$49,'Data manipulation'!$X$46:$X$49,$E22,'Data manipulation'!$Y$46:$Y$49,$D22)</f>
        <v>0</v>
      </c>
      <c r="Z22" s="434">
        <f>_xlfn.IFNA(INDEX('Data manipulation'!$C$107:$O$124,MATCH($U22,'Data manipulation'!$B$107:$B$124,0),MATCH($W22,'Data manipulation'!$C$106:$N$106,0))/1000,0)*SUMIFS('Regional split'!$F$4:$F$6,'Regional split'!$B$4:$B$6,Z$4)*SUMIFS('Data manipulation'!$V$46:$V$49,'Data manipulation'!$X$46:$X$49,$E22,'Data manipulation'!$Y$46:$Y$49,$D22)</f>
        <v>0</v>
      </c>
      <c r="AA22" s="445">
        <f t="shared" si="26"/>
        <v>6.2367578E-2</v>
      </c>
      <c r="AB22" s="251">
        <f t="shared" si="27"/>
        <v>0</v>
      </c>
      <c r="AC22" s="446">
        <f t="shared" si="28"/>
        <v>0</v>
      </c>
    </row>
    <row r="23" spans="2:29" ht="18">
      <c r="B23" s="227"/>
      <c r="C23" s="227"/>
      <c r="F23" s="230"/>
      <c r="G23" s="230"/>
      <c r="H23" s="230"/>
      <c r="I23" s="263"/>
      <c r="J23" s="263"/>
      <c r="K23" s="263"/>
      <c r="L23" s="264"/>
      <c r="M23" s="264"/>
      <c r="N23" s="264"/>
      <c r="O23" s="265"/>
      <c r="P23" s="264"/>
      <c r="Q23" s="264"/>
      <c r="R23" s="227"/>
      <c r="S23" s="227"/>
      <c r="T23" s="227"/>
      <c r="U23" s="227"/>
      <c r="V23" s="227"/>
      <c r="W23" s="227"/>
      <c r="X23" s="227"/>
      <c r="Y23" s="227"/>
      <c r="Z23" s="227"/>
      <c r="AA23" s="227"/>
      <c r="AB23" s="227"/>
      <c r="AC23" s="233"/>
    </row>
    <row r="24" spans="2:29" ht="18">
      <c r="B24" s="227"/>
      <c r="C24" s="227"/>
      <c r="D24" s="517"/>
      <c r="E24" s="233"/>
      <c r="F24" s="230"/>
      <c r="G24" s="230"/>
      <c r="H24" s="230"/>
      <c r="I24" s="263"/>
      <c r="J24" s="263"/>
      <c r="K24" s="263"/>
      <c r="L24" s="264"/>
      <c r="M24" s="264"/>
      <c r="N24" s="264"/>
      <c r="O24" s="265"/>
      <c r="P24" s="264"/>
      <c r="Q24" s="264"/>
      <c r="R24" s="227"/>
      <c r="S24" s="227"/>
      <c r="T24" s="227"/>
      <c r="U24" s="227"/>
      <c r="V24" s="227"/>
      <c r="W24" s="227"/>
      <c r="X24" s="227"/>
      <c r="Y24" s="227"/>
      <c r="Z24" s="227"/>
      <c r="AA24" s="227"/>
      <c r="AB24" s="227"/>
      <c r="AC24" s="233"/>
    </row>
    <row r="25" spans="2:29" ht="18">
      <c r="B25" s="227"/>
      <c r="C25" s="227"/>
      <c r="D25" s="517"/>
      <c r="E25" s="233"/>
      <c r="F25" s="230"/>
      <c r="G25" s="230"/>
      <c r="H25" s="230"/>
      <c r="I25" s="263"/>
      <c r="J25" s="263"/>
      <c r="K25" s="263"/>
      <c r="L25" s="264"/>
      <c r="M25" s="264"/>
      <c r="N25" s="264"/>
      <c r="O25" s="265"/>
      <c r="P25" s="264" t="s">
        <v>750</v>
      </c>
      <c r="Q25" s="264"/>
      <c r="R25" s="227"/>
      <c r="S25" s="227"/>
      <c r="T25" s="227"/>
      <c r="U25" s="227"/>
      <c r="V25" s="227"/>
      <c r="W25" s="227"/>
      <c r="X25" s="227"/>
      <c r="Y25" s="227"/>
      <c r="Z25" s="227"/>
      <c r="AA25" s="227"/>
      <c r="AB25" s="227"/>
      <c r="AC25" s="233"/>
    </row>
    <row r="26" spans="2:29">
      <c r="D26" s="517"/>
      <c r="E26" s="233"/>
    </row>
    <row r="27" spans="2:29">
      <c r="D27" s="517"/>
      <c r="E27" s="233"/>
    </row>
    <row r="28" spans="2:29">
      <c r="D28" s="237"/>
      <c r="E28" s="237"/>
    </row>
    <row r="29" spans="2:29">
      <c r="D29" s="237"/>
      <c r="E29" s="237"/>
    </row>
    <row r="30" spans="2:29">
      <c r="D30" s="237"/>
      <c r="E30" s="237"/>
    </row>
    <row r="31" spans="2:29">
      <c r="D31" s="237"/>
      <c r="E31" s="237"/>
    </row>
    <row r="32" spans="2:29">
      <c r="D32" s="237"/>
      <c r="E32" s="237"/>
    </row>
    <row r="33" spans="4:5">
      <c r="D33" s="237"/>
      <c r="E33" s="237"/>
    </row>
    <row r="34" spans="4:5">
      <c r="D34" s="237"/>
      <c r="E34" s="237"/>
    </row>
    <row r="35" spans="4:5">
      <c r="D35" s="237"/>
      <c r="E35" s="237"/>
    </row>
    <row r="36" spans="4:5">
      <c r="D36" s="237"/>
      <c r="E36" s="237"/>
    </row>
    <row r="37" spans="4:5">
      <c r="D37" s="237"/>
      <c r="E37" s="237"/>
    </row>
    <row r="38" spans="4:5">
      <c r="D38" s="237"/>
      <c r="E38" s="237"/>
    </row>
    <row r="39" spans="4:5">
      <c r="D39" s="237"/>
      <c r="E39" s="237"/>
    </row>
    <row r="40" spans="4:5">
      <c r="D40" s="237"/>
      <c r="E40" s="237"/>
    </row>
    <row r="41" spans="4:5">
      <c r="D41" s="237"/>
      <c r="E41" s="237"/>
    </row>
    <row r="42" spans="4:5">
      <c r="D42" s="237"/>
      <c r="E42" s="237"/>
    </row>
    <row r="43" spans="4:5">
      <c r="D43" s="237"/>
      <c r="E43" s="237"/>
    </row>
    <row r="44" spans="4:5">
      <c r="D44" s="237"/>
      <c r="E44" s="237"/>
    </row>
    <row r="45" spans="4:5">
      <c r="D45" s="237"/>
      <c r="E45" s="237"/>
    </row>
    <row r="46" spans="4:5">
      <c r="D46" s="237"/>
      <c r="E46" s="237"/>
    </row>
    <row r="47" spans="4:5">
      <c r="D47" s="237"/>
      <c r="E47" s="237"/>
    </row>
    <row r="48" spans="4:5">
      <c r="D48" s="237"/>
      <c r="E48" s="237"/>
    </row>
    <row r="49" spans="4:5">
      <c r="D49" s="237"/>
      <c r="E49" s="237"/>
    </row>
    <row r="50" spans="4:5">
      <c r="D50" s="237"/>
      <c r="E50" s="237"/>
    </row>
    <row r="51" spans="4:5">
      <c r="D51" s="237"/>
      <c r="E51" s="237"/>
    </row>
    <row r="52" spans="4:5">
      <c r="D52" s="237"/>
      <c r="E52" s="237"/>
    </row>
    <row r="53" spans="4:5">
      <c r="D53" s="237"/>
      <c r="E53" s="237"/>
    </row>
    <row r="54" spans="4:5">
      <c r="D54" s="237"/>
      <c r="E54" s="237"/>
    </row>
    <row r="55" spans="4:5">
      <c r="D55" s="237"/>
      <c r="E55" s="237"/>
    </row>
    <row r="56" spans="4:5">
      <c r="D56" s="237"/>
      <c r="E56" s="237"/>
    </row>
    <row r="57" spans="4:5">
      <c r="D57" s="237"/>
      <c r="E57" s="237"/>
    </row>
    <row r="58" spans="4:5">
      <c r="D58" s="237"/>
      <c r="E58" s="237"/>
    </row>
    <row r="59" spans="4:5">
      <c r="D59" s="237"/>
      <c r="E59" s="237"/>
    </row>
    <row r="60" spans="4:5">
      <c r="D60" s="237"/>
      <c r="E60" s="237"/>
    </row>
    <row r="61" spans="4:5">
      <c r="D61" s="237"/>
      <c r="E61" s="237"/>
    </row>
    <row r="62" spans="4:5">
      <c r="D62" s="237"/>
      <c r="E62" s="237"/>
    </row>
    <row r="63" spans="4:5">
      <c r="D63" s="237"/>
      <c r="E63" s="237"/>
    </row>
    <row r="64" spans="4:5">
      <c r="D64" s="237"/>
      <c r="E64" s="237"/>
    </row>
    <row r="65" spans="4:5">
      <c r="D65" s="237"/>
      <c r="E65" s="237"/>
    </row>
    <row r="66" spans="4:5">
      <c r="D66" s="237"/>
      <c r="E66" s="237"/>
    </row>
    <row r="67" spans="4:5">
      <c r="D67" s="237"/>
      <c r="E67" s="237"/>
    </row>
    <row r="68" spans="4:5">
      <c r="D68" s="237"/>
      <c r="E68" s="237"/>
    </row>
    <row r="69" spans="4:5">
      <c r="D69" s="237"/>
      <c r="E69" s="237"/>
    </row>
    <row r="70" spans="4:5">
      <c r="D70" s="237"/>
      <c r="E70" s="237"/>
    </row>
    <row r="71" spans="4:5">
      <c r="D71" s="237"/>
      <c r="E71" s="237"/>
    </row>
    <row r="72" spans="4:5">
      <c r="D72" s="237"/>
      <c r="E72" s="237"/>
    </row>
    <row r="73" spans="4:5">
      <c r="D73" s="237"/>
      <c r="E73" s="237"/>
    </row>
    <row r="74" spans="4:5">
      <c r="D74" s="237"/>
      <c r="E74" s="237"/>
    </row>
    <row r="75" spans="4:5">
      <c r="D75" s="237"/>
      <c r="E75" s="237"/>
    </row>
    <row r="76" spans="4:5">
      <c r="D76" s="237"/>
      <c r="E76" s="237"/>
    </row>
    <row r="77" spans="4:5">
      <c r="D77" s="237"/>
      <c r="E77" s="237"/>
    </row>
    <row r="78" spans="4:5">
      <c r="D78" s="237"/>
      <c r="E78" s="237"/>
    </row>
    <row r="79" spans="4:5">
      <c r="D79" s="237"/>
      <c r="E79" s="237"/>
    </row>
    <row r="80" spans="4:5">
      <c r="D80" s="237"/>
      <c r="E80" s="237"/>
    </row>
    <row r="81" spans="4:5">
      <c r="D81" s="237"/>
      <c r="E81" s="237"/>
    </row>
    <row r="82" spans="4:5">
      <c r="D82" s="237"/>
      <c r="E82" s="237"/>
    </row>
    <row r="83" spans="4:5">
      <c r="D83" s="237"/>
      <c r="E83" s="237"/>
    </row>
    <row r="84" spans="4:5">
      <c r="D84" s="237"/>
      <c r="E84" s="237"/>
    </row>
    <row r="85" spans="4:5">
      <c r="D85" s="237"/>
      <c r="E85" s="237"/>
    </row>
    <row r="86" spans="4:5">
      <c r="D86" s="237"/>
      <c r="E86" s="237"/>
    </row>
    <row r="87" spans="4:5">
      <c r="D87" s="237"/>
      <c r="E87" s="237"/>
    </row>
    <row r="88" spans="4:5">
      <c r="D88" s="237"/>
      <c r="E88" s="237"/>
    </row>
    <row r="89" spans="4:5">
      <c r="D89" s="237"/>
      <c r="E89" s="237"/>
    </row>
    <row r="90" spans="4:5">
      <c r="D90" s="237"/>
      <c r="E90" s="237"/>
    </row>
    <row r="91" spans="4:5">
      <c r="D91" s="237"/>
      <c r="E91" s="237"/>
    </row>
    <row r="92" spans="4:5">
      <c r="D92" s="237"/>
      <c r="E92" s="237"/>
    </row>
    <row r="93" spans="4:5">
      <c r="D93" s="237"/>
      <c r="E93" s="237"/>
    </row>
    <row r="94" spans="4:5">
      <c r="D94" s="237"/>
      <c r="E94" s="237"/>
    </row>
    <row r="95" spans="4:5">
      <c r="D95" s="237"/>
      <c r="E95" s="237"/>
    </row>
    <row r="96" spans="4:5">
      <c r="D96" s="237"/>
      <c r="E96" s="237"/>
    </row>
    <row r="97" spans="4:5">
      <c r="D97" s="237"/>
      <c r="E97" s="237"/>
    </row>
    <row r="98" spans="4:5">
      <c r="D98" s="237"/>
      <c r="E98" s="237"/>
    </row>
    <row r="99" spans="4:5">
      <c r="D99" s="237"/>
      <c r="E99" s="237"/>
    </row>
    <row r="100" spans="4:5">
      <c r="D100" s="237"/>
      <c r="E100" s="237"/>
    </row>
    <row r="101" spans="4:5">
      <c r="D101" s="237"/>
      <c r="E101" s="237"/>
    </row>
    <row r="102" spans="4:5">
      <c r="D102" s="237"/>
      <c r="E102" s="237"/>
    </row>
    <row r="103" spans="4:5">
      <c r="D103" s="237"/>
      <c r="E103" s="237"/>
    </row>
    <row r="104" spans="4:5">
      <c r="D104" s="237"/>
      <c r="E104" s="237"/>
    </row>
    <row r="105" spans="4:5">
      <c r="D105" s="237"/>
      <c r="E105" s="237"/>
    </row>
    <row r="106" spans="4:5">
      <c r="D106" s="237"/>
      <c r="E106" s="237"/>
    </row>
    <row r="107" spans="4:5">
      <c r="D107" s="237"/>
      <c r="E107" s="237"/>
    </row>
    <row r="108" spans="4:5">
      <c r="D108" s="237"/>
      <c r="E108" s="237"/>
    </row>
    <row r="109" spans="4:5">
      <c r="D109" s="237"/>
      <c r="E109" s="237"/>
    </row>
    <row r="110" spans="4:5">
      <c r="D110" s="237"/>
      <c r="E110" s="237"/>
    </row>
    <row r="111" spans="4:5">
      <c r="D111" s="237"/>
      <c r="E111" s="237"/>
    </row>
    <row r="112" spans="4:5">
      <c r="D112" s="237"/>
      <c r="E112" s="237"/>
    </row>
    <row r="113" spans="4:5">
      <c r="D113" s="237"/>
      <c r="E113" s="237"/>
    </row>
    <row r="114" spans="4:5">
      <c r="D114" s="237"/>
      <c r="E114" s="237"/>
    </row>
    <row r="115" spans="4:5">
      <c r="D115" s="539"/>
      <c r="E115" s="539"/>
    </row>
    <row r="116" spans="4:5">
      <c r="D116" s="539"/>
      <c r="E116" s="539"/>
    </row>
    <row r="117" spans="4:5">
      <c r="D117" s="539"/>
      <c r="E117" s="539"/>
    </row>
    <row r="118" spans="4:5">
      <c r="D118" s="539"/>
      <c r="E118" s="539"/>
    </row>
    <row r="119" spans="4:5">
      <c r="D119" s="539"/>
      <c r="E119" s="539"/>
    </row>
    <row r="120" spans="4:5">
      <c r="D120" s="539"/>
      <c r="E120" s="539"/>
    </row>
    <row r="121" spans="4:5">
      <c r="D121" s="539"/>
      <c r="E121" s="539"/>
    </row>
    <row r="122" spans="4:5">
      <c r="D122" s="539"/>
      <c r="E122" s="539"/>
    </row>
    <row r="123" spans="4:5">
      <c r="D123" s="539"/>
      <c r="E123" s="539"/>
    </row>
    <row r="124" spans="4:5">
      <c r="D124" s="539"/>
      <c r="E124" s="539"/>
    </row>
    <row r="125" spans="4:5">
      <c r="D125" s="539"/>
      <c r="E125" s="539"/>
    </row>
    <row r="126" spans="4:5">
      <c r="D126" s="539"/>
      <c r="E126" s="539"/>
    </row>
    <row r="127" spans="4:5">
      <c r="D127" s="539"/>
      <c r="E127" s="539"/>
    </row>
    <row r="128" spans="4:5">
      <c r="D128" s="539"/>
      <c r="E128" s="539"/>
    </row>
    <row r="129" spans="4:5">
      <c r="D129" s="539"/>
      <c r="E129" s="539"/>
    </row>
    <row r="130" spans="4:5">
      <c r="D130" s="539"/>
      <c r="E130" s="539"/>
    </row>
    <row r="131" spans="4:5">
      <c r="D131" s="539"/>
      <c r="E131" s="539"/>
    </row>
    <row r="132" spans="4:5">
      <c r="D132" s="539"/>
      <c r="E132" s="539"/>
    </row>
    <row r="133" spans="4:5">
      <c r="D133" s="539"/>
      <c r="E133" s="539"/>
    </row>
    <row r="134" spans="4:5">
      <c r="D134" s="539"/>
      <c r="E134" s="539"/>
    </row>
    <row r="135" spans="4:5">
      <c r="D135" s="539"/>
      <c r="E135" s="539"/>
    </row>
    <row r="136" spans="4:5">
      <c r="D136" s="539"/>
      <c r="E136" s="539"/>
    </row>
    <row r="137" spans="4:5">
      <c r="D137" s="539"/>
      <c r="E137" s="539"/>
    </row>
    <row r="138" spans="4:5">
      <c r="D138" s="539"/>
      <c r="E138" s="539"/>
    </row>
    <row r="139" spans="4:5">
      <c r="D139" s="539"/>
      <c r="E139" s="539"/>
    </row>
    <row r="140" spans="4:5">
      <c r="D140" s="539"/>
      <c r="E140" s="539"/>
    </row>
    <row r="141" spans="4:5">
      <c r="D141" s="539"/>
      <c r="E141" s="539"/>
    </row>
    <row r="142" spans="4:5">
      <c r="D142" s="539"/>
      <c r="E142" s="539"/>
    </row>
    <row r="143" spans="4:5">
      <c r="D143" s="539"/>
      <c r="E143" s="539"/>
    </row>
    <row r="144" spans="4:5">
      <c r="D144" s="539"/>
      <c r="E144" s="539"/>
    </row>
    <row r="145" spans="4:5">
      <c r="D145" s="539"/>
      <c r="E145" s="539"/>
    </row>
    <row r="146" spans="4:5">
      <c r="D146" s="539"/>
      <c r="E146" s="539"/>
    </row>
    <row r="147" spans="4:5">
      <c r="D147" s="539"/>
      <c r="E147" s="539"/>
    </row>
    <row r="148" spans="4:5">
      <c r="D148" s="539"/>
      <c r="E148" s="539"/>
    </row>
    <row r="149" spans="4:5">
      <c r="D149" s="539"/>
      <c r="E149" s="539"/>
    </row>
    <row r="150" spans="4:5">
      <c r="D150" s="539"/>
      <c r="E150" s="539"/>
    </row>
    <row r="151" spans="4:5">
      <c r="D151" s="539"/>
      <c r="E151" s="539"/>
    </row>
    <row r="152" spans="4:5">
      <c r="D152" s="539"/>
      <c r="E152" s="539"/>
    </row>
    <row r="153" spans="4:5">
      <c r="D153" s="539"/>
      <c r="E153" s="539"/>
    </row>
    <row r="154" spans="4:5">
      <c r="D154" s="539"/>
      <c r="E154" s="539"/>
    </row>
    <row r="155" spans="4:5">
      <c r="D155" s="539"/>
      <c r="E155" s="539"/>
    </row>
    <row r="156" spans="4:5">
      <c r="D156" s="539"/>
      <c r="E156" s="539"/>
    </row>
    <row r="157" spans="4:5">
      <c r="D157" s="237"/>
      <c r="E157" s="237"/>
    </row>
    <row r="158" spans="4:5">
      <c r="D158" s="237"/>
      <c r="E158" s="237"/>
    </row>
    <row r="159" spans="4:5">
      <c r="D159" s="237"/>
      <c r="E159" s="237"/>
    </row>
    <row r="160" spans="4:5">
      <c r="D160" s="237"/>
      <c r="E160" s="237"/>
    </row>
    <row r="161" spans="4:5">
      <c r="D161" s="237"/>
      <c r="E161" s="237"/>
    </row>
    <row r="162" spans="4:5">
      <c r="D162" s="237"/>
      <c r="E162" s="237"/>
    </row>
    <row r="163" spans="4:5">
      <c r="D163" s="237"/>
      <c r="E163" s="237"/>
    </row>
    <row r="164" spans="4:5">
      <c r="D164" s="237"/>
      <c r="E164" s="237"/>
    </row>
    <row r="165" spans="4:5">
      <c r="D165" s="237"/>
      <c r="E165" s="237"/>
    </row>
    <row r="166" spans="4:5">
      <c r="D166" s="237"/>
      <c r="E166" s="237"/>
    </row>
    <row r="167" spans="4:5">
      <c r="D167" s="237"/>
      <c r="E167" s="237"/>
    </row>
    <row r="168" spans="4:5">
      <c r="D168" s="237"/>
      <c r="E168" s="237"/>
    </row>
    <row r="169" spans="4:5">
      <c r="D169" s="237"/>
      <c r="E169" s="237"/>
    </row>
    <row r="170" spans="4:5">
      <c r="D170" s="237"/>
      <c r="E170" s="237"/>
    </row>
    <row r="171" spans="4:5">
      <c r="D171" s="237"/>
      <c r="E171" s="237"/>
    </row>
    <row r="172" spans="4:5">
      <c r="D172" s="237"/>
      <c r="E172" s="237"/>
    </row>
    <row r="173" spans="4:5">
      <c r="D173" s="237"/>
      <c r="E173" s="237"/>
    </row>
    <row r="174" spans="4:5">
      <c r="D174" s="237"/>
      <c r="E174" s="237"/>
    </row>
    <row r="175" spans="4:5">
      <c r="D175" s="237"/>
      <c r="E175" s="237"/>
    </row>
    <row r="176" spans="4:5">
      <c r="D176" s="237"/>
      <c r="E176" s="237"/>
    </row>
    <row r="177" spans="4:5">
      <c r="D177" s="237"/>
      <c r="E177" s="237"/>
    </row>
    <row r="178" spans="4:5">
      <c r="D178" s="237"/>
      <c r="E178" s="237"/>
    </row>
    <row r="179" spans="4:5">
      <c r="D179" s="237"/>
      <c r="E179" s="237"/>
    </row>
    <row r="180" spans="4:5">
      <c r="D180" s="237"/>
      <c r="E180" s="237"/>
    </row>
    <row r="181" spans="4:5">
      <c r="D181" s="237"/>
      <c r="E181" s="237"/>
    </row>
    <row r="182" spans="4:5">
      <c r="D182" s="237"/>
      <c r="E182" s="237"/>
    </row>
    <row r="183" spans="4:5">
      <c r="D183" s="237"/>
      <c r="E183" s="237"/>
    </row>
    <row r="184" spans="4:5">
      <c r="D184" s="237"/>
      <c r="E184" s="237"/>
    </row>
    <row r="185" spans="4:5">
      <c r="D185" s="237"/>
      <c r="E185" s="237"/>
    </row>
    <row r="186" spans="4:5">
      <c r="D186" s="237"/>
      <c r="E186" s="237"/>
    </row>
    <row r="187" spans="4:5">
      <c r="D187" s="237"/>
      <c r="E187" s="237"/>
    </row>
    <row r="188" spans="4:5">
      <c r="D188" s="237"/>
      <c r="E188" s="237"/>
    </row>
    <row r="189" spans="4:5">
      <c r="D189" s="237"/>
      <c r="E189" s="237"/>
    </row>
    <row r="190" spans="4:5">
      <c r="D190" s="237"/>
      <c r="E190" s="237"/>
    </row>
    <row r="191" spans="4:5">
      <c r="D191" s="237"/>
      <c r="E191" s="237"/>
    </row>
    <row r="192" spans="4:5">
      <c r="D192" s="237"/>
      <c r="E192" s="237"/>
    </row>
    <row r="193" spans="4:5">
      <c r="D193" s="237"/>
      <c r="E193" s="237"/>
    </row>
    <row r="194" spans="4:5">
      <c r="D194" s="237"/>
      <c r="E194" s="237"/>
    </row>
    <row r="195" spans="4:5">
      <c r="D195" s="237"/>
      <c r="E195" s="237"/>
    </row>
    <row r="196" spans="4:5">
      <c r="D196" s="237"/>
      <c r="E196" s="237"/>
    </row>
    <row r="197" spans="4:5">
      <c r="D197" s="237"/>
      <c r="E197" s="237"/>
    </row>
    <row r="198" spans="4:5">
      <c r="D198" s="237"/>
      <c r="E198" s="237"/>
    </row>
    <row r="199" spans="4:5">
      <c r="D199" s="237"/>
      <c r="E199" s="237"/>
    </row>
    <row r="200" spans="4:5">
      <c r="D200" s="237"/>
      <c r="E200" s="237"/>
    </row>
    <row r="201" spans="4:5">
      <c r="D201" s="237"/>
      <c r="E201" s="237"/>
    </row>
    <row r="202" spans="4:5">
      <c r="D202" s="237"/>
      <c r="E202" s="237"/>
    </row>
    <row r="203" spans="4:5">
      <c r="D203" s="237"/>
      <c r="E203" s="237"/>
    </row>
    <row r="204" spans="4:5">
      <c r="D204" s="237"/>
      <c r="E204" s="237"/>
    </row>
    <row r="205" spans="4:5">
      <c r="D205" s="237"/>
      <c r="E205" s="237"/>
    </row>
    <row r="206" spans="4:5">
      <c r="D206" s="237"/>
      <c r="E206" s="237"/>
    </row>
    <row r="207" spans="4:5">
      <c r="D207" s="237"/>
      <c r="E207" s="237"/>
    </row>
    <row r="208" spans="4:5">
      <c r="D208" s="237"/>
      <c r="E208" s="237"/>
    </row>
    <row r="209" spans="4:5">
      <c r="D209" s="237"/>
      <c r="E209" s="237"/>
    </row>
    <row r="210" spans="4:5">
      <c r="D210" s="237"/>
      <c r="E210" s="237"/>
    </row>
    <row r="211" spans="4:5">
      <c r="D211" s="237"/>
      <c r="E211" s="237"/>
    </row>
    <row r="212" spans="4:5">
      <c r="D212" s="237"/>
      <c r="E212" s="237"/>
    </row>
    <row r="213" spans="4:5">
      <c r="D213" s="237"/>
      <c r="E213" s="237"/>
    </row>
    <row r="214" spans="4:5">
      <c r="D214" s="237"/>
      <c r="E214" s="237"/>
    </row>
    <row r="215" spans="4:5">
      <c r="D215" s="237"/>
      <c r="E215" s="237"/>
    </row>
    <row r="216" spans="4:5">
      <c r="D216" s="237"/>
      <c r="E216" s="237"/>
    </row>
    <row r="217" spans="4:5">
      <c r="D217" s="237"/>
      <c r="E217" s="237"/>
    </row>
    <row r="218" spans="4:5">
      <c r="D218" s="237"/>
      <c r="E218" s="237"/>
    </row>
    <row r="219" spans="4:5">
      <c r="D219" s="237"/>
      <c r="E219" s="237"/>
    </row>
    <row r="220" spans="4:5">
      <c r="D220" s="237"/>
      <c r="E220" s="237"/>
    </row>
    <row r="221" spans="4:5">
      <c r="D221" s="237"/>
      <c r="E221" s="237"/>
    </row>
    <row r="222" spans="4:5">
      <c r="D222" s="237"/>
      <c r="E222" s="237"/>
    </row>
    <row r="223" spans="4:5">
      <c r="D223" s="237"/>
      <c r="E223" s="237"/>
    </row>
    <row r="224" spans="4:5">
      <c r="D224" s="237"/>
      <c r="E224" s="237"/>
    </row>
    <row r="225" spans="4:5">
      <c r="D225" s="237"/>
      <c r="E225" s="237"/>
    </row>
    <row r="226" spans="4:5">
      <c r="D226" s="237"/>
      <c r="E226" s="237"/>
    </row>
    <row r="227" spans="4:5">
      <c r="D227" s="237"/>
      <c r="E227" s="237"/>
    </row>
    <row r="228" spans="4:5">
      <c r="D228" s="237"/>
      <c r="E228" s="237"/>
    </row>
    <row r="229" spans="4:5">
      <c r="D229" s="237"/>
      <c r="E229" s="237"/>
    </row>
    <row r="230" spans="4:5">
      <c r="D230" s="237"/>
      <c r="E230" s="237"/>
    </row>
    <row r="231" spans="4:5">
      <c r="D231" s="237"/>
      <c r="E231" s="237"/>
    </row>
    <row r="232" spans="4:5">
      <c r="D232" s="237"/>
      <c r="E232" s="237"/>
    </row>
    <row r="233" spans="4:5">
      <c r="D233" s="237"/>
      <c r="E233" s="237"/>
    </row>
    <row r="234" spans="4:5">
      <c r="D234" s="237"/>
      <c r="E234" s="237"/>
    </row>
    <row r="235" spans="4:5">
      <c r="D235" s="237"/>
      <c r="E235" s="237"/>
    </row>
    <row r="236" spans="4:5">
      <c r="D236" s="237"/>
      <c r="E236" s="237"/>
    </row>
    <row r="237" spans="4:5">
      <c r="D237" s="237"/>
      <c r="E237" s="237"/>
    </row>
    <row r="238" spans="4:5">
      <c r="D238" s="237"/>
      <c r="E238" s="237"/>
    </row>
    <row r="239" spans="4:5">
      <c r="D239" s="237"/>
      <c r="E239" s="237"/>
    </row>
    <row r="240" spans="4:5">
      <c r="D240" s="237"/>
      <c r="E240" s="237"/>
    </row>
    <row r="241" spans="4:5">
      <c r="D241" s="237"/>
      <c r="E241" s="237"/>
    </row>
    <row r="242" spans="4:5">
      <c r="D242" s="237"/>
      <c r="E242" s="237"/>
    </row>
    <row r="243" spans="4:5">
      <c r="D243" s="237"/>
      <c r="E243" s="237"/>
    </row>
    <row r="244" spans="4:5">
      <c r="D244" s="237"/>
      <c r="E244" s="237"/>
    </row>
    <row r="245" spans="4:5">
      <c r="D245" s="237"/>
      <c r="E245" s="237"/>
    </row>
    <row r="246" spans="4:5">
      <c r="D246" s="237"/>
      <c r="E246" s="237"/>
    </row>
    <row r="247" spans="4:5">
      <c r="D247" s="237"/>
      <c r="E247" s="237"/>
    </row>
    <row r="248" spans="4:5">
      <c r="D248" s="241"/>
      <c r="E248" s="241"/>
    </row>
    <row r="249" spans="4:5">
      <c r="D249" s="241"/>
      <c r="E249" s="241"/>
    </row>
    <row r="250" spans="4:5">
      <c r="D250" s="241"/>
      <c r="E250" s="241"/>
    </row>
    <row r="251" spans="4:5">
      <c r="D251" s="241"/>
      <c r="E251" s="241"/>
    </row>
    <row r="252" spans="4:5">
      <c r="D252" s="241"/>
      <c r="E252" s="241"/>
    </row>
    <row r="253" spans="4:5">
      <c r="D253" s="241"/>
      <c r="E253" s="241"/>
    </row>
    <row r="254" spans="4:5">
      <c r="D254" s="241"/>
      <c r="E254" s="241"/>
    </row>
    <row r="255" spans="4:5">
      <c r="D255" s="241"/>
      <c r="E255" s="241"/>
    </row>
    <row r="256" spans="4:5">
      <c r="D256" s="241"/>
      <c r="E256" s="241"/>
    </row>
    <row r="257" spans="4:5">
      <c r="D257" s="241"/>
      <c r="E257" s="241"/>
    </row>
    <row r="258" spans="4:5">
      <c r="D258" s="241"/>
      <c r="E258" s="241"/>
    </row>
    <row r="259" spans="4:5">
      <c r="D259" s="241"/>
      <c r="E259" s="241"/>
    </row>
    <row r="260" spans="4:5">
      <c r="D260" s="241"/>
      <c r="E260" s="241"/>
    </row>
    <row r="261" spans="4:5">
      <c r="D261" s="241"/>
      <c r="E261" s="241"/>
    </row>
    <row r="262" spans="4:5">
      <c r="D262" s="241"/>
      <c r="E262" s="241"/>
    </row>
    <row r="263" spans="4:5">
      <c r="D263" s="241"/>
      <c r="E263" s="241"/>
    </row>
    <row r="264" spans="4:5">
      <c r="D264" s="241"/>
      <c r="E264" s="241"/>
    </row>
    <row r="265" spans="4:5">
      <c r="D265" s="241"/>
      <c r="E265" s="241"/>
    </row>
    <row r="266" spans="4:5">
      <c r="D266" s="241"/>
      <c r="E266" s="241"/>
    </row>
    <row r="267" spans="4:5">
      <c r="D267" s="241"/>
      <c r="E267" s="241"/>
    </row>
    <row r="268" spans="4:5">
      <c r="D268" s="241"/>
      <c r="E268" s="241"/>
    </row>
    <row r="269" spans="4:5">
      <c r="D269" s="241"/>
      <c r="E269" s="241"/>
    </row>
    <row r="270" spans="4:5">
      <c r="D270" s="241"/>
      <c r="E270" s="241"/>
    </row>
    <row r="271" spans="4:5">
      <c r="D271" s="241"/>
      <c r="E271" s="241"/>
    </row>
    <row r="272" spans="4:5">
      <c r="D272" s="241"/>
      <c r="E272" s="241"/>
    </row>
    <row r="273" spans="4:5">
      <c r="D273" s="241"/>
      <c r="E273" s="241"/>
    </row>
    <row r="274" spans="4:5">
      <c r="D274" s="241"/>
      <c r="E274" s="241"/>
    </row>
    <row r="275" spans="4:5">
      <c r="D275" s="241"/>
      <c r="E275" s="241"/>
    </row>
    <row r="276" spans="4:5">
      <c r="D276" s="241"/>
      <c r="E276" s="241"/>
    </row>
    <row r="277" spans="4:5">
      <c r="D277" s="241"/>
      <c r="E277" s="241"/>
    </row>
    <row r="278" spans="4:5">
      <c r="D278" s="241"/>
      <c r="E278" s="241"/>
    </row>
    <row r="279" spans="4:5">
      <c r="D279" s="241"/>
      <c r="E279" s="241"/>
    </row>
    <row r="280" spans="4:5">
      <c r="D280" s="241"/>
      <c r="E280" s="241"/>
    </row>
    <row r="281" spans="4:5">
      <c r="D281" s="241"/>
      <c r="E281" s="241"/>
    </row>
    <row r="282" spans="4:5">
      <c r="D282" s="241"/>
      <c r="E282" s="241"/>
    </row>
    <row r="283" spans="4:5">
      <c r="D283" s="241"/>
      <c r="E283" s="241"/>
    </row>
    <row r="284" spans="4:5">
      <c r="D284" s="241"/>
      <c r="E284" s="241"/>
    </row>
    <row r="285" spans="4:5">
      <c r="D285" s="241"/>
      <c r="E285" s="241"/>
    </row>
    <row r="286" spans="4:5">
      <c r="D286" s="241"/>
      <c r="E286" s="241"/>
    </row>
    <row r="287" spans="4:5">
      <c r="D287" s="241"/>
      <c r="E287" s="241"/>
    </row>
    <row r="288" spans="4:5">
      <c r="D288" s="241"/>
      <c r="E288" s="241"/>
    </row>
    <row r="289" spans="4:5">
      <c r="D289" s="241"/>
      <c r="E289" s="241"/>
    </row>
    <row r="290" spans="4:5">
      <c r="D290" s="241"/>
      <c r="E290" s="241"/>
    </row>
    <row r="291" spans="4:5">
      <c r="D291" s="241"/>
      <c r="E291" s="241"/>
    </row>
    <row r="292" spans="4:5">
      <c r="D292" s="241"/>
      <c r="E292" s="241"/>
    </row>
    <row r="293" spans="4:5">
      <c r="D293" s="241"/>
      <c r="E293" s="241"/>
    </row>
    <row r="294" spans="4:5">
      <c r="D294" s="241"/>
      <c r="E294" s="241"/>
    </row>
    <row r="295" spans="4:5">
      <c r="D295" s="241"/>
      <c r="E295" s="241"/>
    </row>
    <row r="296" spans="4:5">
      <c r="D296" s="241"/>
      <c r="E296" s="241"/>
    </row>
    <row r="297" spans="4:5">
      <c r="D297" s="241"/>
      <c r="E297" s="241"/>
    </row>
    <row r="298" spans="4:5">
      <c r="D298" s="241"/>
      <c r="E298" s="241"/>
    </row>
    <row r="299" spans="4:5">
      <c r="D299" s="241"/>
      <c r="E299" s="241"/>
    </row>
    <row r="300" spans="4:5">
      <c r="D300" s="241"/>
      <c r="E300" s="241"/>
    </row>
    <row r="301" spans="4:5">
      <c r="D301" s="241"/>
      <c r="E301" s="241"/>
    </row>
    <row r="302" spans="4:5">
      <c r="D302" s="241"/>
      <c r="E302" s="241"/>
    </row>
    <row r="303" spans="4:5">
      <c r="D303" s="241"/>
      <c r="E303" s="241"/>
    </row>
    <row r="304" spans="4:5">
      <c r="D304" s="241"/>
      <c r="E304" s="241"/>
    </row>
    <row r="305" spans="4:5">
      <c r="D305" s="241"/>
      <c r="E305" s="241"/>
    </row>
    <row r="306" spans="4:5">
      <c r="D306" s="241"/>
      <c r="E306" s="241"/>
    </row>
    <row r="307" spans="4:5">
      <c r="D307" s="241"/>
      <c r="E307" s="241"/>
    </row>
    <row r="308" spans="4:5">
      <c r="D308" s="241"/>
      <c r="E308" s="241"/>
    </row>
    <row r="309" spans="4:5">
      <c r="D309" s="241"/>
      <c r="E309" s="241"/>
    </row>
    <row r="310" spans="4:5">
      <c r="D310" s="241"/>
      <c r="E310" s="241"/>
    </row>
    <row r="311" spans="4:5">
      <c r="D311" s="241"/>
      <c r="E311" s="241"/>
    </row>
    <row r="312" spans="4:5">
      <c r="D312" s="241"/>
      <c r="E312" s="241"/>
    </row>
    <row r="313" spans="4:5">
      <c r="D313" s="241"/>
      <c r="E313" s="241"/>
    </row>
    <row r="314" spans="4:5">
      <c r="D314" s="241"/>
      <c r="E314" s="241"/>
    </row>
    <row r="315" spans="4:5">
      <c r="D315" s="241"/>
      <c r="E315" s="241"/>
    </row>
    <row r="316" spans="4:5">
      <c r="D316" s="241"/>
      <c r="E316" s="241"/>
    </row>
    <row r="317" spans="4:5">
      <c r="D317" s="241"/>
      <c r="E317" s="241"/>
    </row>
    <row r="318" spans="4:5">
      <c r="D318" s="241"/>
      <c r="E318" s="241"/>
    </row>
    <row r="319" spans="4:5">
      <c r="D319" s="241"/>
      <c r="E319" s="241"/>
    </row>
    <row r="320" spans="4:5">
      <c r="D320" s="241"/>
      <c r="E320" s="241"/>
    </row>
    <row r="321" spans="4:5">
      <c r="D321" s="241"/>
      <c r="E321" s="241"/>
    </row>
    <row r="322" spans="4:5">
      <c r="D322" s="241"/>
      <c r="E322" s="241"/>
    </row>
    <row r="323" spans="4:5">
      <c r="D323" s="241"/>
      <c r="E323" s="241"/>
    </row>
    <row r="324" spans="4:5">
      <c r="D324" s="241"/>
      <c r="E324" s="241"/>
    </row>
    <row r="325" spans="4:5">
      <c r="D325" s="241"/>
      <c r="E325" s="241"/>
    </row>
    <row r="326" spans="4:5">
      <c r="D326" s="241"/>
      <c r="E326" s="241"/>
    </row>
    <row r="327" spans="4:5">
      <c r="D327" s="241"/>
      <c r="E327" s="241"/>
    </row>
    <row r="328" spans="4:5">
      <c r="D328" s="241"/>
      <c r="E328" s="241"/>
    </row>
    <row r="329" spans="4:5">
      <c r="D329" s="241"/>
      <c r="E329" s="241"/>
    </row>
    <row r="330" spans="4:5">
      <c r="D330" s="241"/>
      <c r="E330" s="241"/>
    </row>
    <row r="331" spans="4:5">
      <c r="D331" s="241"/>
      <c r="E331" s="241"/>
    </row>
    <row r="332" spans="4:5">
      <c r="D332" s="241"/>
      <c r="E332" s="241"/>
    </row>
    <row r="333" spans="4:5">
      <c r="D333" s="241"/>
      <c r="E333" s="241"/>
    </row>
    <row r="334" spans="4:5">
      <c r="D334" s="241"/>
      <c r="E334" s="241"/>
    </row>
    <row r="335" spans="4:5">
      <c r="D335" s="241"/>
      <c r="E335" s="241"/>
    </row>
    <row r="336" spans="4:5">
      <c r="D336" s="241"/>
      <c r="E336" s="241"/>
    </row>
    <row r="337" spans="4:5">
      <c r="D337" s="241"/>
      <c r="E337" s="241"/>
    </row>
    <row r="338" spans="4:5">
      <c r="D338" s="241"/>
      <c r="E338" s="241"/>
    </row>
    <row r="339" spans="4:5">
      <c r="D339" s="241"/>
      <c r="E339" s="241"/>
    </row>
    <row r="340" spans="4:5">
      <c r="D340" s="241"/>
      <c r="E340" s="241"/>
    </row>
    <row r="341" spans="4:5">
      <c r="D341" s="241"/>
      <c r="E341" s="241"/>
    </row>
    <row r="342" spans="4:5">
      <c r="D342" s="241"/>
      <c r="E342" s="241"/>
    </row>
    <row r="343" spans="4:5">
      <c r="D343" s="241"/>
      <c r="E343" s="241"/>
    </row>
    <row r="344" spans="4:5">
      <c r="D344" s="241"/>
      <c r="E344" s="241"/>
    </row>
    <row r="345" spans="4:5">
      <c r="D345" s="241"/>
      <c r="E345" s="241"/>
    </row>
    <row r="346" spans="4:5">
      <c r="D346" s="241"/>
      <c r="E346" s="241"/>
    </row>
    <row r="347" spans="4:5">
      <c r="D347" s="241"/>
      <c r="E347" s="241"/>
    </row>
    <row r="348" spans="4:5">
      <c r="D348" s="241"/>
      <c r="E348" s="241"/>
    </row>
    <row r="349" spans="4:5">
      <c r="D349" s="241"/>
      <c r="E349" s="241"/>
    </row>
    <row r="350" spans="4:5">
      <c r="D350" s="241"/>
      <c r="E350" s="241"/>
    </row>
    <row r="351" spans="4:5">
      <c r="D351" s="241"/>
      <c r="E351" s="241"/>
    </row>
    <row r="352" spans="4:5">
      <c r="D352" s="241"/>
      <c r="E352" s="241"/>
    </row>
    <row r="353" spans="4:5">
      <c r="D353" s="241"/>
      <c r="E353" s="241"/>
    </row>
    <row r="354" spans="4:5">
      <c r="D354" s="241"/>
      <c r="E354" s="241"/>
    </row>
    <row r="355" spans="4:5">
      <c r="D355" s="241"/>
      <c r="E355" s="241"/>
    </row>
    <row r="356" spans="4:5">
      <c r="D356" s="241"/>
      <c r="E356" s="241"/>
    </row>
    <row r="357" spans="4:5">
      <c r="D357" s="241"/>
      <c r="E357" s="241"/>
    </row>
    <row r="358" spans="4:5">
      <c r="D358" s="241"/>
      <c r="E358" s="241"/>
    </row>
    <row r="359" spans="4:5">
      <c r="D359" s="241"/>
      <c r="E359" s="241"/>
    </row>
    <row r="360" spans="4:5">
      <c r="D360" s="241"/>
      <c r="E360" s="241"/>
    </row>
    <row r="361" spans="4:5">
      <c r="D361" s="241"/>
      <c r="E361" s="241"/>
    </row>
    <row r="362" spans="4:5">
      <c r="D362" s="241"/>
      <c r="E362" s="241"/>
    </row>
    <row r="363" spans="4:5">
      <c r="D363" s="241"/>
      <c r="E363" s="241"/>
    </row>
    <row r="364" spans="4:5">
      <c r="D364" s="241"/>
      <c r="E364" s="241"/>
    </row>
    <row r="365" spans="4:5">
      <c r="D365" s="241"/>
      <c r="E365" s="241"/>
    </row>
    <row r="366" spans="4:5">
      <c r="D366" s="241"/>
      <c r="E366" s="241"/>
    </row>
    <row r="367" spans="4:5">
      <c r="D367" s="241"/>
      <c r="E367" s="241"/>
    </row>
    <row r="368" spans="4:5">
      <c r="D368" s="241"/>
      <c r="E368" s="241"/>
    </row>
    <row r="369" spans="4:5">
      <c r="D369" s="241"/>
      <c r="E369" s="241"/>
    </row>
    <row r="370" spans="4:5">
      <c r="D370" s="241"/>
      <c r="E370" s="241"/>
    </row>
    <row r="371" spans="4:5">
      <c r="D371" s="241"/>
      <c r="E371" s="241"/>
    </row>
    <row r="372" spans="4:5">
      <c r="D372" s="241"/>
      <c r="E372" s="241"/>
    </row>
    <row r="373" spans="4:5">
      <c r="D373" s="241"/>
      <c r="E373" s="241"/>
    </row>
    <row r="374" spans="4:5">
      <c r="D374" s="241"/>
      <c r="E374" s="241"/>
    </row>
    <row r="375" spans="4:5">
      <c r="D375" s="241"/>
      <c r="E375" s="241"/>
    </row>
    <row r="376" spans="4:5">
      <c r="D376" s="241"/>
      <c r="E376" s="241"/>
    </row>
    <row r="377" spans="4:5">
      <c r="D377" s="241"/>
      <c r="E377" s="241"/>
    </row>
    <row r="378" spans="4:5">
      <c r="D378" s="241"/>
      <c r="E378" s="241"/>
    </row>
    <row r="379" spans="4:5">
      <c r="D379" s="241"/>
      <c r="E379" s="241"/>
    </row>
    <row r="380" spans="4:5">
      <c r="D380" s="241"/>
      <c r="E380" s="241"/>
    </row>
    <row r="381" spans="4:5">
      <c r="D381" s="241"/>
      <c r="E381" s="241"/>
    </row>
    <row r="382" spans="4:5">
      <c r="D382" s="241"/>
      <c r="E382" s="241"/>
    </row>
    <row r="383" spans="4:5">
      <c r="D383" s="241"/>
      <c r="E383" s="241"/>
    </row>
    <row r="384" spans="4:5">
      <c r="D384" s="241"/>
      <c r="E384" s="241"/>
    </row>
    <row r="385" spans="4:5">
      <c r="D385" s="241"/>
      <c r="E385" s="241"/>
    </row>
    <row r="386" spans="4:5">
      <c r="D386" s="241"/>
      <c r="E386" s="241"/>
    </row>
    <row r="387" spans="4:5">
      <c r="D387" s="241"/>
      <c r="E387" s="241"/>
    </row>
    <row r="388" spans="4:5">
      <c r="D388" s="241"/>
      <c r="E388" s="241"/>
    </row>
    <row r="389" spans="4:5">
      <c r="D389" s="241"/>
      <c r="E389" s="241"/>
    </row>
    <row r="390" spans="4:5">
      <c r="D390" s="241"/>
      <c r="E390" s="241"/>
    </row>
    <row r="391" spans="4:5">
      <c r="D391" s="241"/>
      <c r="E391" s="241"/>
    </row>
    <row r="392" spans="4:5">
      <c r="D392" s="241"/>
      <c r="E392" s="241"/>
    </row>
    <row r="393" spans="4:5">
      <c r="D393" s="241"/>
      <c r="E393" s="241"/>
    </row>
    <row r="394" spans="4:5">
      <c r="D394" s="241"/>
      <c r="E394" s="241"/>
    </row>
    <row r="395" spans="4:5">
      <c r="D395" s="241"/>
      <c r="E395" s="241"/>
    </row>
    <row r="396" spans="4:5">
      <c r="D396" s="241"/>
      <c r="E396" s="241"/>
    </row>
    <row r="397" spans="4:5">
      <c r="D397" s="241"/>
      <c r="E397" s="241"/>
    </row>
    <row r="398" spans="4:5">
      <c r="D398" s="241"/>
      <c r="E398" s="241"/>
    </row>
    <row r="399" spans="4:5">
      <c r="D399" s="241"/>
      <c r="E399" s="241"/>
    </row>
    <row r="400" spans="4:5">
      <c r="D400" s="241"/>
      <c r="E400" s="241"/>
    </row>
    <row r="401" spans="4:5">
      <c r="D401" s="241"/>
      <c r="E401" s="241"/>
    </row>
    <row r="402" spans="4:5">
      <c r="D402" s="241"/>
      <c r="E402" s="241"/>
    </row>
    <row r="403" spans="4:5">
      <c r="D403" s="241"/>
      <c r="E403" s="241"/>
    </row>
    <row r="404" spans="4:5">
      <c r="D404" s="241"/>
      <c r="E404" s="241"/>
    </row>
    <row r="405" spans="4:5">
      <c r="D405" s="241"/>
      <c r="E405" s="241"/>
    </row>
    <row r="406" spans="4:5">
      <c r="D406" s="241"/>
      <c r="E406" s="241"/>
    </row>
    <row r="407" spans="4:5">
      <c r="D407" s="241"/>
      <c r="E407" s="241"/>
    </row>
    <row r="408" spans="4:5">
      <c r="D408" s="241"/>
      <c r="E408" s="241"/>
    </row>
    <row r="409" spans="4:5">
      <c r="D409" s="241"/>
      <c r="E409" s="241"/>
    </row>
    <row r="410" spans="4:5">
      <c r="D410" s="241"/>
      <c r="E410" s="241"/>
    </row>
    <row r="411" spans="4:5">
      <c r="D411" s="241"/>
      <c r="E411" s="241"/>
    </row>
    <row r="412" spans="4:5">
      <c r="D412" s="241"/>
      <c r="E412" s="241"/>
    </row>
    <row r="413" spans="4:5">
      <c r="D413" s="241"/>
      <c r="E413" s="241"/>
    </row>
    <row r="414" spans="4:5">
      <c r="D414" s="241"/>
      <c r="E414" s="241"/>
    </row>
    <row r="415" spans="4:5">
      <c r="D415" s="241"/>
      <c r="E415" s="241"/>
    </row>
    <row r="416" spans="4:5">
      <c r="D416" s="241"/>
      <c r="E416" s="241"/>
    </row>
    <row r="417" spans="4:5">
      <c r="D417" s="241"/>
      <c r="E417" s="241"/>
    </row>
    <row r="418" spans="4:5">
      <c r="D418" s="241"/>
      <c r="E418" s="241"/>
    </row>
    <row r="419" spans="4:5">
      <c r="D419" s="241"/>
      <c r="E419" s="241"/>
    </row>
    <row r="420" spans="4:5">
      <c r="D420" s="241"/>
      <c r="E420" s="241"/>
    </row>
    <row r="421" spans="4:5">
      <c r="D421" s="241"/>
      <c r="E421" s="241"/>
    </row>
    <row r="422" spans="4:5">
      <c r="D422" s="241"/>
      <c r="E422" s="241"/>
    </row>
    <row r="423" spans="4:5">
      <c r="D423" s="241"/>
      <c r="E423" s="241"/>
    </row>
    <row r="424" spans="4:5">
      <c r="D424" s="241"/>
      <c r="E424" s="241"/>
    </row>
    <row r="425" spans="4:5">
      <c r="D425" s="241"/>
      <c r="E425" s="241"/>
    </row>
    <row r="426" spans="4:5">
      <c r="D426" s="241"/>
      <c r="E426" s="241"/>
    </row>
    <row r="427" spans="4:5">
      <c r="D427" s="241"/>
      <c r="E427" s="241"/>
    </row>
    <row r="428" spans="4:5">
      <c r="D428" s="241"/>
      <c r="E428" s="241"/>
    </row>
    <row r="429" spans="4:5">
      <c r="D429" s="241"/>
      <c r="E429" s="241"/>
    </row>
    <row r="430" spans="4:5">
      <c r="D430" s="241"/>
      <c r="E430" s="241"/>
    </row>
    <row r="431" spans="4:5">
      <c r="D431" s="241"/>
      <c r="E431" s="241"/>
    </row>
    <row r="432" spans="4:5">
      <c r="D432" s="241"/>
      <c r="E432" s="241"/>
    </row>
    <row r="433" spans="4:5">
      <c r="D433" s="241"/>
      <c r="E433" s="241"/>
    </row>
    <row r="434" spans="4:5">
      <c r="D434" s="241"/>
      <c r="E434" s="241"/>
    </row>
    <row r="435" spans="4:5">
      <c r="D435" s="241"/>
      <c r="E435" s="241"/>
    </row>
    <row r="436" spans="4:5">
      <c r="D436" s="241"/>
      <c r="E436" s="241"/>
    </row>
    <row r="437" spans="4:5">
      <c r="D437" s="241"/>
      <c r="E437" s="241"/>
    </row>
    <row r="438" spans="4:5">
      <c r="D438" s="241"/>
      <c r="E438" s="241"/>
    </row>
    <row r="439" spans="4:5">
      <c r="D439" s="241"/>
      <c r="E439" s="241"/>
    </row>
    <row r="440" spans="4:5">
      <c r="D440" s="241"/>
      <c r="E440" s="241"/>
    </row>
    <row r="441" spans="4:5">
      <c r="D441" s="241"/>
      <c r="E441" s="241"/>
    </row>
    <row r="442" spans="4:5">
      <c r="D442" s="241"/>
      <c r="E442" s="241"/>
    </row>
    <row r="443" spans="4:5">
      <c r="D443" s="241"/>
      <c r="E443" s="241"/>
    </row>
    <row r="444" spans="4:5">
      <c r="D444" s="241"/>
      <c r="E444" s="241"/>
    </row>
    <row r="445" spans="4:5">
      <c r="D445" s="241"/>
      <c r="E445" s="241"/>
    </row>
    <row r="446" spans="4:5">
      <c r="D446" s="241"/>
      <c r="E446" s="241"/>
    </row>
    <row r="447" spans="4:5">
      <c r="D447" s="241"/>
      <c r="E447" s="241"/>
    </row>
    <row r="448" spans="4:5">
      <c r="D448" s="241"/>
      <c r="E448" s="241"/>
    </row>
    <row r="449" spans="4:5">
      <c r="D449" s="241"/>
      <c r="E449" s="241"/>
    </row>
    <row r="450" spans="4:5">
      <c r="D450" s="241"/>
      <c r="E450" s="241"/>
    </row>
    <row r="451" spans="4:5">
      <c r="D451" s="241"/>
      <c r="E451" s="241"/>
    </row>
    <row r="452" spans="4:5">
      <c r="D452" s="241"/>
      <c r="E452" s="241"/>
    </row>
    <row r="453" spans="4:5">
      <c r="D453" s="241"/>
      <c r="E453" s="241"/>
    </row>
    <row r="454" spans="4:5">
      <c r="D454" s="241"/>
      <c r="E454" s="241"/>
    </row>
    <row r="455" spans="4:5">
      <c r="D455" s="241"/>
      <c r="E455" s="241"/>
    </row>
    <row r="456" spans="4:5">
      <c r="D456" s="241"/>
      <c r="E456" s="241"/>
    </row>
    <row r="457" spans="4:5">
      <c r="D457" s="241"/>
      <c r="E457" s="241"/>
    </row>
    <row r="458" spans="4:5">
      <c r="D458" s="241"/>
      <c r="E458" s="241"/>
    </row>
    <row r="459" spans="4:5">
      <c r="D459" s="241"/>
      <c r="E459" s="241"/>
    </row>
    <row r="460" spans="4:5">
      <c r="D460" s="241"/>
      <c r="E460" s="241"/>
    </row>
    <row r="461" spans="4:5">
      <c r="D461" s="241"/>
      <c r="E461" s="241"/>
    </row>
    <row r="462" spans="4:5">
      <c r="D462" s="241"/>
      <c r="E462" s="241"/>
    </row>
    <row r="463" spans="4:5">
      <c r="D463" s="241"/>
      <c r="E463" s="241"/>
    </row>
    <row r="464" spans="4:5">
      <c r="D464" s="241"/>
      <c r="E464" s="241"/>
    </row>
    <row r="465" spans="4:5">
      <c r="D465" s="241"/>
      <c r="E465" s="241"/>
    </row>
    <row r="466" spans="4:5">
      <c r="D466" s="241"/>
      <c r="E466" s="241"/>
    </row>
    <row r="467" spans="4:5">
      <c r="D467" s="241"/>
      <c r="E467" s="241"/>
    </row>
    <row r="468" spans="4:5">
      <c r="D468" s="241"/>
      <c r="E468" s="241"/>
    </row>
    <row r="469" spans="4:5">
      <c r="D469" s="241"/>
      <c r="E469" s="241"/>
    </row>
    <row r="470" spans="4:5">
      <c r="D470" s="241"/>
      <c r="E470" s="241"/>
    </row>
    <row r="471" spans="4:5">
      <c r="D471" s="241"/>
      <c r="E471" s="241"/>
    </row>
    <row r="472" spans="4:5">
      <c r="D472" s="241"/>
      <c r="E472" s="241"/>
    </row>
    <row r="473" spans="4:5">
      <c r="D473" s="241"/>
      <c r="E473" s="241"/>
    </row>
    <row r="474" spans="4:5">
      <c r="D474" s="241"/>
      <c r="E474" s="241"/>
    </row>
    <row r="475" spans="4:5">
      <c r="D475" s="241"/>
      <c r="E475" s="241"/>
    </row>
    <row r="476" spans="4:5">
      <c r="D476" s="241"/>
      <c r="E476" s="241"/>
    </row>
    <row r="477" spans="4:5">
      <c r="D477" s="241"/>
      <c r="E477" s="241"/>
    </row>
    <row r="478" spans="4:5">
      <c r="D478" s="241"/>
      <c r="E478" s="241"/>
    </row>
    <row r="479" spans="4:5">
      <c r="D479" s="241"/>
      <c r="E479" s="241"/>
    </row>
    <row r="480" spans="4:5">
      <c r="D480" s="241"/>
      <c r="E480" s="241"/>
    </row>
    <row r="481" spans="4:5">
      <c r="D481" s="241"/>
      <c r="E481" s="241"/>
    </row>
    <row r="482" spans="4:5">
      <c r="D482" s="241"/>
      <c r="E482" s="241"/>
    </row>
    <row r="483" spans="4:5">
      <c r="D483" s="241"/>
      <c r="E483" s="241"/>
    </row>
    <row r="484" spans="4:5">
      <c r="D484" s="241"/>
      <c r="E484" s="241"/>
    </row>
    <row r="485" spans="4:5">
      <c r="D485" s="241"/>
      <c r="E485" s="241"/>
    </row>
    <row r="486" spans="4:5">
      <c r="D486" s="241"/>
      <c r="E486" s="241"/>
    </row>
    <row r="487" spans="4:5">
      <c r="D487" s="241"/>
      <c r="E487" s="241"/>
    </row>
    <row r="488" spans="4:5">
      <c r="D488" s="241"/>
      <c r="E488" s="241"/>
    </row>
    <row r="489" spans="4:5">
      <c r="D489" s="241"/>
      <c r="E489" s="241"/>
    </row>
    <row r="490" spans="4:5">
      <c r="D490" s="241"/>
      <c r="E490" s="241"/>
    </row>
    <row r="491" spans="4:5">
      <c r="D491" s="241"/>
      <c r="E491" s="241"/>
    </row>
    <row r="492" spans="4:5">
      <c r="D492" s="241"/>
      <c r="E492" s="241"/>
    </row>
    <row r="493" spans="4:5">
      <c r="D493" s="241"/>
      <c r="E493" s="241"/>
    </row>
    <row r="494" spans="4:5">
      <c r="D494" s="241"/>
      <c r="E494" s="241"/>
    </row>
    <row r="495" spans="4:5">
      <c r="D495" s="241"/>
      <c r="E495" s="241"/>
    </row>
    <row r="496" spans="4:5">
      <c r="D496" s="241"/>
      <c r="E496" s="241"/>
    </row>
    <row r="497" spans="4:5">
      <c r="D497" s="241"/>
      <c r="E497" s="241"/>
    </row>
    <row r="498" spans="4:5">
      <c r="D498" s="241"/>
      <c r="E498" s="241"/>
    </row>
    <row r="499" spans="4:5">
      <c r="D499" s="241"/>
      <c r="E499" s="241"/>
    </row>
    <row r="500" spans="4:5">
      <c r="D500" s="241"/>
      <c r="E500" s="241"/>
    </row>
    <row r="501" spans="4:5">
      <c r="D501" s="241"/>
      <c r="E501" s="241"/>
    </row>
    <row r="502" spans="4:5">
      <c r="D502" s="241"/>
      <c r="E502" s="241"/>
    </row>
    <row r="503" spans="4:5">
      <c r="D503" s="241"/>
      <c r="E503" s="241"/>
    </row>
    <row r="504" spans="4:5">
      <c r="D504" s="241"/>
      <c r="E504" s="241"/>
    </row>
    <row r="505" spans="4:5">
      <c r="D505" s="241"/>
      <c r="E505" s="241"/>
    </row>
    <row r="506" spans="4:5">
      <c r="D506" s="241"/>
      <c r="E506" s="241"/>
    </row>
    <row r="507" spans="4:5">
      <c r="D507" s="241"/>
      <c r="E507" s="241"/>
    </row>
    <row r="508" spans="4:5">
      <c r="D508" s="241"/>
      <c r="E508" s="241"/>
    </row>
    <row r="509" spans="4:5">
      <c r="D509" s="241"/>
      <c r="E509" s="241"/>
    </row>
    <row r="510" spans="4:5">
      <c r="D510" s="241"/>
      <c r="E510" s="241"/>
    </row>
    <row r="511" spans="4:5">
      <c r="D511" s="241"/>
      <c r="E511" s="241"/>
    </row>
    <row r="512" spans="4:5">
      <c r="D512" s="241"/>
      <c r="E512" s="241"/>
    </row>
    <row r="513" spans="4:5">
      <c r="D513" s="241"/>
      <c r="E513" s="241"/>
    </row>
    <row r="514" spans="4:5">
      <c r="D514" s="241"/>
      <c r="E514" s="241"/>
    </row>
    <row r="515" spans="4:5">
      <c r="D515" s="241"/>
      <c r="E515" s="241"/>
    </row>
    <row r="516" spans="4:5">
      <c r="D516" s="241"/>
      <c r="E516" s="241"/>
    </row>
    <row r="517" spans="4:5">
      <c r="D517" s="241"/>
      <c r="E517" s="241"/>
    </row>
    <row r="518" spans="4:5">
      <c r="D518" s="241"/>
      <c r="E518" s="241"/>
    </row>
    <row r="519" spans="4:5">
      <c r="D519" s="241"/>
      <c r="E519" s="241"/>
    </row>
    <row r="520" spans="4:5">
      <c r="D520" s="241"/>
      <c r="E520" s="241"/>
    </row>
    <row r="521" spans="4:5">
      <c r="D521" s="241"/>
      <c r="E521" s="241"/>
    </row>
    <row r="522" spans="4:5">
      <c r="D522" s="241"/>
      <c r="E522" s="241"/>
    </row>
    <row r="523" spans="4:5">
      <c r="D523" s="241"/>
      <c r="E523" s="241"/>
    </row>
    <row r="524" spans="4:5">
      <c r="D524" s="241"/>
      <c r="E524" s="241"/>
    </row>
    <row r="525" spans="4:5">
      <c r="D525" s="241"/>
      <c r="E525" s="241"/>
    </row>
    <row r="526" spans="4:5">
      <c r="D526" s="241"/>
      <c r="E526" s="241"/>
    </row>
    <row r="527" spans="4:5">
      <c r="D527" s="241"/>
      <c r="E527" s="241"/>
    </row>
    <row r="528" spans="4:5">
      <c r="D528" s="241"/>
      <c r="E528" s="241"/>
    </row>
    <row r="529" spans="4:5">
      <c r="D529" s="241"/>
      <c r="E529" s="241"/>
    </row>
    <row r="530" spans="4:5">
      <c r="D530" s="241"/>
      <c r="E530" s="241"/>
    </row>
    <row r="531" spans="4:5">
      <c r="D531" s="241"/>
      <c r="E531" s="241"/>
    </row>
    <row r="532" spans="4:5">
      <c r="D532" s="241"/>
      <c r="E532" s="241"/>
    </row>
    <row r="533" spans="4:5">
      <c r="D533" s="241"/>
      <c r="E533" s="241"/>
    </row>
    <row r="534" spans="4:5">
      <c r="D534" s="241"/>
      <c r="E534" s="241"/>
    </row>
    <row r="535" spans="4:5">
      <c r="D535" s="241"/>
      <c r="E535" s="241"/>
    </row>
    <row r="536" spans="4:5">
      <c r="D536" s="241"/>
      <c r="E536" s="241"/>
    </row>
    <row r="537" spans="4:5">
      <c r="D537" s="241"/>
      <c r="E537" s="241"/>
    </row>
    <row r="538" spans="4:5">
      <c r="D538" s="241"/>
      <c r="E538" s="241"/>
    </row>
    <row r="539" spans="4:5">
      <c r="D539" s="241"/>
      <c r="E539" s="241"/>
    </row>
    <row r="540" spans="4:5">
      <c r="D540" s="241"/>
      <c r="E540" s="241"/>
    </row>
    <row r="541" spans="4:5">
      <c r="D541" s="241"/>
      <c r="E541" s="241"/>
    </row>
    <row r="542" spans="4:5">
      <c r="D542" s="241"/>
      <c r="E542" s="241"/>
    </row>
    <row r="543" spans="4:5">
      <c r="D543" s="241"/>
      <c r="E543" s="241"/>
    </row>
    <row r="544" spans="4:5">
      <c r="D544" s="241"/>
      <c r="E544" s="241"/>
    </row>
    <row r="545" spans="4:5">
      <c r="D545" s="241"/>
      <c r="E545" s="241"/>
    </row>
    <row r="546" spans="4:5">
      <c r="D546" s="241"/>
      <c r="E546" s="241"/>
    </row>
    <row r="547" spans="4:5">
      <c r="D547" s="241"/>
      <c r="E547" s="241"/>
    </row>
    <row r="548" spans="4:5">
      <c r="D548" s="241"/>
      <c r="E548" s="241"/>
    </row>
    <row r="549" spans="4:5">
      <c r="D549" s="241"/>
      <c r="E549" s="241"/>
    </row>
    <row r="550" spans="4:5">
      <c r="D550" s="241"/>
      <c r="E550" s="241"/>
    </row>
    <row r="551" spans="4:5">
      <c r="D551" s="241"/>
      <c r="E551" s="241"/>
    </row>
    <row r="552" spans="4:5">
      <c r="D552" s="241"/>
      <c r="E552" s="241"/>
    </row>
    <row r="553" spans="4:5">
      <c r="D553" s="241"/>
      <c r="E553" s="241"/>
    </row>
    <row r="554" spans="4:5">
      <c r="D554" s="241"/>
      <c r="E554" s="241"/>
    </row>
    <row r="555" spans="4:5">
      <c r="D555" s="241"/>
      <c r="E555" s="241"/>
    </row>
    <row r="556" spans="4:5">
      <c r="D556" s="241"/>
      <c r="E556" s="241"/>
    </row>
    <row r="557" spans="4:5">
      <c r="D557" s="241"/>
      <c r="E557" s="241"/>
    </row>
    <row r="558" spans="4:5">
      <c r="D558" s="241"/>
      <c r="E558" s="241"/>
    </row>
    <row r="559" spans="4:5">
      <c r="D559" s="241"/>
      <c r="E559" s="241"/>
    </row>
    <row r="560" spans="4:5">
      <c r="D560" s="241"/>
      <c r="E560" s="241"/>
    </row>
    <row r="561" spans="4:5">
      <c r="D561" s="241"/>
      <c r="E561" s="241"/>
    </row>
    <row r="562" spans="4:5">
      <c r="D562" s="241"/>
      <c r="E562" s="241"/>
    </row>
    <row r="563" spans="4:5">
      <c r="D563" s="241"/>
      <c r="E563" s="241"/>
    </row>
    <row r="564" spans="4:5">
      <c r="D564" s="241"/>
      <c r="E564" s="241"/>
    </row>
    <row r="565" spans="4:5">
      <c r="D565" s="241"/>
      <c r="E565" s="241"/>
    </row>
    <row r="566" spans="4:5">
      <c r="D566" s="241"/>
      <c r="E566" s="241"/>
    </row>
    <row r="567" spans="4:5">
      <c r="D567" s="241"/>
      <c r="E567" s="241"/>
    </row>
    <row r="568" spans="4:5">
      <c r="D568" s="241"/>
      <c r="E568" s="241"/>
    </row>
    <row r="569" spans="4:5">
      <c r="D569" s="241"/>
      <c r="E569" s="241"/>
    </row>
    <row r="570" spans="4:5">
      <c r="D570" s="241"/>
      <c r="E570" s="241"/>
    </row>
    <row r="571" spans="4:5">
      <c r="D571" s="241"/>
      <c r="E571" s="241"/>
    </row>
    <row r="572" spans="4:5">
      <c r="D572" s="241"/>
      <c r="E572" s="241"/>
    </row>
    <row r="573" spans="4:5">
      <c r="D573" s="241"/>
      <c r="E573" s="241"/>
    </row>
    <row r="574" spans="4:5">
      <c r="D574" s="241"/>
      <c r="E574" s="241"/>
    </row>
    <row r="575" spans="4:5">
      <c r="D575" s="241"/>
      <c r="E575" s="241"/>
    </row>
    <row r="576" spans="4:5">
      <c r="D576" s="241"/>
      <c r="E576" s="241"/>
    </row>
    <row r="577" spans="4:5">
      <c r="D577" s="241"/>
      <c r="E577" s="241"/>
    </row>
    <row r="578" spans="4:5">
      <c r="D578" s="241"/>
      <c r="E578" s="241"/>
    </row>
    <row r="579" spans="4:5">
      <c r="D579" s="241"/>
      <c r="E579" s="241"/>
    </row>
    <row r="580" spans="4:5">
      <c r="D580" s="241"/>
      <c r="E580" s="241"/>
    </row>
    <row r="581" spans="4:5">
      <c r="D581" s="241"/>
      <c r="E581" s="241"/>
    </row>
    <row r="582" spans="4:5">
      <c r="D582" s="241"/>
      <c r="E582" s="241"/>
    </row>
    <row r="583" spans="4:5">
      <c r="D583" s="241"/>
      <c r="E583" s="241"/>
    </row>
    <row r="584" spans="4:5">
      <c r="D584" s="241"/>
      <c r="E584" s="241"/>
    </row>
    <row r="585" spans="4:5">
      <c r="D585" s="241"/>
      <c r="E585" s="241"/>
    </row>
    <row r="586" spans="4:5">
      <c r="D586" s="241"/>
      <c r="E586" s="241"/>
    </row>
    <row r="587" spans="4:5">
      <c r="D587" s="241"/>
      <c r="E587" s="241"/>
    </row>
    <row r="588" spans="4:5">
      <c r="D588" s="241"/>
      <c r="E588" s="241"/>
    </row>
    <row r="589" spans="4:5">
      <c r="D589" s="241"/>
      <c r="E589" s="241"/>
    </row>
    <row r="590" spans="4:5">
      <c r="D590" s="241"/>
      <c r="E590" s="241"/>
    </row>
    <row r="591" spans="4:5">
      <c r="D591" s="241"/>
      <c r="E591" s="241"/>
    </row>
    <row r="592" spans="4:5">
      <c r="D592" s="241"/>
      <c r="E592" s="241"/>
    </row>
    <row r="593" spans="4:5">
      <c r="D593" s="241"/>
      <c r="E593" s="241"/>
    </row>
    <row r="594" spans="4:5">
      <c r="D594" s="241"/>
      <c r="E594" s="241"/>
    </row>
    <row r="595" spans="4:5">
      <c r="D595" s="241"/>
      <c r="E595" s="241"/>
    </row>
    <row r="596" spans="4:5">
      <c r="D596" s="241"/>
      <c r="E596" s="241"/>
    </row>
    <row r="597" spans="4:5">
      <c r="D597" s="241"/>
      <c r="E597" s="241"/>
    </row>
    <row r="598" spans="4:5">
      <c r="D598" s="241"/>
      <c r="E598" s="241"/>
    </row>
    <row r="599" spans="4:5">
      <c r="D599" s="241"/>
      <c r="E599" s="241"/>
    </row>
    <row r="600" spans="4:5">
      <c r="D600" s="241"/>
      <c r="E600" s="241"/>
    </row>
    <row r="601" spans="4:5">
      <c r="D601" s="241"/>
      <c r="E601" s="241"/>
    </row>
    <row r="602" spans="4:5">
      <c r="D602" s="241"/>
      <c r="E602" s="241"/>
    </row>
    <row r="603" spans="4:5">
      <c r="D603" s="241"/>
      <c r="E603" s="241"/>
    </row>
    <row r="604" spans="4:5">
      <c r="D604" s="241"/>
      <c r="E604" s="241"/>
    </row>
    <row r="605" spans="4:5">
      <c r="D605" s="241"/>
      <c r="E605" s="241"/>
    </row>
    <row r="606" spans="4:5">
      <c r="D606" s="241"/>
      <c r="E606" s="241"/>
    </row>
    <row r="607" spans="4:5">
      <c r="D607" s="241"/>
      <c r="E607" s="241"/>
    </row>
    <row r="608" spans="4:5">
      <c r="D608" s="241"/>
      <c r="E608" s="241"/>
    </row>
    <row r="609" spans="4:5">
      <c r="D609" s="241"/>
      <c r="E609" s="241"/>
    </row>
    <row r="610" spans="4:5">
      <c r="D610" s="241"/>
      <c r="E610" s="241"/>
    </row>
    <row r="611" spans="4:5">
      <c r="D611" s="241"/>
      <c r="E611" s="241"/>
    </row>
    <row r="612" spans="4:5">
      <c r="D612" s="241"/>
      <c r="E612" s="241"/>
    </row>
    <row r="613" spans="4:5">
      <c r="D613" s="241"/>
      <c r="E613" s="241"/>
    </row>
    <row r="614" spans="4:5">
      <c r="D614" s="241"/>
      <c r="E614" s="241"/>
    </row>
    <row r="615" spans="4:5">
      <c r="D615" s="241"/>
      <c r="E615" s="241"/>
    </row>
    <row r="616" spans="4:5">
      <c r="D616" s="241"/>
      <c r="E616" s="241"/>
    </row>
    <row r="617" spans="4:5">
      <c r="D617" s="241"/>
      <c r="E617" s="241"/>
    </row>
    <row r="618" spans="4:5">
      <c r="D618" s="241"/>
      <c r="E618" s="241"/>
    </row>
    <row r="619" spans="4:5">
      <c r="D619" s="241"/>
      <c r="E619" s="241"/>
    </row>
    <row r="620" spans="4:5">
      <c r="D620" s="241"/>
      <c r="E620" s="241"/>
    </row>
    <row r="621" spans="4:5">
      <c r="D621" s="241"/>
      <c r="E621" s="241"/>
    </row>
    <row r="622" spans="4:5">
      <c r="D622" s="241"/>
      <c r="E622" s="241"/>
    </row>
    <row r="623" spans="4:5">
      <c r="D623" s="241"/>
      <c r="E623" s="241"/>
    </row>
    <row r="624" spans="4:5">
      <c r="D624" s="241"/>
      <c r="E624" s="241"/>
    </row>
    <row r="625" spans="4:5">
      <c r="D625" s="241"/>
      <c r="E625" s="241"/>
    </row>
    <row r="626" spans="4:5">
      <c r="D626" s="241"/>
      <c r="E626" s="241"/>
    </row>
    <row r="627" spans="4:5">
      <c r="D627" s="241"/>
      <c r="E627" s="241"/>
    </row>
    <row r="628" spans="4:5">
      <c r="D628" s="241"/>
      <c r="E628" s="241"/>
    </row>
    <row r="629" spans="4:5">
      <c r="D629" s="241"/>
      <c r="E629" s="241"/>
    </row>
    <row r="630" spans="4:5">
      <c r="D630" s="241"/>
      <c r="E630" s="241"/>
    </row>
    <row r="631" spans="4:5">
      <c r="D631" s="241"/>
      <c r="E631" s="241"/>
    </row>
    <row r="632" spans="4:5">
      <c r="D632" s="241"/>
      <c r="E632" s="241"/>
    </row>
    <row r="633" spans="4:5">
      <c r="D633" s="241"/>
      <c r="E633" s="241"/>
    </row>
    <row r="634" spans="4:5">
      <c r="D634" s="241"/>
      <c r="E634" s="241"/>
    </row>
    <row r="635" spans="4:5">
      <c r="D635" s="241"/>
      <c r="E635" s="241"/>
    </row>
    <row r="636" spans="4:5">
      <c r="D636" s="241"/>
      <c r="E636" s="241"/>
    </row>
    <row r="637" spans="4:5">
      <c r="D637" s="241"/>
      <c r="E637" s="241"/>
    </row>
    <row r="638" spans="4:5">
      <c r="D638" s="241"/>
      <c r="E638" s="241"/>
    </row>
    <row r="639" spans="4:5">
      <c r="D639" s="241"/>
      <c r="E639" s="241"/>
    </row>
    <row r="640" spans="4:5">
      <c r="D640" s="241"/>
      <c r="E640" s="241"/>
    </row>
    <row r="641" spans="4:5">
      <c r="D641" s="241"/>
      <c r="E641" s="241"/>
    </row>
    <row r="642" spans="4:5">
      <c r="D642" s="241"/>
      <c r="E642" s="241"/>
    </row>
    <row r="643" spans="4:5">
      <c r="D643" s="241"/>
      <c r="E643" s="241"/>
    </row>
    <row r="644" spans="4:5">
      <c r="D644" s="241"/>
      <c r="E644" s="241"/>
    </row>
    <row r="645" spans="4:5">
      <c r="D645" s="241"/>
      <c r="E645" s="241"/>
    </row>
    <row r="646" spans="4:5">
      <c r="D646" s="241"/>
      <c r="E646" s="241"/>
    </row>
    <row r="647" spans="4:5">
      <c r="D647" s="241"/>
      <c r="E647" s="241"/>
    </row>
    <row r="648" spans="4:5">
      <c r="D648" s="241"/>
      <c r="E648" s="241"/>
    </row>
    <row r="649" spans="4:5">
      <c r="D649" s="241"/>
      <c r="E649" s="241"/>
    </row>
    <row r="650" spans="4:5">
      <c r="D650" s="241"/>
      <c r="E650" s="241"/>
    </row>
    <row r="651" spans="4:5">
      <c r="D651" s="241"/>
      <c r="E651" s="241"/>
    </row>
    <row r="652" spans="4:5">
      <c r="D652" s="241"/>
      <c r="E652" s="241"/>
    </row>
    <row r="653" spans="4:5">
      <c r="D653" s="241"/>
      <c r="E653" s="241"/>
    </row>
    <row r="654" spans="4:5">
      <c r="D654" s="241"/>
      <c r="E654" s="241"/>
    </row>
    <row r="655" spans="4:5">
      <c r="D655" s="241"/>
      <c r="E655" s="241"/>
    </row>
    <row r="656" spans="4:5">
      <c r="D656" s="241"/>
      <c r="E656" s="241"/>
    </row>
    <row r="657" spans="4:5">
      <c r="D657" s="241"/>
      <c r="E657" s="241"/>
    </row>
    <row r="658" spans="4:5">
      <c r="D658" s="241"/>
      <c r="E658" s="241"/>
    </row>
    <row r="659" spans="4:5">
      <c r="D659" s="241"/>
      <c r="E659" s="241"/>
    </row>
    <row r="660" spans="4:5">
      <c r="D660" s="241"/>
      <c r="E660" s="241"/>
    </row>
    <row r="661" spans="4:5">
      <c r="D661" s="241"/>
      <c r="E661" s="241"/>
    </row>
    <row r="662" spans="4:5">
      <c r="D662" s="241"/>
      <c r="E662" s="241"/>
    </row>
    <row r="663" spans="4:5">
      <c r="D663" s="241"/>
      <c r="E663" s="241"/>
    </row>
    <row r="664" spans="4:5">
      <c r="D664" s="241"/>
      <c r="E664" s="241"/>
    </row>
    <row r="665" spans="4:5">
      <c r="D665" s="241"/>
      <c r="E665" s="241"/>
    </row>
    <row r="666" spans="4:5">
      <c r="D666" s="241"/>
      <c r="E666" s="241"/>
    </row>
    <row r="667" spans="4:5">
      <c r="D667" s="241"/>
      <c r="E667" s="241"/>
    </row>
    <row r="668" spans="4:5">
      <c r="D668" s="241"/>
      <c r="E668" s="241"/>
    </row>
    <row r="669" spans="4:5">
      <c r="D669" s="241"/>
      <c r="E669" s="241"/>
    </row>
    <row r="670" spans="4:5">
      <c r="D670" s="241"/>
      <c r="E670" s="241"/>
    </row>
    <row r="671" spans="4:5">
      <c r="D671" s="241"/>
      <c r="E671" s="241"/>
    </row>
    <row r="672" spans="4:5">
      <c r="D672" s="241"/>
      <c r="E672" s="241"/>
    </row>
    <row r="673" spans="4:5">
      <c r="D673" s="241"/>
      <c r="E673" s="241"/>
    </row>
    <row r="674" spans="4:5">
      <c r="D674" s="241"/>
      <c r="E674" s="241"/>
    </row>
    <row r="675" spans="4:5">
      <c r="D675" s="241"/>
      <c r="E675" s="241"/>
    </row>
    <row r="676" spans="4:5">
      <c r="D676" s="241"/>
      <c r="E676" s="241"/>
    </row>
    <row r="677" spans="4:5">
      <c r="D677" s="241"/>
      <c r="E677" s="241"/>
    </row>
    <row r="678" spans="4:5">
      <c r="D678" s="241"/>
      <c r="E678" s="241"/>
    </row>
    <row r="679" spans="4:5">
      <c r="D679" s="241"/>
      <c r="E679" s="241"/>
    </row>
    <row r="680" spans="4:5">
      <c r="D680" s="241"/>
      <c r="E680" s="241"/>
    </row>
    <row r="681" spans="4:5">
      <c r="D681" s="241"/>
      <c r="E681" s="241"/>
    </row>
    <row r="682" spans="4:5">
      <c r="D682" s="241"/>
      <c r="E682" s="241"/>
    </row>
    <row r="683" spans="4:5">
      <c r="D683" s="241"/>
      <c r="E683" s="241"/>
    </row>
    <row r="684" spans="4:5">
      <c r="D684" s="241"/>
      <c r="E684" s="241"/>
    </row>
    <row r="685" spans="4:5">
      <c r="D685" s="241"/>
      <c r="E685" s="241"/>
    </row>
    <row r="686" spans="4:5">
      <c r="D686" s="241"/>
      <c r="E686" s="241"/>
    </row>
    <row r="687" spans="4:5">
      <c r="D687" s="241"/>
      <c r="E687" s="241"/>
    </row>
    <row r="688" spans="4:5">
      <c r="D688" s="241"/>
      <c r="E688" s="241"/>
    </row>
    <row r="689" spans="4:5">
      <c r="D689" s="241"/>
      <c r="E689" s="241"/>
    </row>
    <row r="690" spans="4:5">
      <c r="D690" s="241"/>
      <c r="E690" s="241"/>
    </row>
    <row r="691" spans="4:5">
      <c r="D691" s="241"/>
      <c r="E691" s="241"/>
    </row>
    <row r="692" spans="4:5">
      <c r="D692" s="241"/>
      <c r="E692" s="241"/>
    </row>
    <row r="693" spans="4:5">
      <c r="D693" s="241"/>
      <c r="E693" s="241"/>
    </row>
    <row r="694" spans="4:5">
      <c r="D694" s="241"/>
      <c r="E694" s="241"/>
    </row>
    <row r="695" spans="4:5">
      <c r="D695" s="241"/>
      <c r="E695" s="241"/>
    </row>
    <row r="696" spans="4:5">
      <c r="D696" s="241"/>
      <c r="E696" s="241"/>
    </row>
    <row r="697" spans="4:5">
      <c r="D697" s="241"/>
      <c r="E697" s="241"/>
    </row>
    <row r="698" spans="4:5">
      <c r="D698" s="241"/>
      <c r="E698" s="241"/>
    </row>
    <row r="699" spans="4:5">
      <c r="D699" s="241"/>
      <c r="E699" s="241"/>
    </row>
    <row r="700" spans="4:5">
      <c r="D700" s="241"/>
      <c r="E700" s="241"/>
    </row>
    <row r="701" spans="4:5">
      <c r="D701" s="241"/>
      <c r="E701" s="241"/>
    </row>
    <row r="702" spans="4:5">
      <c r="D702" s="241"/>
      <c r="E702" s="241"/>
    </row>
    <row r="703" spans="4:5">
      <c r="D703" s="241"/>
      <c r="E703" s="241"/>
    </row>
    <row r="704" spans="4:5">
      <c r="D704" s="241"/>
      <c r="E704" s="241"/>
    </row>
    <row r="705" spans="4:5">
      <c r="D705" s="241"/>
      <c r="E705" s="241"/>
    </row>
    <row r="706" spans="4:5">
      <c r="D706" s="241"/>
      <c r="E706" s="241"/>
    </row>
    <row r="707" spans="4:5">
      <c r="D707" s="241"/>
      <c r="E707" s="241"/>
    </row>
    <row r="708" spans="4:5">
      <c r="D708" s="241"/>
      <c r="E708" s="241"/>
    </row>
    <row r="709" spans="4:5">
      <c r="D709" s="241"/>
      <c r="E709" s="241"/>
    </row>
    <row r="710" spans="4:5">
      <c r="D710" s="241"/>
      <c r="E710" s="241"/>
    </row>
    <row r="711" spans="4:5">
      <c r="D711" s="241"/>
      <c r="E711" s="241"/>
    </row>
    <row r="712" spans="4:5">
      <c r="D712" s="241"/>
      <c r="E712" s="241"/>
    </row>
    <row r="713" spans="4:5">
      <c r="D713" s="241"/>
      <c r="E713" s="241"/>
    </row>
    <row r="714" spans="4:5">
      <c r="D714" s="241"/>
      <c r="E714" s="241"/>
    </row>
    <row r="715" spans="4:5">
      <c r="D715" s="241"/>
      <c r="E715" s="241"/>
    </row>
    <row r="716" spans="4:5">
      <c r="D716" s="241"/>
      <c r="E716" s="241"/>
    </row>
    <row r="717" spans="4:5">
      <c r="D717" s="241"/>
      <c r="E717" s="241"/>
    </row>
    <row r="718" spans="4:5">
      <c r="D718" s="241"/>
      <c r="E718" s="241"/>
    </row>
    <row r="719" spans="4:5">
      <c r="D719" s="241"/>
      <c r="E719" s="241"/>
    </row>
    <row r="720" spans="4:5">
      <c r="D720" s="241"/>
      <c r="E720" s="241"/>
    </row>
    <row r="721" spans="4:5">
      <c r="D721" s="241"/>
      <c r="E721" s="241"/>
    </row>
    <row r="722" spans="4:5">
      <c r="D722" s="241"/>
      <c r="E722" s="241"/>
    </row>
    <row r="723" spans="4:5">
      <c r="D723" s="241"/>
      <c r="E723" s="241"/>
    </row>
    <row r="724" spans="4:5">
      <c r="D724" s="241"/>
      <c r="E724" s="241"/>
    </row>
    <row r="725" spans="4:5">
      <c r="D725" s="241"/>
      <c r="E725" s="241"/>
    </row>
    <row r="726" spans="4:5">
      <c r="D726" s="241"/>
      <c r="E726" s="241"/>
    </row>
    <row r="727" spans="4:5">
      <c r="D727" s="241"/>
      <c r="E727" s="241"/>
    </row>
    <row r="728" spans="4:5">
      <c r="D728" s="241"/>
      <c r="E728" s="241"/>
    </row>
    <row r="729" spans="4:5">
      <c r="D729" s="241"/>
      <c r="E729" s="241"/>
    </row>
    <row r="730" spans="4:5">
      <c r="D730" s="241"/>
      <c r="E730" s="241"/>
    </row>
    <row r="731" spans="4:5">
      <c r="D731" s="241"/>
      <c r="E731" s="241"/>
    </row>
    <row r="732" spans="4:5">
      <c r="D732" s="241"/>
      <c r="E732" s="241"/>
    </row>
    <row r="733" spans="4:5">
      <c r="D733" s="241"/>
      <c r="E733" s="241"/>
    </row>
    <row r="734" spans="4:5">
      <c r="D734" s="241"/>
      <c r="E734" s="241"/>
    </row>
    <row r="735" spans="4:5">
      <c r="D735" s="241"/>
      <c r="E735" s="241"/>
    </row>
    <row r="736" spans="4:5">
      <c r="D736" s="241"/>
      <c r="E736" s="241"/>
    </row>
    <row r="737" spans="4:5">
      <c r="D737" s="241"/>
      <c r="E737" s="241"/>
    </row>
    <row r="738" spans="4:5">
      <c r="D738" s="241"/>
      <c r="E738" s="241"/>
    </row>
    <row r="739" spans="4:5">
      <c r="D739" s="241"/>
      <c r="E739" s="241"/>
    </row>
    <row r="740" spans="4:5">
      <c r="D740" s="241"/>
      <c r="E740" s="241"/>
    </row>
    <row r="741" spans="4:5">
      <c r="D741" s="241"/>
      <c r="E741" s="241"/>
    </row>
    <row r="742" spans="4:5">
      <c r="D742" s="241"/>
      <c r="E742" s="241"/>
    </row>
    <row r="743" spans="4:5">
      <c r="D743" s="241"/>
      <c r="E743" s="241"/>
    </row>
    <row r="744" spans="4:5">
      <c r="D744" s="241"/>
      <c r="E744" s="241"/>
    </row>
    <row r="745" spans="4:5">
      <c r="D745" s="241"/>
      <c r="E745" s="241"/>
    </row>
    <row r="746" spans="4:5">
      <c r="D746" s="241"/>
      <c r="E746" s="241"/>
    </row>
    <row r="747" spans="4:5">
      <c r="D747" s="241"/>
      <c r="E747" s="241"/>
    </row>
    <row r="748" spans="4:5">
      <c r="D748" s="241"/>
      <c r="E748" s="241"/>
    </row>
    <row r="749" spans="4:5">
      <c r="D749" s="241"/>
      <c r="E749" s="241"/>
    </row>
    <row r="750" spans="4:5">
      <c r="D750" s="241"/>
      <c r="E750" s="241"/>
    </row>
    <row r="751" spans="4:5">
      <c r="D751" s="241"/>
      <c r="E751" s="241"/>
    </row>
    <row r="752" spans="4:5">
      <c r="D752" s="241"/>
      <c r="E752" s="241"/>
    </row>
    <row r="753" spans="4:5">
      <c r="D753" s="241"/>
      <c r="E753" s="241"/>
    </row>
    <row r="754" spans="4:5">
      <c r="D754" s="241"/>
      <c r="E754" s="241"/>
    </row>
    <row r="755" spans="4:5">
      <c r="D755" s="241"/>
      <c r="E755" s="241"/>
    </row>
    <row r="756" spans="4:5">
      <c r="D756" s="241"/>
      <c r="E756" s="241"/>
    </row>
    <row r="757" spans="4:5">
      <c r="D757" s="241"/>
      <c r="E757" s="241"/>
    </row>
    <row r="758" spans="4:5">
      <c r="D758" s="241"/>
      <c r="E758" s="241"/>
    </row>
    <row r="759" spans="4:5">
      <c r="D759" s="241"/>
      <c r="E759" s="241"/>
    </row>
    <row r="760" spans="4:5">
      <c r="D760" s="241"/>
      <c r="E760" s="241"/>
    </row>
    <row r="761" spans="4:5">
      <c r="D761" s="241"/>
      <c r="E761" s="241"/>
    </row>
    <row r="762" spans="4:5">
      <c r="D762" s="241"/>
      <c r="E762" s="241"/>
    </row>
    <row r="763" spans="4:5">
      <c r="D763" s="241"/>
      <c r="E763" s="241"/>
    </row>
    <row r="764" spans="4:5">
      <c r="D764" s="241"/>
      <c r="E764" s="241"/>
    </row>
    <row r="765" spans="4:5">
      <c r="D765" s="241"/>
      <c r="E765" s="241"/>
    </row>
    <row r="766" spans="4:5">
      <c r="D766" s="241"/>
      <c r="E766" s="241"/>
    </row>
    <row r="767" spans="4:5">
      <c r="D767" s="241"/>
      <c r="E767" s="241"/>
    </row>
    <row r="768" spans="4:5">
      <c r="D768" s="241"/>
      <c r="E768" s="241"/>
    </row>
    <row r="769" spans="4:5">
      <c r="D769" s="241"/>
      <c r="E769" s="241"/>
    </row>
    <row r="770" spans="4:5">
      <c r="D770" s="241"/>
      <c r="E770" s="241"/>
    </row>
    <row r="771" spans="4:5">
      <c r="D771" s="241"/>
      <c r="E771" s="241"/>
    </row>
    <row r="772" spans="4:5">
      <c r="D772" s="241"/>
      <c r="E772" s="241"/>
    </row>
    <row r="773" spans="4:5">
      <c r="D773" s="241"/>
      <c r="E773" s="241"/>
    </row>
    <row r="774" spans="4:5">
      <c r="D774" s="241"/>
      <c r="E774" s="241"/>
    </row>
    <row r="775" spans="4:5">
      <c r="D775" s="241"/>
      <c r="E775" s="241"/>
    </row>
    <row r="776" spans="4:5">
      <c r="D776" s="241"/>
      <c r="E776" s="241"/>
    </row>
    <row r="777" spans="4:5">
      <c r="D777" s="241"/>
      <c r="E777" s="241"/>
    </row>
    <row r="778" spans="4:5">
      <c r="D778" s="241"/>
      <c r="E778" s="241"/>
    </row>
    <row r="779" spans="4:5">
      <c r="D779" s="241"/>
      <c r="E779" s="241"/>
    </row>
    <row r="780" spans="4:5">
      <c r="D780" s="241"/>
      <c r="E780" s="241"/>
    </row>
    <row r="781" spans="4:5">
      <c r="D781" s="241"/>
      <c r="E781" s="241"/>
    </row>
    <row r="782" spans="4:5">
      <c r="D782" s="241"/>
      <c r="E782" s="241"/>
    </row>
    <row r="783" spans="4:5">
      <c r="D783" s="241"/>
      <c r="E783" s="241"/>
    </row>
    <row r="784" spans="4:5">
      <c r="D784" s="241"/>
      <c r="E784" s="241"/>
    </row>
    <row r="785" spans="4:5">
      <c r="D785" s="241"/>
      <c r="E785" s="241"/>
    </row>
    <row r="786" spans="4:5">
      <c r="D786" s="241"/>
      <c r="E786" s="241"/>
    </row>
    <row r="787" spans="4:5">
      <c r="D787" s="241"/>
      <c r="E787" s="241"/>
    </row>
    <row r="788" spans="4:5">
      <c r="D788" s="241"/>
      <c r="E788" s="241"/>
    </row>
    <row r="789" spans="4:5">
      <c r="D789" s="241"/>
      <c r="E789" s="241"/>
    </row>
    <row r="790" spans="4:5">
      <c r="D790" s="241"/>
      <c r="E790" s="241"/>
    </row>
    <row r="791" spans="4:5">
      <c r="D791" s="241"/>
      <c r="E791" s="241"/>
    </row>
    <row r="792" spans="4:5">
      <c r="D792" s="241"/>
      <c r="E792" s="241"/>
    </row>
    <row r="793" spans="4:5">
      <c r="D793" s="241"/>
      <c r="E793" s="241"/>
    </row>
    <row r="794" spans="4:5">
      <c r="D794" s="241"/>
      <c r="E794" s="241"/>
    </row>
    <row r="795" spans="4:5">
      <c r="D795" s="241"/>
      <c r="E795" s="241"/>
    </row>
    <row r="796" spans="4:5">
      <c r="D796" s="241"/>
      <c r="E796" s="241"/>
    </row>
    <row r="797" spans="4:5">
      <c r="D797" s="241"/>
      <c r="E797" s="241"/>
    </row>
    <row r="798" spans="4:5">
      <c r="D798" s="241"/>
      <c r="E798" s="241"/>
    </row>
    <row r="799" spans="4:5">
      <c r="D799" s="241"/>
      <c r="E799" s="241"/>
    </row>
    <row r="800" spans="4:5">
      <c r="D800" s="241"/>
      <c r="E800" s="241"/>
    </row>
    <row r="801" spans="4:5">
      <c r="D801" s="241"/>
      <c r="E801" s="241"/>
    </row>
    <row r="802" spans="4:5">
      <c r="D802" s="241"/>
      <c r="E802" s="241"/>
    </row>
    <row r="803" spans="4:5">
      <c r="D803" s="241"/>
      <c r="E803" s="241"/>
    </row>
    <row r="804" spans="4:5">
      <c r="D804" s="241"/>
      <c r="E804" s="241"/>
    </row>
    <row r="805" spans="4:5">
      <c r="D805" s="241"/>
      <c r="E805" s="241"/>
    </row>
    <row r="806" spans="4:5">
      <c r="D806" s="241"/>
      <c r="E806" s="241"/>
    </row>
    <row r="807" spans="4:5">
      <c r="D807" s="241"/>
      <c r="E807" s="241"/>
    </row>
    <row r="808" spans="4:5">
      <c r="D808" s="241"/>
      <c r="E808" s="241"/>
    </row>
    <row r="809" spans="4:5">
      <c r="D809" s="241"/>
      <c r="E809" s="241"/>
    </row>
    <row r="810" spans="4:5">
      <c r="D810" s="241"/>
      <c r="E810" s="241"/>
    </row>
    <row r="811" spans="4:5">
      <c r="D811" s="241"/>
      <c r="E811" s="241"/>
    </row>
    <row r="812" spans="4:5">
      <c r="D812" s="241"/>
      <c r="E812" s="241"/>
    </row>
    <row r="813" spans="4:5">
      <c r="D813" s="241"/>
      <c r="E813" s="241"/>
    </row>
    <row r="814" spans="4:5">
      <c r="D814" s="241"/>
      <c r="E814" s="241"/>
    </row>
    <row r="815" spans="4:5">
      <c r="D815" s="241"/>
      <c r="E815" s="241"/>
    </row>
    <row r="816" spans="4:5">
      <c r="D816" s="241"/>
      <c r="E816" s="241"/>
    </row>
    <row r="817" spans="4:5">
      <c r="D817" s="241"/>
      <c r="E817" s="241"/>
    </row>
    <row r="818" spans="4:5">
      <c r="D818" s="241"/>
      <c r="E818" s="241"/>
    </row>
    <row r="819" spans="4:5">
      <c r="D819" s="241"/>
      <c r="E819" s="241"/>
    </row>
    <row r="820" spans="4:5">
      <c r="D820" s="241"/>
      <c r="E820" s="241"/>
    </row>
    <row r="821" spans="4:5">
      <c r="D821" s="241"/>
      <c r="E821" s="241"/>
    </row>
    <row r="822" spans="4:5">
      <c r="D822" s="241"/>
      <c r="E822" s="241"/>
    </row>
    <row r="823" spans="4:5">
      <c r="D823" s="241"/>
      <c r="E823" s="241"/>
    </row>
    <row r="824" spans="4:5">
      <c r="D824" s="241"/>
      <c r="E824" s="241"/>
    </row>
    <row r="825" spans="4:5">
      <c r="D825" s="241"/>
      <c r="E825" s="241"/>
    </row>
    <row r="826" spans="4:5">
      <c r="D826" s="241"/>
      <c r="E826" s="241"/>
    </row>
    <row r="827" spans="4:5">
      <c r="D827" s="241"/>
      <c r="E827" s="241"/>
    </row>
    <row r="828" spans="4:5">
      <c r="D828" s="241"/>
      <c r="E828" s="241"/>
    </row>
    <row r="829" spans="4:5">
      <c r="D829" s="241"/>
      <c r="E829" s="241"/>
    </row>
    <row r="830" spans="4:5">
      <c r="D830" s="241"/>
      <c r="E830" s="241"/>
    </row>
    <row r="831" spans="4:5">
      <c r="D831" s="241"/>
      <c r="E831" s="241"/>
    </row>
    <row r="832" spans="4:5">
      <c r="D832" s="241"/>
      <c r="E832" s="241"/>
    </row>
    <row r="833" spans="4:5">
      <c r="D833" s="241"/>
      <c r="E833" s="241"/>
    </row>
    <row r="834" spans="4:5">
      <c r="D834" s="241"/>
      <c r="E834" s="241"/>
    </row>
    <row r="835" spans="4:5">
      <c r="D835" s="241"/>
      <c r="E835" s="241"/>
    </row>
    <row r="836" spans="4:5">
      <c r="D836" s="241"/>
      <c r="E836" s="241"/>
    </row>
    <row r="837" spans="4:5">
      <c r="D837" s="241"/>
      <c r="E837" s="241"/>
    </row>
    <row r="838" spans="4:5">
      <c r="D838" s="241"/>
      <c r="E838" s="241"/>
    </row>
    <row r="839" spans="4:5">
      <c r="D839" s="241"/>
      <c r="E839" s="241"/>
    </row>
    <row r="840" spans="4:5">
      <c r="D840" s="241"/>
      <c r="E840" s="241"/>
    </row>
    <row r="841" spans="4:5">
      <c r="D841" s="241"/>
      <c r="E841" s="241"/>
    </row>
    <row r="842" spans="4:5">
      <c r="D842" s="241"/>
      <c r="E842" s="241"/>
    </row>
    <row r="843" spans="4:5">
      <c r="D843" s="241"/>
      <c r="E843" s="241"/>
    </row>
    <row r="844" spans="4:5">
      <c r="D844" s="241"/>
      <c r="E844" s="241"/>
    </row>
    <row r="845" spans="4:5">
      <c r="D845" s="241"/>
      <c r="E845" s="241"/>
    </row>
    <row r="846" spans="4:5">
      <c r="D846" s="241"/>
      <c r="E846" s="241"/>
    </row>
    <row r="847" spans="4:5">
      <c r="D847" s="241"/>
      <c r="E847" s="241"/>
    </row>
    <row r="848" spans="4:5">
      <c r="D848" s="241"/>
      <c r="E848" s="241"/>
    </row>
    <row r="849" spans="4:5">
      <c r="D849" s="241"/>
      <c r="E849" s="241"/>
    </row>
    <row r="850" spans="4:5">
      <c r="D850" s="241"/>
      <c r="E850" s="241"/>
    </row>
    <row r="851" spans="4:5">
      <c r="D851" s="241"/>
      <c r="E851" s="241"/>
    </row>
    <row r="852" spans="4:5">
      <c r="D852" s="241"/>
      <c r="E852" s="241"/>
    </row>
    <row r="853" spans="4:5">
      <c r="D853" s="241"/>
      <c r="E853" s="241"/>
    </row>
    <row r="854" spans="4:5">
      <c r="D854" s="241"/>
      <c r="E854" s="241"/>
    </row>
    <row r="855" spans="4:5">
      <c r="D855" s="241"/>
      <c r="E855" s="241"/>
    </row>
    <row r="856" spans="4:5">
      <c r="D856" s="241"/>
      <c r="E856" s="241"/>
    </row>
    <row r="857" spans="4:5">
      <c r="D857" s="241"/>
      <c r="E857" s="241"/>
    </row>
    <row r="858" spans="4:5">
      <c r="D858" s="241"/>
      <c r="E858" s="241"/>
    </row>
    <row r="859" spans="4:5">
      <c r="D859" s="241"/>
      <c r="E859" s="241"/>
    </row>
    <row r="860" spans="4:5">
      <c r="D860" s="241"/>
      <c r="E860" s="241"/>
    </row>
    <row r="861" spans="4:5">
      <c r="D861" s="241"/>
      <c r="E861" s="241"/>
    </row>
    <row r="862" spans="4:5">
      <c r="D862" s="241"/>
      <c r="E862" s="241"/>
    </row>
    <row r="863" spans="4:5">
      <c r="D863" s="241"/>
      <c r="E863" s="241"/>
    </row>
    <row r="864" spans="4:5">
      <c r="D864" s="241"/>
      <c r="E864" s="241"/>
    </row>
    <row r="865" spans="4:5">
      <c r="D865" s="241"/>
      <c r="E865" s="241"/>
    </row>
    <row r="866" spans="4:5">
      <c r="D866" s="241"/>
      <c r="E866" s="241"/>
    </row>
    <row r="867" spans="4:5">
      <c r="D867" s="241"/>
      <c r="E867" s="241"/>
    </row>
    <row r="868" spans="4:5">
      <c r="D868" s="241"/>
      <c r="E868" s="241"/>
    </row>
    <row r="869" spans="4:5">
      <c r="D869" s="241"/>
      <c r="E869" s="241"/>
    </row>
    <row r="870" spans="4:5">
      <c r="D870" s="241"/>
      <c r="E870" s="241"/>
    </row>
    <row r="871" spans="4:5">
      <c r="D871" s="241"/>
      <c r="E871" s="241"/>
    </row>
    <row r="872" spans="4:5">
      <c r="D872" s="241"/>
      <c r="E872" s="241"/>
    </row>
    <row r="873" spans="4:5">
      <c r="D873" s="241"/>
      <c r="E873" s="241"/>
    </row>
    <row r="874" spans="4:5">
      <c r="D874" s="241"/>
      <c r="E874" s="241"/>
    </row>
    <row r="875" spans="4:5">
      <c r="D875" s="241"/>
      <c r="E875" s="241"/>
    </row>
    <row r="876" spans="4:5">
      <c r="D876" s="241"/>
      <c r="E876" s="241"/>
    </row>
    <row r="877" spans="4:5">
      <c r="D877" s="241"/>
      <c r="E877" s="241"/>
    </row>
    <row r="878" spans="4:5">
      <c r="D878" s="241"/>
      <c r="E878" s="241"/>
    </row>
    <row r="879" spans="4:5">
      <c r="D879" s="241"/>
      <c r="E879" s="241"/>
    </row>
    <row r="880" spans="4:5">
      <c r="D880" s="241"/>
      <c r="E880" s="241"/>
    </row>
    <row r="881" spans="4:5">
      <c r="D881" s="241"/>
      <c r="E881" s="241"/>
    </row>
    <row r="882" spans="4:5">
      <c r="D882" s="241"/>
      <c r="E882" s="241"/>
    </row>
    <row r="883" spans="4:5">
      <c r="D883" s="241"/>
      <c r="E883" s="241"/>
    </row>
    <row r="884" spans="4:5">
      <c r="D884" s="241"/>
      <c r="E884" s="241"/>
    </row>
    <row r="885" spans="4:5">
      <c r="D885" s="241"/>
      <c r="E885" s="241"/>
    </row>
    <row r="886" spans="4:5">
      <c r="D886" s="241"/>
      <c r="E886" s="241"/>
    </row>
    <row r="887" spans="4:5">
      <c r="D887" s="241"/>
      <c r="E887" s="241"/>
    </row>
    <row r="888" spans="4:5">
      <c r="D888" s="241"/>
      <c r="E888" s="241"/>
    </row>
    <row r="889" spans="4:5">
      <c r="D889" s="241"/>
      <c r="E889" s="241"/>
    </row>
    <row r="890" spans="4:5">
      <c r="D890" s="241"/>
      <c r="E890" s="241"/>
    </row>
    <row r="891" spans="4:5">
      <c r="D891" s="241"/>
      <c r="E891" s="241"/>
    </row>
    <row r="892" spans="4:5">
      <c r="D892" s="241"/>
      <c r="E892" s="241"/>
    </row>
    <row r="893" spans="4:5">
      <c r="D893" s="241"/>
      <c r="E893" s="241"/>
    </row>
    <row r="894" spans="4:5">
      <c r="D894" s="241"/>
      <c r="E894" s="241"/>
    </row>
    <row r="895" spans="4:5">
      <c r="D895" s="241"/>
      <c r="E895" s="241"/>
    </row>
    <row r="896" spans="4:5">
      <c r="D896" s="241"/>
      <c r="E896" s="241"/>
    </row>
    <row r="897" spans="4:5">
      <c r="D897" s="241"/>
      <c r="E897" s="241"/>
    </row>
    <row r="898" spans="4:5">
      <c r="D898" s="241"/>
      <c r="E898" s="241"/>
    </row>
    <row r="899" spans="4:5">
      <c r="D899" s="241"/>
      <c r="E899" s="241"/>
    </row>
    <row r="900" spans="4:5">
      <c r="D900" s="241"/>
      <c r="E900" s="241"/>
    </row>
    <row r="901" spans="4:5">
      <c r="D901" s="241"/>
      <c r="E901" s="241"/>
    </row>
    <row r="902" spans="4:5">
      <c r="D902" s="241"/>
      <c r="E902" s="241"/>
    </row>
    <row r="903" spans="4:5">
      <c r="D903" s="241"/>
      <c r="E903" s="241"/>
    </row>
    <row r="904" spans="4:5">
      <c r="D904" s="241"/>
      <c r="E904" s="241"/>
    </row>
    <row r="905" spans="4:5">
      <c r="D905" s="241"/>
      <c r="E905" s="241"/>
    </row>
    <row r="906" spans="4:5">
      <c r="D906" s="241"/>
      <c r="E906" s="241"/>
    </row>
    <row r="907" spans="4:5">
      <c r="D907" s="241"/>
      <c r="E907" s="241"/>
    </row>
    <row r="908" spans="4:5">
      <c r="D908" s="241"/>
      <c r="E908" s="241"/>
    </row>
    <row r="909" spans="4:5">
      <c r="D909" s="241"/>
      <c r="E909" s="241"/>
    </row>
    <row r="910" spans="4:5">
      <c r="D910" s="241"/>
      <c r="E910" s="241"/>
    </row>
    <row r="911" spans="4:5">
      <c r="D911" s="241"/>
      <c r="E911" s="241"/>
    </row>
    <row r="912" spans="4:5">
      <c r="D912" s="241"/>
      <c r="E912" s="241"/>
    </row>
    <row r="913" spans="4:5">
      <c r="D913" s="241"/>
      <c r="E913" s="241"/>
    </row>
    <row r="914" spans="4:5">
      <c r="D914" s="241"/>
      <c r="E914" s="241"/>
    </row>
    <row r="915" spans="4:5">
      <c r="D915" s="241"/>
      <c r="E915" s="241"/>
    </row>
    <row r="916" spans="4:5">
      <c r="D916" s="241"/>
      <c r="E916" s="241"/>
    </row>
    <row r="917" spans="4:5">
      <c r="D917" s="241"/>
      <c r="E917" s="241"/>
    </row>
    <row r="918" spans="4:5">
      <c r="D918" s="241"/>
      <c r="E918" s="241"/>
    </row>
    <row r="919" spans="4:5">
      <c r="D919" s="241"/>
      <c r="E919" s="241"/>
    </row>
    <row r="920" spans="4:5">
      <c r="D920" s="241"/>
      <c r="E920" s="241"/>
    </row>
    <row r="921" spans="4:5">
      <c r="D921" s="241"/>
      <c r="E921" s="241"/>
    </row>
    <row r="922" spans="4:5">
      <c r="D922" s="241"/>
      <c r="E922" s="241"/>
    </row>
    <row r="923" spans="4:5">
      <c r="D923" s="241"/>
      <c r="E923" s="241"/>
    </row>
    <row r="924" spans="4:5">
      <c r="D924" s="241"/>
      <c r="E924" s="241"/>
    </row>
    <row r="925" spans="4:5">
      <c r="D925" s="241"/>
      <c r="E925" s="241"/>
    </row>
    <row r="926" spans="4:5">
      <c r="D926" s="241"/>
      <c r="E926" s="241"/>
    </row>
    <row r="927" spans="4:5">
      <c r="D927" s="241"/>
      <c r="E927" s="241"/>
    </row>
    <row r="928" spans="4:5">
      <c r="D928" s="241"/>
      <c r="E928" s="241"/>
    </row>
    <row r="929" spans="4:5">
      <c r="D929" s="241"/>
      <c r="E929" s="241"/>
    </row>
    <row r="930" spans="4:5">
      <c r="D930" s="241"/>
      <c r="E930" s="241"/>
    </row>
    <row r="931" spans="4:5">
      <c r="D931" s="241"/>
      <c r="E931" s="241"/>
    </row>
    <row r="932" spans="4:5">
      <c r="D932" s="241"/>
      <c r="E932" s="241"/>
    </row>
    <row r="933" spans="4:5">
      <c r="D933" s="241"/>
      <c r="E933" s="241"/>
    </row>
    <row r="934" spans="4:5">
      <c r="D934" s="241"/>
      <c r="E934" s="241"/>
    </row>
    <row r="935" spans="4:5">
      <c r="D935" s="241"/>
      <c r="E935" s="241"/>
    </row>
    <row r="936" spans="4:5">
      <c r="D936" s="241"/>
      <c r="E936" s="241"/>
    </row>
    <row r="937" spans="4:5">
      <c r="D937" s="241"/>
      <c r="E937" s="241"/>
    </row>
    <row r="938" spans="4:5">
      <c r="D938" s="241"/>
      <c r="E938" s="241"/>
    </row>
    <row r="939" spans="4:5">
      <c r="D939" s="241"/>
      <c r="E939" s="241"/>
    </row>
    <row r="940" spans="4:5">
      <c r="D940" s="241"/>
      <c r="E940" s="241"/>
    </row>
    <row r="941" spans="4:5">
      <c r="D941" s="241"/>
      <c r="E941" s="241"/>
    </row>
    <row r="942" spans="4:5">
      <c r="D942" s="241"/>
      <c r="E942" s="241"/>
    </row>
    <row r="943" spans="4:5">
      <c r="D943" s="241"/>
      <c r="E943" s="241"/>
    </row>
    <row r="944" spans="4:5">
      <c r="D944" s="241"/>
      <c r="E944" s="241"/>
    </row>
    <row r="945" spans="4:5">
      <c r="D945" s="241"/>
      <c r="E945" s="241"/>
    </row>
    <row r="946" spans="4:5">
      <c r="D946" s="241"/>
      <c r="E946" s="241"/>
    </row>
    <row r="947" spans="4:5">
      <c r="D947" s="241"/>
      <c r="E947" s="241"/>
    </row>
    <row r="948" spans="4:5">
      <c r="D948" s="241"/>
      <c r="E948" s="241"/>
    </row>
    <row r="949" spans="4:5">
      <c r="D949" s="241"/>
      <c r="E949" s="241"/>
    </row>
    <row r="950" spans="4:5">
      <c r="D950" s="241"/>
      <c r="E950" s="241"/>
    </row>
    <row r="951" spans="4:5">
      <c r="D951" s="241"/>
      <c r="E951" s="241"/>
    </row>
    <row r="952" spans="4:5">
      <c r="D952" s="241"/>
      <c r="E952" s="241"/>
    </row>
    <row r="953" spans="4:5">
      <c r="D953" s="241"/>
      <c r="E953" s="241"/>
    </row>
    <row r="954" spans="4:5">
      <c r="D954" s="241"/>
      <c r="E954" s="241"/>
    </row>
    <row r="955" spans="4:5">
      <c r="D955" s="241"/>
      <c r="E955" s="241"/>
    </row>
    <row r="956" spans="4:5">
      <c r="D956" s="241"/>
      <c r="E956" s="241"/>
    </row>
    <row r="957" spans="4:5">
      <c r="D957" s="241"/>
      <c r="E957" s="241"/>
    </row>
    <row r="958" spans="4:5">
      <c r="D958" s="241"/>
      <c r="E958" s="241"/>
    </row>
    <row r="959" spans="4:5">
      <c r="D959" s="241"/>
      <c r="E959" s="241"/>
    </row>
    <row r="960" spans="4:5">
      <c r="D960" s="241"/>
      <c r="E960" s="241"/>
    </row>
    <row r="961" spans="4:5">
      <c r="D961" s="241"/>
      <c r="E961" s="241"/>
    </row>
    <row r="962" spans="4:5">
      <c r="D962" s="241"/>
      <c r="E962" s="241"/>
    </row>
    <row r="963" spans="4:5">
      <c r="D963" s="241"/>
      <c r="E963" s="241"/>
    </row>
    <row r="964" spans="4:5">
      <c r="D964" s="241"/>
      <c r="E964" s="241"/>
    </row>
    <row r="965" spans="4:5">
      <c r="D965" s="241"/>
      <c r="E965" s="241"/>
    </row>
    <row r="966" spans="4:5">
      <c r="D966" s="241"/>
      <c r="E966" s="241"/>
    </row>
    <row r="967" spans="4:5">
      <c r="D967" s="241"/>
      <c r="E967" s="241"/>
    </row>
    <row r="968" spans="4:5">
      <c r="D968" s="241"/>
      <c r="E968" s="241"/>
    </row>
    <row r="969" spans="4:5">
      <c r="D969" s="241"/>
      <c r="E969" s="241"/>
    </row>
    <row r="970" spans="4:5">
      <c r="D970" s="241"/>
      <c r="E970" s="241"/>
    </row>
    <row r="971" spans="4:5">
      <c r="D971" s="241"/>
      <c r="E971" s="241"/>
    </row>
    <row r="972" spans="4:5">
      <c r="D972" s="241"/>
      <c r="E972" s="241"/>
    </row>
    <row r="973" spans="4:5">
      <c r="D973" s="241"/>
      <c r="E973" s="241"/>
    </row>
    <row r="974" spans="4:5">
      <c r="D974" s="241"/>
      <c r="E974" s="241"/>
    </row>
    <row r="975" spans="4:5">
      <c r="D975" s="241"/>
      <c r="E975" s="241"/>
    </row>
    <row r="976" spans="4:5">
      <c r="D976" s="241"/>
      <c r="E976" s="241"/>
    </row>
    <row r="977" spans="4:5">
      <c r="D977" s="241"/>
      <c r="E977" s="241"/>
    </row>
    <row r="978" spans="4:5">
      <c r="D978" s="241"/>
      <c r="E978" s="241"/>
    </row>
    <row r="979" spans="4:5">
      <c r="D979" s="241"/>
      <c r="E979" s="241"/>
    </row>
    <row r="980" spans="4:5">
      <c r="D980" s="241"/>
      <c r="E980" s="241"/>
    </row>
    <row r="981" spans="4:5">
      <c r="D981" s="241"/>
      <c r="E981" s="241"/>
    </row>
    <row r="982" spans="4:5">
      <c r="D982" s="241"/>
      <c r="E982" s="241"/>
    </row>
    <row r="983" spans="4:5">
      <c r="D983" s="241"/>
      <c r="E983" s="241"/>
    </row>
    <row r="984" spans="4:5">
      <c r="D984" s="241"/>
      <c r="E984" s="241"/>
    </row>
    <row r="985" spans="4:5">
      <c r="D985" s="241"/>
      <c r="E985" s="241"/>
    </row>
    <row r="986" spans="4:5">
      <c r="D986" s="241"/>
      <c r="E986" s="241"/>
    </row>
    <row r="987" spans="4:5">
      <c r="D987" s="241"/>
      <c r="E987" s="241"/>
    </row>
    <row r="988" spans="4:5">
      <c r="D988" s="241"/>
      <c r="E988" s="241"/>
    </row>
    <row r="989" spans="4:5">
      <c r="D989" s="241"/>
      <c r="E989" s="241"/>
    </row>
    <row r="990" spans="4:5">
      <c r="D990" s="241"/>
      <c r="E990" s="241"/>
    </row>
    <row r="991" spans="4:5">
      <c r="D991" s="241"/>
      <c r="E991" s="241"/>
    </row>
    <row r="992" spans="4:5">
      <c r="D992" s="241"/>
      <c r="E992" s="241"/>
    </row>
    <row r="993" spans="4:5">
      <c r="D993" s="241"/>
      <c r="E993" s="241"/>
    </row>
    <row r="994" spans="4:5">
      <c r="D994" s="241"/>
      <c r="E994" s="241"/>
    </row>
    <row r="995" spans="4:5">
      <c r="D995" s="241"/>
      <c r="E995" s="241"/>
    </row>
    <row r="996" spans="4:5">
      <c r="D996" s="241"/>
      <c r="E996" s="241"/>
    </row>
    <row r="997" spans="4:5">
      <c r="D997" s="241"/>
      <c r="E997" s="241"/>
    </row>
    <row r="998" spans="4:5">
      <c r="D998" s="241"/>
      <c r="E998" s="241"/>
    </row>
    <row r="999" spans="4:5">
      <c r="D999" s="241"/>
      <c r="E999" s="241"/>
    </row>
    <row r="1000" spans="4:5">
      <c r="D1000" s="241"/>
      <c r="E1000" s="241"/>
    </row>
    <row r="1001" spans="4:5">
      <c r="D1001" s="241"/>
      <c r="E1001" s="241"/>
    </row>
    <row r="1002" spans="4:5">
      <c r="D1002" s="241"/>
      <c r="E1002" s="241"/>
    </row>
    <row r="1003" spans="4:5">
      <c r="D1003" s="241"/>
      <c r="E1003" s="241"/>
    </row>
    <row r="1004" spans="4:5">
      <c r="D1004" s="241"/>
      <c r="E1004" s="241"/>
    </row>
    <row r="1005" spans="4:5">
      <c r="D1005" s="241"/>
      <c r="E1005" s="241"/>
    </row>
    <row r="1006" spans="4:5">
      <c r="D1006" s="241"/>
      <c r="E1006" s="241"/>
    </row>
    <row r="1007" spans="4:5">
      <c r="D1007" s="241"/>
      <c r="E1007" s="241"/>
    </row>
    <row r="1008" spans="4:5">
      <c r="D1008" s="241"/>
      <c r="E1008" s="241"/>
    </row>
    <row r="1009" spans="4:5">
      <c r="D1009" s="241"/>
      <c r="E1009" s="241"/>
    </row>
    <row r="1010" spans="4:5">
      <c r="D1010" s="241"/>
      <c r="E1010" s="241"/>
    </row>
    <row r="1011" spans="4:5">
      <c r="D1011" s="241"/>
      <c r="E1011" s="241"/>
    </row>
    <row r="1012" spans="4:5">
      <c r="D1012" s="241"/>
      <c r="E1012" s="241"/>
    </row>
    <row r="1013" spans="4:5">
      <c r="D1013" s="241"/>
      <c r="E1013" s="241"/>
    </row>
    <row r="1014" spans="4:5">
      <c r="D1014" s="241"/>
      <c r="E1014" s="241"/>
    </row>
    <row r="1015" spans="4:5">
      <c r="D1015" s="241"/>
      <c r="E1015" s="241"/>
    </row>
    <row r="1016" spans="4:5">
      <c r="D1016" s="241"/>
      <c r="E1016" s="241"/>
    </row>
    <row r="1017" spans="4:5">
      <c r="D1017" s="241"/>
      <c r="E1017" s="241"/>
    </row>
    <row r="1018" spans="4:5">
      <c r="D1018" s="241"/>
      <c r="E1018" s="241"/>
    </row>
    <row r="1019" spans="4:5">
      <c r="D1019" s="241"/>
      <c r="E1019" s="241"/>
    </row>
    <row r="1020" spans="4:5">
      <c r="D1020" s="241"/>
      <c r="E1020" s="241"/>
    </row>
    <row r="1021" spans="4:5">
      <c r="D1021" s="241"/>
      <c r="E1021" s="241"/>
    </row>
    <row r="1022" spans="4:5">
      <c r="D1022" s="241"/>
      <c r="E1022" s="241"/>
    </row>
    <row r="1023" spans="4:5">
      <c r="D1023" s="241"/>
      <c r="E1023" s="241"/>
    </row>
    <row r="1024" spans="4:5">
      <c r="D1024" s="241"/>
      <c r="E1024" s="241"/>
    </row>
    <row r="1025" spans="4:5">
      <c r="D1025" s="241"/>
      <c r="E1025" s="241"/>
    </row>
    <row r="1026" spans="4:5">
      <c r="D1026" s="241"/>
      <c r="E1026" s="241"/>
    </row>
    <row r="1027" spans="4:5">
      <c r="D1027" s="241"/>
      <c r="E1027" s="241"/>
    </row>
    <row r="1028" spans="4:5">
      <c r="D1028" s="241"/>
      <c r="E1028" s="241"/>
    </row>
    <row r="1029" spans="4:5">
      <c r="D1029" s="241"/>
      <c r="E1029" s="241"/>
    </row>
    <row r="1030" spans="4:5">
      <c r="D1030" s="241"/>
      <c r="E1030" s="241"/>
    </row>
    <row r="1031" spans="4:5">
      <c r="D1031" s="241"/>
      <c r="E1031" s="241"/>
    </row>
    <row r="1032" spans="4:5">
      <c r="D1032" s="241"/>
      <c r="E1032" s="241"/>
    </row>
    <row r="1033" spans="4:5">
      <c r="D1033" s="241"/>
      <c r="E1033" s="241"/>
    </row>
    <row r="1034" spans="4:5">
      <c r="D1034" s="241"/>
      <c r="E1034" s="241"/>
    </row>
    <row r="1035" spans="4:5">
      <c r="D1035" s="241"/>
      <c r="E1035" s="241"/>
    </row>
    <row r="1036" spans="4:5">
      <c r="D1036" s="241"/>
      <c r="E1036" s="241"/>
    </row>
    <row r="1037" spans="4:5">
      <c r="D1037" s="241"/>
      <c r="E1037" s="241"/>
    </row>
    <row r="1038" spans="4:5">
      <c r="D1038" s="241"/>
      <c r="E1038" s="241"/>
    </row>
    <row r="1039" spans="4:5">
      <c r="D1039" s="241"/>
      <c r="E1039" s="241"/>
    </row>
    <row r="1040" spans="4:5">
      <c r="D1040" s="241"/>
      <c r="E1040" s="241"/>
    </row>
    <row r="1041" spans="4:5">
      <c r="D1041" s="241"/>
      <c r="E1041" s="241"/>
    </row>
    <row r="1042" spans="4:5">
      <c r="D1042" s="241"/>
      <c r="E1042" s="241"/>
    </row>
    <row r="1043" spans="4:5">
      <c r="D1043" s="241"/>
      <c r="E1043" s="241"/>
    </row>
    <row r="1044" spans="4:5">
      <c r="D1044" s="241"/>
      <c r="E1044" s="241"/>
    </row>
    <row r="1045" spans="4:5">
      <c r="D1045" s="241"/>
      <c r="E1045" s="241"/>
    </row>
    <row r="1046" spans="4:5">
      <c r="D1046" s="241"/>
      <c r="E1046" s="241"/>
    </row>
    <row r="1047" spans="4:5">
      <c r="D1047" s="241"/>
      <c r="E1047" s="241"/>
    </row>
    <row r="1048" spans="4:5">
      <c r="D1048" s="241"/>
      <c r="E1048" s="241"/>
    </row>
    <row r="1049" spans="4:5">
      <c r="D1049" s="241"/>
      <c r="E1049" s="241"/>
    </row>
    <row r="1050" spans="4:5">
      <c r="D1050" s="241"/>
      <c r="E1050" s="241"/>
    </row>
    <row r="1051" spans="4:5">
      <c r="D1051" s="241"/>
      <c r="E1051" s="241"/>
    </row>
    <row r="1052" spans="4:5">
      <c r="D1052" s="241"/>
      <c r="E1052" s="241"/>
    </row>
    <row r="1053" spans="4:5">
      <c r="D1053" s="241"/>
      <c r="E1053" s="241"/>
    </row>
    <row r="1054" spans="4:5">
      <c r="D1054" s="241"/>
      <c r="E1054" s="241"/>
    </row>
    <row r="1055" spans="4:5">
      <c r="D1055" s="241"/>
      <c r="E1055" s="241"/>
    </row>
    <row r="1056" spans="4:5">
      <c r="D1056" s="241"/>
      <c r="E1056" s="241"/>
    </row>
    <row r="1057" spans="4:5">
      <c r="D1057" s="241"/>
      <c r="E1057" s="241"/>
    </row>
    <row r="1058" spans="4:5">
      <c r="D1058" s="241"/>
      <c r="E1058" s="241"/>
    </row>
    <row r="1059" spans="4:5">
      <c r="D1059" s="241"/>
      <c r="E1059" s="241"/>
    </row>
    <row r="1060" spans="4:5">
      <c r="D1060" s="241"/>
      <c r="E1060" s="241"/>
    </row>
    <row r="1061" spans="4:5">
      <c r="D1061" s="241"/>
      <c r="E1061" s="241"/>
    </row>
    <row r="1062" spans="4:5">
      <c r="D1062" s="241"/>
      <c r="E1062" s="241"/>
    </row>
    <row r="1063" spans="4:5">
      <c r="D1063" s="241"/>
      <c r="E1063" s="241"/>
    </row>
    <row r="1064" spans="4:5">
      <c r="D1064" s="241"/>
      <c r="E1064" s="241"/>
    </row>
    <row r="1065" spans="4:5">
      <c r="D1065" s="241"/>
      <c r="E1065" s="241"/>
    </row>
    <row r="1066" spans="4:5">
      <c r="D1066" s="241"/>
      <c r="E1066" s="241"/>
    </row>
    <row r="1067" spans="4:5">
      <c r="D1067" s="241"/>
      <c r="E1067" s="241"/>
    </row>
    <row r="1068" spans="4:5">
      <c r="D1068" s="241"/>
      <c r="E1068" s="241"/>
    </row>
    <row r="1069" spans="4:5">
      <c r="D1069" s="241"/>
      <c r="E1069" s="241"/>
    </row>
    <row r="1070" spans="4:5">
      <c r="D1070" s="241"/>
      <c r="E1070" s="241"/>
    </row>
    <row r="1071" spans="4:5">
      <c r="D1071" s="241"/>
      <c r="E1071" s="241"/>
    </row>
    <row r="1072" spans="4:5">
      <c r="D1072" s="241"/>
      <c r="E1072" s="241"/>
    </row>
    <row r="1073" spans="4:5">
      <c r="D1073" s="241"/>
      <c r="E1073" s="241"/>
    </row>
    <row r="1074" spans="4:5">
      <c r="D1074" s="241"/>
      <c r="E1074" s="241"/>
    </row>
    <row r="1075" spans="4:5">
      <c r="D1075" s="241"/>
      <c r="E1075" s="241"/>
    </row>
    <row r="1076" spans="4:5">
      <c r="D1076" s="241"/>
      <c r="E1076" s="241"/>
    </row>
    <row r="1077" spans="4:5">
      <c r="D1077" s="241"/>
      <c r="E1077" s="241"/>
    </row>
    <row r="1078" spans="4:5">
      <c r="D1078" s="241"/>
      <c r="E1078" s="241"/>
    </row>
    <row r="1079" spans="4:5">
      <c r="D1079" s="241"/>
      <c r="E1079" s="241"/>
    </row>
    <row r="1080" spans="4:5">
      <c r="D1080" s="241"/>
      <c r="E1080" s="241"/>
    </row>
    <row r="1081" spans="4:5">
      <c r="D1081" s="241"/>
      <c r="E1081" s="241"/>
    </row>
    <row r="1082" spans="4:5">
      <c r="D1082" s="241"/>
      <c r="E1082" s="241"/>
    </row>
    <row r="1083" spans="4:5">
      <c r="D1083" s="241"/>
      <c r="E1083" s="241"/>
    </row>
    <row r="1084" spans="4:5">
      <c r="D1084" s="241"/>
      <c r="E1084" s="241"/>
    </row>
    <row r="1085" spans="4:5">
      <c r="D1085" s="241"/>
      <c r="E1085" s="241"/>
    </row>
    <row r="1086" spans="4:5">
      <c r="D1086" s="241"/>
      <c r="E1086" s="241"/>
    </row>
    <row r="1087" spans="4:5">
      <c r="D1087" s="241"/>
      <c r="E1087" s="241"/>
    </row>
    <row r="1088" spans="4:5">
      <c r="D1088" s="241"/>
      <c r="E1088" s="241"/>
    </row>
    <row r="1089" spans="4:5">
      <c r="D1089" s="241"/>
      <c r="E1089" s="241"/>
    </row>
    <row r="1090" spans="4:5">
      <c r="D1090" s="241"/>
      <c r="E1090" s="241"/>
    </row>
    <row r="1091" spans="4:5">
      <c r="D1091" s="241"/>
      <c r="E1091" s="241"/>
    </row>
    <row r="1092" spans="4:5">
      <c r="D1092" s="241"/>
      <c r="E1092" s="241"/>
    </row>
    <row r="1093" spans="4:5">
      <c r="D1093" s="241"/>
      <c r="E1093" s="241"/>
    </row>
    <row r="1094" spans="4:5">
      <c r="D1094" s="241"/>
      <c r="E1094" s="241"/>
    </row>
    <row r="1095" spans="4:5">
      <c r="D1095" s="241"/>
      <c r="E1095" s="241"/>
    </row>
    <row r="1096" spans="4:5">
      <c r="D1096" s="241"/>
      <c r="E1096" s="241"/>
    </row>
    <row r="1097" spans="4:5">
      <c r="D1097" s="241"/>
      <c r="E1097" s="241"/>
    </row>
    <row r="1098" spans="4:5">
      <c r="D1098" s="241"/>
      <c r="E1098" s="241"/>
    </row>
    <row r="1099" spans="4:5">
      <c r="D1099" s="241"/>
      <c r="E1099" s="241"/>
    </row>
    <row r="1100" spans="4:5">
      <c r="D1100" s="241"/>
      <c r="E1100" s="241"/>
    </row>
    <row r="1101" spans="4:5">
      <c r="D1101" s="241"/>
      <c r="E1101" s="241"/>
    </row>
    <row r="1102" spans="4:5">
      <c r="D1102" s="241"/>
      <c r="E1102" s="241"/>
    </row>
    <row r="1103" spans="4:5">
      <c r="D1103" s="241"/>
      <c r="E1103" s="241"/>
    </row>
    <row r="1104" spans="4:5">
      <c r="D1104" s="241"/>
      <c r="E1104" s="241"/>
    </row>
    <row r="1105" spans="4:5">
      <c r="D1105" s="241"/>
      <c r="E1105" s="241"/>
    </row>
    <row r="1106" spans="4:5">
      <c r="D1106" s="241"/>
      <c r="E1106" s="241"/>
    </row>
    <row r="1107" spans="4:5">
      <c r="D1107" s="241"/>
      <c r="E1107" s="241"/>
    </row>
    <row r="1108" spans="4:5">
      <c r="D1108" s="241"/>
      <c r="E1108" s="241"/>
    </row>
    <row r="1109" spans="4:5">
      <c r="D1109" s="241"/>
      <c r="E1109" s="241"/>
    </row>
    <row r="1110" spans="4:5">
      <c r="D1110" s="241"/>
      <c r="E1110" s="241"/>
    </row>
    <row r="1111" spans="4:5">
      <c r="D1111" s="241"/>
      <c r="E1111" s="241"/>
    </row>
    <row r="1112" spans="4:5">
      <c r="D1112" s="241"/>
      <c r="E1112" s="241"/>
    </row>
    <row r="1113" spans="4:5">
      <c r="D1113" s="241"/>
      <c r="E1113" s="241"/>
    </row>
    <row r="1114" spans="4:5">
      <c r="D1114" s="241"/>
      <c r="E1114" s="241"/>
    </row>
    <row r="1115" spans="4:5">
      <c r="D1115" s="241"/>
      <c r="E1115" s="241"/>
    </row>
    <row r="1116" spans="4:5">
      <c r="D1116" s="241"/>
      <c r="E1116" s="241"/>
    </row>
    <row r="1117" spans="4:5">
      <c r="D1117" s="241"/>
      <c r="E1117" s="241"/>
    </row>
    <row r="1118" spans="4:5">
      <c r="D1118" s="241"/>
      <c r="E1118" s="241"/>
    </row>
    <row r="1119" spans="4:5">
      <c r="D1119" s="241"/>
      <c r="E1119" s="241"/>
    </row>
    <row r="1120" spans="4:5">
      <c r="D1120" s="241"/>
      <c r="E1120" s="241"/>
    </row>
    <row r="1121" spans="4:5">
      <c r="D1121" s="241"/>
      <c r="E1121" s="241"/>
    </row>
    <row r="1122" spans="4:5">
      <c r="D1122" s="241"/>
      <c r="E1122" s="241"/>
    </row>
    <row r="1123" spans="4:5">
      <c r="D1123" s="241"/>
      <c r="E1123" s="241"/>
    </row>
    <row r="1124" spans="4:5">
      <c r="D1124" s="241"/>
      <c r="E1124" s="241"/>
    </row>
    <row r="1125" spans="4:5">
      <c r="D1125" s="241"/>
      <c r="E1125" s="241"/>
    </row>
    <row r="1126" spans="4:5">
      <c r="D1126" s="241"/>
      <c r="E1126" s="241"/>
    </row>
    <row r="1127" spans="4:5">
      <c r="D1127" s="241"/>
      <c r="E1127" s="241"/>
    </row>
    <row r="1128" spans="4:5">
      <c r="D1128" s="241"/>
      <c r="E1128" s="241"/>
    </row>
    <row r="1129" spans="4:5">
      <c r="D1129" s="241"/>
      <c r="E1129" s="241"/>
    </row>
    <row r="1130" spans="4:5">
      <c r="D1130" s="241"/>
      <c r="E1130" s="241"/>
    </row>
    <row r="1131" spans="4:5">
      <c r="D1131" s="241"/>
      <c r="E1131" s="241"/>
    </row>
    <row r="1132" spans="4:5">
      <c r="D1132" s="241"/>
      <c r="E1132" s="241"/>
    </row>
    <row r="1133" spans="4:5">
      <c r="D1133" s="241"/>
      <c r="E1133" s="241"/>
    </row>
    <row r="1134" spans="4:5">
      <c r="D1134" s="241"/>
      <c r="E1134" s="241"/>
    </row>
    <row r="1135" spans="4:5">
      <c r="D1135" s="241"/>
      <c r="E1135" s="241"/>
    </row>
    <row r="1136" spans="4:5">
      <c r="D1136" s="241"/>
      <c r="E1136" s="241"/>
    </row>
    <row r="1137" spans="4:5">
      <c r="D1137" s="241"/>
      <c r="E1137" s="241"/>
    </row>
    <row r="1138" spans="4:5">
      <c r="D1138" s="241"/>
      <c r="E1138" s="241"/>
    </row>
    <row r="1139" spans="4:5">
      <c r="D1139" s="241"/>
      <c r="E1139" s="241"/>
    </row>
    <row r="1140" spans="4:5">
      <c r="D1140" s="241"/>
      <c r="E1140" s="241"/>
    </row>
    <row r="1141" spans="4:5">
      <c r="D1141" s="241"/>
      <c r="E1141" s="241"/>
    </row>
    <row r="1142" spans="4:5">
      <c r="D1142" s="241"/>
      <c r="E1142" s="241"/>
    </row>
    <row r="1143" spans="4:5">
      <c r="D1143" s="241"/>
      <c r="E1143" s="241"/>
    </row>
    <row r="1144" spans="4:5">
      <c r="D1144" s="241"/>
      <c r="E1144" s="241"/>
    </row>
    <row r="1145" spans="4:5">
      <c r="D1145" s="241"/>
      <c r="E1145" s="241"/>
    </row>
    <row r="1146" spans="4:5">
      <c r="D1146" s="241"/>
      <c r="E1146" s="241"/>
    </row>
    <row r="1147" spans="4:5">
      <c r="D1147" s="241"/>
      <c r="E1147" s="241"/>
    </row>
    <row r="1148" spans="4:5">
      <c r="D1148" s="241"/>
      <c r="E1148" s="241"/>
    </row>
    <row r="1149" spans="4:5">
      <c r="D1149" s="241"/>
      <c r="E1149" s="241"/>
    </row>
    <row r="1150" spans="4:5">
      <c r="D1150" s="241"/>
      <c r="E1150" s="241"/>
    </row>
    <row r="1151" spans="4:5">
      <c r="D1151" s="241"/>
      <c r="E1151" s="241"/>
    </row>
    <row r="1152" spans="4:5">
      <c r="D1152" s="241"/>
      <c r="E1152" s="241"/>
    </row>
    <row r="1153" spans="4:5">
      <c r="D1153" s="241"/>
      <c r="E1153" s="241"/>
    </row>
    <row r="1154" spans="4:5">
      <c r="D1154" s="241"/>
      <c r="E1154" s="241"/>
    </row>
    <row r="1155" spans="4:5">
      <c r="D1155" s="241"/>
      <c r="E1155" s="241"/>
    </row>
    <row r="1156" spans="4:5">
      <c r="D1156" s="241"/>
      <c r="E1156" s="241"/>
    </row>
    <row r="1157" spans="4:5">
      <c r="D1157" s="241"/>
      <c r="E1157" s="241"/>
    </row>
    <row r="1158" spans="4:5">
      <c r="D1158" s="241"/>
      <c r="E1158" s="241"/>
    </row>
    <row r="1159" spans="4:5">
      <c r="D1159" s="241"/>
      <c r="E1159" s="241"/>
    </row>
    <row r="1160" spans="4:5">
      <c r="D1160" s="241"/>
      <c r="E1160" s="241"/>
    </row>
    <row r="1161" spans="4:5">
      <c r="D1161" s="241"/>
      <c r="E1161" s="241"/>
    </row>
    <row r="1162" spans="4:5">
      <c r="D1162" s="241"/>
      <c r="E1162" s="241"/>
    </row>
    <row r="1163" spans="4:5">
      <c r="D1163" s="241"/>
      <c r="E1163" s="241"/>
    </row>
    <row r="1164" spans="4:5">
      <c r="D1164" s="241"/>
      <c r="E1164" s="241"/>
    </row>
    <row r="1165" spans="4:5">
      <c r="D1165" s="241"/>
      <c r="E1165" s="241"/>
    </row>
    <row r="1166" spans="4:5">
      <c r="D1166" s="241"/>
      <c r="E1166" s="241"/>
    </row>
    <row r="1167" spans="4:5">
      <c r="D1167" s="241"/>
      <c r="E1167" s="241"/>
    </row>
    <row r="1168" spans="4:5">
      <c r="D1168" s="241"/>
      <c r="E1168" s="241"/>
    </row>
    <row r="1169" spans="4:5">
      <c r="D1169" s="241"/>
      <c r="E1169" s="241"/>
    </row>
    <row r="1170" spans="4:5">
      <c r="D1170" s="241"/>
      <c r="E1170" s="241"/>
    </row>
    <row r="1171" spans="4:5">
      <c r="D1171" s="241"/>
      <c r="E1171" s="241"/>
    </row>
    <row r="1172" spans="4:5">
      <c r="D1172" s="241"/>
      <c r="E1172" s="241"/>
    </row>
    <row r="1173" spans="4:5">
      <c r="D1173" s="241"/>
      <c r="E1173" s="241"/>
    </row>
    <row r="1174" spans="4:5">
      <c r="D1174" s="241"/>
      <c r="E1174" s="241"/>
    </row>
    <row r="1175" spans="4:5">
      <c r="D1175" s="241"/>
      <c r="E1175" s="241"/>
    </row>
    <row r="1176" spans="4:5">
      <c r="D1176" s="241"/>
      <c r="E1176" s="241"/>
    </row>
    <row r="1177" spans="4:5">
      <c r="D1177" s="241"/>
      <c r="E1177" s="241"/>
    </row>
    <row r="1178" spans="4:5">
      <c r="D1178" s="241"/>
      <c r="E1178" s="241"/>
    </row>
    <row r="1179" spans="4:5">
      <c r="D1179" s="241"/>
      <c r="E1179" s="241"/>
    </row>
    <row r="1180" spans="4:5">
      <c r="D1180" s="241"/>
      <c r="E1180" s="241"/>
    </row>
    <row r="1181" spans="4:5">
      <c r="D1181" s="241"/>
      <c r="E1181" s="241"/>
    </row>
    <row r="1182" spans="4:5">
      <c r="D1182" s="241"/>
      <c r="E1182" s="241"/>
    </row>
    <row r="1183" spans="4:5">
      <c r="D1183" s="241"/>
      <c r="E1183" s="241"/>
    </row>
    <row r="1184" spans="4:5">
      <c r="D1184" s="241"/>
      <c r="E1184" s="241"/>
    </row>
    <row r="1185" spans="4:5">
      <c r="D1185" s="241"/>
      <c r="E1185" s="241"/>
    </row>
    <row r="1186" spans="4:5">
      <c r="D1186" s="241"/>
      <c r="E1186" s="241"/>
    </row>
    <row r="1187" spans="4:5">
      <c r="D1187" s="241"/>
      <c r="E1187" s="241"/>
    </row>
    <row r="1188" spans="4:5">
      <c r="D1188" s="241"/>
      <c r="E1188" s="241"/>
    </row>
    <row r="1189" spans="4:5">
      <c r="D1189" s="241"/>
      <c r="E1189" s="241"/>
    </row>
    <row r="1190" spans="4:5">
      <c r="D1190" s="241"/>
      <c r="E1190" s="241"/>
    </row>
    <row r="1191" spans="4:5">
      <c r="D1191" s="241"/>
      <c r="E1191" s="241"/>
    </row>
    <row r="1192" spans="4:5">
      <c r="D1192" s="241"/>
      <c r="E1192" s="241"/>
    </row>
    <row r="1193" spans="4:5">
      <c r="D1193" s="241"/>
      <c r="E1193" s="241"/>
    </row>
    <row r="1194" spans="4:5">
      <c r="D1194" s="241"/>
      <c r="E1194" s="241"/>
    </row>
    <row r="1195" spans="4:5">
      <c r="D1195" s="241"/>
      <c r="E1195" s="241"/>
    </row>
    <row r="1196" spans="4:5">
      <c r="D1196" s="241"/>
      <c r="E1196" s="241"/>
    </row>
    <row r="1197" spans="4:5">
      <c r="D1197" s="241"/>
      <c r="E1197" s="241"/>
    </row>
    <row r="1198" spans="4:5">
      <c r="D1198" s="241"/>
      <c r="E1198" s="241"/>
    </row>
    <row r="1199" spans="4:5">
      <c r="D1199" s="241"/>
      <c r="E1199" s="241"/>
    </row>
    <row r="1200" spans="4:5">
      <c r="D1200" s="241"/>
      <c r="E1200" s="241"/>
    </row>
    <row r="1201" spans="4:5">
      <c r="D1201" s="241"/>
      <c r="E1201" s="241"/>
    </row>
    <row r="1202" spans="4:5">
      <c r="D1202" s="241"/>
      <c r="E1202" s="241"/>
    </row>
    <row r="1203" spans="4:5">
      <c r="D1203" s="241"/>
      <c r="E1203" s="241"/>
    </row>
    <row r="1204" spans="4:5">
      <c r="D1204" s="241"/>
      <c r="E1204" s="241"/>
    </row>
    <row r="1205" spans="4:5">
      <c r="D1205" s="241"/>
      <c r="E1205" s="241"/>
    </row>
    <row r="1206" spans="4:5">
      <c r="D1206" s="241"/>
      <c r="E1206" s="241"/>
    </row>
    <row r="1207" spans="4:5">
      <c r="D1207" s="241"/>
      <c r="E1207" s="241"/>
    </row>
    <row r="1208" spans="4:5">
      <c r="D1208" s="241"/>
      <c r="E1208" s="241"/>
    </row>
    <row r="1209" spans="4:5">
      <c r="D1209" s="241"/>
      <c r="E1209" s="241"/>
    </row>
    <row r="1210" spans="4:5">
      <c r="D1210" s="241"/>
      <c r="E1210" s="241"/>
    </row>
    <row r="1211" spans="4:5">
      <c r="D1211" s="241"/>
      <c r="E1211" s="241"/>
    </row>
    <row r="1212" spans="4:5">
      <c r="D1212" s="241"/>
      <c r="E1212" s="241"/>
    </row>
    <row r="1213" spans="4:5">
      <c r="D1213" s="241"/>
      <c r="E1213" s="241"/>
    </row>
    <row r="1214" spans="4:5">
      <c r="D1214" s="241"/>
      <c r="E1214" s="241"/>
    </row>
    <row r="1215" spans="4:5">
      <c r="D1215" s="241"/>
      <c r="E1215" s="241"/>
    </row>
    <row r="1216" spans="4:5">
      <c r="D1216" s="241"/>
      <c r="E1216" s="241"/>
    </row>
    <row r="1217" spans="4:5">
      <c r="D1217" s="241"/>
      <c r="E1217" s="241"/>
    </row>
    <row r="1218" spans="4:5">
      <c r="D1218" s="241"/>
      <c r="E1218" s="241"/>
    </row>
    <row r="1219" spans="4:5">
      <c r="D1219" s="241"/>
      <c r="E1219" s="241"/>
    </row>
    <row r="1220" spans="4:5">
      <c r="D1220" s="241"/>
      <c r="E1220" s="241"/>
    </row>
    <row r="1221" spans="4:5">
      <c r="D1221" s="241"/>
      <c r="E1221" s="241"/>
    </row>
    <row r="1222" spans="4:5">
      <c r="D1222" s="241"/>
      <c r="E1222" s="241"/>
    </row>
    <row r="1223" spans="4:5">
      <c r="D1223" s="241"/>
      <c r="E1223" s="241"/>
    </row>
    <row r="1224" spans="4:5">
      <c r="D1224" s="241"/>
      <c r="E1224" s="241"/>
    </row>
    <row r="1225" spans="4:5">
      <c r="D1225" s="241"/>
      <c r="E1225" s="241"/>
    </row>
    <row r="1226" spans="4:5">
      <c r="D1226" s="241"/>
      <c r="E1226" s="241"/>
    </row>
    <row r="1227" spans="4:5">
      <c r="D1227" s="241"/>
      <c r="E1227" s="241"/>
    </row>
    <row r="1228" spans="4:5">
      <c r="D1228" s="241"/>
      <c r="E1228" s="241"/>
    </row>
    <row r="1229" spans="4:5">
      <c r="D1229" s="241"/>
      <c r="E1229" s="241"/>
    </row>
    <row r="1230" spans="4:5">
      <c r="D1230" s="241"/>
      <c r="E1230" s="241"/>
    </row>
    <row r="1231" spans="4:5">
      <c r="D1231" s="241"/>
      <c r="E1231" s="241"/>
    </row>
    <row r="1232" spans="4:5">
      <c r="D1232" s="241"/>
      <c r="E1232" s="241"/>
    </row>
    <row r="1233" spans="4:5">
      <c r="D1233" s="241"/>
      <c r="E1233" s="241"/>
    </row>
    <row r="1234" spans="4:5">
      <c r="D1234" s="241"/>
      <c r="E1234" s="241"/>
    </row>
    <row r="1235" spans="4:5">
      <c r="D1235" s="241"/>
      <c r="E1235" s="241"/>
    </row>
    <row r="1236" spans="4:5">
      <c r="D1236" s="241"/>
      <c r="E1236" s="241"/>
    </row>
    <row r="1237" spans="4:5">
      <c r="D1237" s="241"/>
      <c r="E1237" s="241"/>
    </row>
    <row r="1238" spans="4:5">
      <c r="D1238" s="241"/>
      <c r="E1238" s="241"/>
    </row>
    <row r="1239" spans="4:5">
      <c r="D1239" s="241"/>
      <c r="E1239" s="241"/>
    </row>
    <row r="1240" spans="4:5">
      <c r="D1240" s="241"/>
      <c r="E1240" s="241"/>
    </row>
    <row r="1241" spans="4:5">
      <c r="D1241" s="241"/>
      <c r="E1241" s="241"/>
    </row>
    <row r="1242" spans="4:5">
      <c r="D1242" s="241"/>
      <c r="E1242" s="241"/>
    </row>
    <row r="1243" spans="4:5">
      <c r="D1243" s="241"/>
      <c r="E1243" s="241"/>
    </row>
    <row r="1244" spans="4:5">
      <c r="D1244" s="241"/>
      <c r="E1244" s="241"/>
    </row>
    <row r="1245" spans="4:5">
      <c r="D1245" s="241"/>
      <c r="E1245" s="241"/>
    </row>
    <row r="1246" spans="4:5">
      <c r="D1246" s="241"/>
      <c r="E1246" s="241"/>
    </row>
    <row r="1247" spans="4:5">
      <c r="D1247" s="241"/>
      <c r="E1247" s="241"/>
    </row>
    <row r="1248" spans="4:5">
      <c r="D1248" s="241"/>
      <c r="E1248" s="241"/>
    </row>
    <row r="1249" spans="4:5">
      <c r="D1249" s="241"/>
      <c r="E1249" s="241"/>
    </row>
    <row r="1250" spans="4:5">
      <c r="D1250" s="241"/>
      <c r="E1250" s="241"/>
    </row>
    <row r="1251" spans="4:5">
      <c r="D1251" s="241"/>
      <c r="E1251" s="241"/>
    </row>
    <row r="1252" spans="4:5">
      <c r="D1252" s="241"/>
      <c r="E1252" s="241"/>
    </row>
    <row r="1253" spans="4:5">
      <c r="D1253" s="241"/>
      <c r="E1253" s="241"/>
    </row>
    <row r="1254" spans="4:5">
      <c r="D1254" s="241"/>
      <c r="E1254" s="241"/>
    </row>
    <row r="1255" spans="4:5">
      <c r="D1255" s="241"/>
      <c r="E1255" s="241"/>
    </row>
    <row r="1256" spans="4:5">
      <c r="D1256" s="241"/>
      <c r="E1256" s="241"/>
    </row>
    <row r="1257" spans="4:5">
      <c r="D1257" s="241"/>
      <c r="E1257" s="241"/>
    </row>
    <row r="1258" spans="4:5">
      <c r="D1258" s="241"/>
      <c r="E1258" s="241"/>
    </row>
    <row r="1259" spans="4:5">
      <c r="D1259" s="241"/>
      <c r="E1259" s="241"/>
    </row>
    <row r="1260" spans="4:5">
      <c r="D1260" s="241"/>
      <c r="E1260" s="241"/>
    </row>
    <row r="1261" spans="4:5">
      <c r="D1261" s="241"/>
      <c r="E1261" s="241"/>
    </row>
    <row r="1262" spans="4:5">
      <c r="D1262" s="241"/>
      <c r="E1262" s="241"/>
    </row>
    <row r="1263" spans="4:5">
      <c r="D1263" s="241"/>
      <c r="E1263" s="241"/>
    </row>
    <row r="1264" spans="4:5">
      <c r="D1264" s="241"/>
      <c r="E1264" s="241"/>
    </row>
    <row r="1265" spans="4:5">
      <c r="D1265" s="241"/>
      <c r="E1265" s="241"/>
    </row>
    <row r="1266" spans="4:5">
      <c r="D1266" s="241"/>
      <c r="E1266" s="241"/>
    </row>
    <row r="1267" spans="4:5">
      <c r="D1267" s="241"/>
      <c r="E1267" s="241"/>
    </row>
    <row r="1268" spans="4:5">
      <c r="D1268" s="241"/>
      <c r="E1268" s="241"/>
    </row>
    <row r="1269" spans="4:5">
      <c r="D1269" s="241"/>
      <c r="E1269" s="241"/>
    </row>
    <row r="1270" spans="4:5">
      <c r="D1270" s="241"/>
      <c r="E1270" s="241"/>
    </row>
    <row r="1271" spans="4:5">
      <c r="D1271" s="241"/>
      <c r="E1271" s="241"/>
    </row>
    <row r="1272" spans="4:5">
      <c r="D1272" s="241"/>
      <c r="E1272" s="241"/>
    </row>
    <row r="1273" spans="4:5">
      <c r="D1273" s="241"/>
      <c r="E1273" s="241"/>
    </row>
    <row r="1274" spans="4:5">
      <c r="D1274" s="241"/>
      <c r="E1274" s="241"/>
    </row>
    <row r="1275" spans="4:5">
      <c r="D1275" s="241"/>
      <c r="E1275" s="241"/>
    </row>
    <row r="1276" spans="4:5">
      <c r="D1276" s="241"/>
      <c r="E1276" s="241"/>
    </row>
    <row r="1277" spans="4:5">
      <c r="D1277" s="241"/>
      <c r="E1277" s="241"/>
    </row>
    <row r="1278" spans="4:5">
      <c r="D1278" s="241"/>
      <c r="E1278" s="241"/>
    </row>
    <row r="1279" spans="4:5">
      <c r="D1279" s="241"/>
      <c r="E1279" s="241"/>
    </row>
    <row r="1280" spans="4:5">
      <c r="D1280" s="241"/>
      <c r="E1280" s="241"/>
    </row>
    <row r="1281" spans="4:5">
      <c r="D1281" s="241"/>
      <c r="E1281" s="241"/>
    </row>
    <row r="1282" spans="4:5">
      <c r="D1282" s="241"/>
      <c r="E1282" s="241"/>
    </row>
    <row r="1283" spans="4:5">
      <c r="D1283" s="241"/>
      <c r="E1283" s="241"/>
    </row>
    <row r="1284" spans="4:5">
      <c r="D1284" s="241"/>
      <c r="E1284" s="241"/>
    </row>
    <row r="1285" spans="4:5">
      <c r="D1285" s="241"/>
      <c r="E1285" s="241"/>
    </row>
    <row r="1286" spans="4:5">
      <c r="D1286" s="241"/>
      <c r="E1286" s="241"/>
    </row>
    <row r="1287" spans="4:5">
      <c r="D1287" s="241"/>
      <c r="E1287" s="241"/>
    </row>
    <row r="1288" spans="4:5">
      <c r="D1288" s="241"/>
      <c r="E1288" s="241"/>
    </row>
    <row r="1289" spans="4:5">
      <c r="D1289" s="241"/>
      <c r="E1289" s="241"/>
    </row>
    <row r="1290" spans="4:5">
      <c r="D1290" s="241"/>
      <c r="E1290" s="241"/>
    </row>
    <row r="1291" spans="4:5">
      <c r="D1291" s="241"/>
      <c r="E1291" s="241"/>
    </row>
    <row r="1292" spans="4:5">
      <c r="D1292" s="241"/>
      <c r="E1292" s="241"/>
    </row>
    <row r="1293" spans="4:5">
      <c r="D1293" s="241"/>
      <c r="E1293" s="241"/>
    </row>
    <row r="1294" spans="4:5">
      <c r="D1294" s="241"/>
      <c r="E1294" s="241"/>
    </row>
    <row r="1295" spans="4:5">
      <c r="D1295" s="241"/>
      <c r="E1295" s="241"/>
    </row>
    <row r="1296" spans="4:5">
      <c r="D1296" s="241"/>
      <c r="E1296" s="241"/>
    </row>
    <row r="1297" spans="4:5">
      <c r="D1297" s="241"/>
      <c r="E1297" s="241"/>
    </row>
    <row r="1298" spans="4:5">
      <c r="D1298" s="241"/>
      <c r="E1298" s="241"/>
    </row>
    <row r="1299" spans="4:5">
      <c r="D1299" s="241"/>
      <c r="E1299" s="241"/>
    </row>
    <row r="1300" spans="4:5">
      <c r="D1300" s="241"/>
      <c r="E1300" s="241"/>
    </row>
    <row r="1301" spans="4:5">
      <c r="D1301" s="241"/>
      <c r="E1301" s="241"/>
    </row>
    <row r="1302" spans="4:5">
      <c r="D1302" s="241"/>
      <c r="E1302" s="241"/>
    </row>
    <row r="1303" spans="4:5">
      <c r="D1303" s="241"/>
      <c r="E1303" s="241"/>
    </row>
    <row r="1304" spans="4:5">
      <c r="D1304" s="241"/>
      <c r="E1304" s="241"/>
    </row>
    <row r="1305" spans="4:5">
      <c r="D1305" s="241"/>
      <c r="E1305" s="241"/>
    </row>
    <row r="1306" spans="4:5">
      <c r="D1306" s="241"/>
      <c r="E1306" s="241"/>
    </row>
    <row r="1307" spans="4:5">
      <c r="D1307" s="241"/>
      <c r="E1307" s="241"/>
    </row>
    <row r="1308" spans="4:5">
      <c r="D1308" s="241"/>
      <c r="E1308" s="241"/>
    </row>
    <row r="1309" spans="4:5">
      <c r="D1309" s="241"/>
      <c r="E1309" s="241"/>
    </row>
    <row r="1310" spans="4:5">
      <c r="D1310" s="241"/>
      <c r="E1310" s="241"/>
    </row>
    <row r="1311" spans="4:5">
      <c r="D1311" s="241"/>
      <c r="E1311" s="241"/>
    </row>
    <row r="1312" spans="4:5">
      <c r="D1312" s="241"/>
      <c r="E1312" s="241"/>
    </row>
    <row r="1313" spans="4:5">
      <c r="D1313" s="241"/>
      <c r="E1313" s="241"/>
    </row>
    <row r="1314" spans="4:5">
      <c r="D1314" s="241"/>
      <c r="E1314" s="241"/>
    </row>
    <row r="1315" spans="4:5">
      <c r="D1315" s="241"/>
      <c r="E1315" s="241"/>
    </row>
    <row r="1316" spans="4:5">
      <c r="D1316" s="241"/>
      <c r="E1316" s="241"/>
    </row>
    <row r="1317" spans="4:5">
      <c r="D1317" s="241"/>
      <c r="E1317" s="241"/>
    </row>
    <row r="1318" spans="4:5">
      <c r="D1318" s="241"/>
      <c r="E1318" s="241"/>
    </row>
    <row r="1319" spans="4:5">
      <c r="D1319" s="241"/>
      <c r="E1319" s="241"/>
    </row>
    <row r="1320" spans="4:5">
      <c r="D1320" s="241"/>
      <c r="E1320" s="241"/>
    </row>
    <row r="1321" spans="4:5">
      <c r="D1321" s="241"/>
      <c r="E1321" s="241"/>
    </row>
    <row r="1322" spans="4:5">
      <c r="D1322" s="241"/>
      <c r="E1322" s="241"/>
    </row>
    <row r="1323" spans="4:5">
      <c r="D1323" s="241"/>
      <c r="E1323" s="241"/>
    </row>
    <row r="1324" spans="4:5">
      <c r="D1324" s="241"/>
      <c r="E1324" s="241"/>
    </row>
    <row r="1325" spans="4:5">
      <c r="D1325" s="241"/>
      <c r="E1325" s="241"/>
    </row>
    <row r="1326" spans="4:5">
      <c r="D1326" s="241"/>
      <c r="E1326" s="241"/>
    </row>
    <row r="1327" spans="4:5">
      <c r="D1327" s="241"/>
      <c r="E1327" s="241"/>
    </row>
    <row r="1328" spans="4:5">
      <c r="D1328" s="241"/>
      <c r="E1328" s="241"/>
    </row>
    <row r="1329" spans="4:5">
      <c r="D1329" s="241"/>
      <c r="E1329" s="241"/>
    </row>
    <row r="1330" spans="4:5">
      <c r="D1330" s="241"/>
      <c r="E1330" s="241"/>
    </row>
    <row r="1331" spans="4:5">
      <c r="D1331" s="241"/>
      <c r="E1331" s="241"/>
    </row>
    <row r="1332" spans="4:5">
      <c r="D1332" s="241"/>
      <c r="E1332" s="241"/>
    </row>
    <row r="1333" spans="4:5">
      <c r="D1333" s="241"/>
      <c r="E1333" s="241"/>
    </row>
    <row r="1334" spans="4:5">
      <c r="D1334" s="241"/>
      <c r="E1334" s="241"/>
    </row>
    <row r="1335" spans="4:5">
      <c r="D1335" s="241"/>
      <c r="E1335" s="241"/>
    </row>
    <row r="1336" spans="4:5">
      <c r="D1336" s="241"/>
      <c r="E1336" s="241"/>
    </row>
    <row r="1337" spans="4:5">
      <c r="D1337" s="241"/>
      <c r="E1337" s="241"/>
    </row>
    <row r="1338" spans="4:5">
      <c r="D1338" s="241"/>
      <c r="E1338" s="241"/>
    </row>
    <row r="1339" spans="4:5">
      <c r="D1339" s="241"/>
      <c r="E1339" s="241"/>
    </row>
    <row r="1340" spans="4:5">
      <c r="D1340" s="241"/>
      <c r="E1340" s="241"/>
    </row>
    <row r="1341" spans="4:5">
      <c r="D1341" s="241"/>
      <c r="E1341" s="241"/>
    </row>
    <row r="1342" spans="4:5">
      <c r="D1342" s="241"/>
      <c r="E1342" s="241"/>
    </row>
    <row r="1343" spans="4:5">
      <c r="D1343" s="241"/>
      <c r="E1343" s="241"/>
    </row>
    <row r="1344" spans="4:5">
      <c r="D1344" s="241"/>
      <c r="E1344" s="241"/>
    </row>
    <row r="1345" spans="4:5">
      <c r="D1345" s="241"/>
      <c r="E1345" s="241"/>
    </row>
    <row r="1346" spans="4:5">
      <c r="D1346" s="241"/>
      <c r="E1346" s="241"/>
    </row>
    <row r="1347" spans="4:5">
      <c r="D1347" s="241"/>
      <c r="E1347" s="241"/>
    </row>
    <row r="1348" spans="4:5">
      <c r="D1348" s="241"/>
      <c r="E1348" s="241"/>
    </row>
    <row r="1349" spans="4:5">
      <c r="D1349" s="241"/>
      <c r="E1349" s="241"/>
    </row>
    <row r="1350" spans="4:5">
      <c r="D1350" s="241"/>
      <c r="E1350" s="241"/>
    </row>
    <row r="1351" spans="4:5">
      <c r="D1351" s="241"/>
      <c r="E1351" s="241"/>
    </row>
    <row r="1352" spans="4:5">
      <c r="D1352" s="241"/>
      <c r="E1352" s="241"/>
    </row>
    <row r="1353" spans="4:5">
      <c r="D1353" s="241"/>
      <c r="E1353" s="241"/>
    </row>
    <row r="1354" spans="4:5">
      <c r="D1354" s="241"/>
      <c r="E1354" s="241"/>
    </row>
    <row r="1355" spans="4:5">
      <c r="D1355" s="241"/>
      <c r="E1355" s="241"/>
    </row>
    <row r="1356" spans="4:5">
      <c r="D1356" s="241"/>
      <c r="E1356" s="241"/>
    </row>
    <row r="1357" spans="4:5">
      <c r="D1357" s="241"/>
      <c r="E1357" s="241"/>
    </row>
    <row r="1358" spans="4:5">
      <c r="D1358" s="241"/>
      <c r="E1358" s="241"/>
    </row>
    <row r="1359" spans="4:5">
      <c r="D1359" s="241"/>
      <c r="E1359" s="241"/>
    </row>
    <row r="1360" spans="4:5">
      <c r="D1360" s="241"/>
      <c r="E1360" s="241"/>
    </row>
    <row r="1361" spans="4:5">
      <c r="D1361" s="241"/>
      <c r="E1361" s="241"/>
    </row>
    <row r="1362" spans="4:5">
      <c r="D1362" s="241"/>
      <c r="E1362" s="241"/>
    </row>
    <row r="1363" spans="4:5">
      <c r="D1363" s="241"/>
      <c r="E1363" s="241"/>
    </row>
    <row r="1364" spans="4:5">
      <c r="D1364" s="241"/>
      <c r="E1364" s="241"/>
    </row>
    <row r="1365" spans="4:5">
      <c r="D1365" s="241"/>
      <c r="E1365" s="241"/>
    </row>
    <row r="1366" spans="4:5">
      <c r="D1366" s="241"/>
      <c r="E1366" s="241"/>
    </row>
    <row r="1367" spans="4:5">
      <c r="D1367" s="241"/>
      <c r="E1367" s="241"/>
    </row>
    <row r="1368" spans="4:5">
      <c r="D1368" s="241"/>
      <c r="E1368" s="241"/>
    </row>
    <row r="1369" spans="4:5">
      <c r="D1369" s="241"/>
      <c r="E1369" s="241"/>
    </row>
    <row r="1370" spans="4:5">
      <c r="D1370" s="241"/>
      <c r="E1370" s="241"/>
    </row>
    <row r="1371" spans="4:5">
      <c r="D1371" s="241"/>
      <c r="E1371" s="241"/>
    </row>
    <row r="1372" spans="4:5">
      <c r="D1372" s="241"/>
      <c r="E1372" s="241"/>
    </row>
    <row r="1373" spans="4:5">
      <c r="D1373" s="241"/>
      <c r="E1373" s="241"/>
    </row>
    <row r="1374" spans="4:5">
      <c r="D1374" s="241"/>
      <c r="E1374" s="241"/>
    </row>
    <row r="1375" spans="4:5">
      <c r="D1375" s="241"/>
      <c r="E1375" s="241"/>
    </row>
    <row r="1376" spans="4:5">
      <c r="D1376" s="241"/>
      <c r="E1376" s="241"/>
    </row>
    <row r="1377" spans="4:5">
      <c r="D1377" s="241"/>
      <c r="E1377" s="241"/>
    </row>
    <row r="1378" spans="4:5">
      <c r="D1378" s="241"/>
      <c r="E1378" s="241"/>
    </row>
    <row r="1379" spans="4:5">
      <c r="D1379" s="241"/>
      <c r="E1379" s="241"/>
    </row>
    <row r="1380" spans="4:5">
      <c r="D1380" s="241"/>
      <c r="E1380" s="241"/>
    </row>
    <row r="1381" spans="4:5">
      <c r="D1381" s="241"/>
      <c r="E1381" s="241"/>
    </row>
    <row r="1382" spans="4:5">
      <c r="D1382" s="241"/>
      <c r="E1382" s="241"/>
    </row>
    <row r="1383" spans="4:5">
      <c r="D1383" s="241"/>
      <c r="E1383" s="241"/>
    </row>
    <row r="1384" spans="4:5">
      <c r="D1384" s="241"/>
      <c r="E1384" s="241"/>
    </row>
    <row r="1385" spans="4:5">
      <c r="D1385" s="241"/>
      <c r="E1385" s="241"/>
    </row>
    <row r="1386" spans="4:5">
      <c r="D1386" s="241"/>
      <c r="E1386" s="241"/>
    </row>
    <row r="1387" spans="4:5">
      <c r="D1387" s="241"/>
      <c r="E1387" s="241"/>
    </row>
    <row r="1388" spans="4:5">
      <c r="D1388" s="241"/>
      <c r="E1388" s="241"/>
    </row>
    <row r="1389" spans="4:5">
      <c r="D1389" s="241"/>
      <c r="E1389" s="241"/>
    </row>
    <row r="1390" spans="4:5">
      <c r="D1390" s="241"/>
      <c r="E1390" s="241"/>
    </row>
    <row r="1391" spans="4:5">
      <c r="D1391" s="241"/>
      <c r="E1391" s="241"/>
    </row>
    <row r="1392" spans="4:5">
      <c r="D1392" s="241"/>
      <c r="E1392" s="241"/>
    </row>
    <row r="1393" spans="4:5">
      <c r="D1393" s="241"/>
      <c r="E1393" s="241"/>
    </row>
    <row r="1394" spans="4:5">
      <c r="D1394" s="241"/>
      <c r="E1394" s="241"/>
    </row>
    <row r="1395" spans="4:5">
      <c r="D1395" s="241"/>
      <c r="E1395" s="241"/>
    </row>
    <row r="1396" spans="4:5">
      <c r="D1396" s="241"/>
      <c r="E1396" s="241"/>
    </row>
    <row r="1397" spans="4:5">
      <c r="D1397" s="241"/>
      <c r="E1397" s="241"/>
    </row>
    <row r="1398" spans="4:5">
      <c r="D1398" s="241"/>
      <c r="E1398" s="241"/>
    </row>
    <row r="1399" spans="4:5">
      <c r="D1399" s="241"/>
      <c r="E1399" s="241"/>
    </row>
    <row r="1400" spans="4:5">
      <c r="D1400" s="241"/>
      <c r="E1400" s="241"/>
    </row>
    <row r="1401" spans="4:5">
      <c r="D1401" s="241"/>
      <c r="E1401" s="241"/>
    </row>
    <row r="1402" spans="4:5">
      <c r="D1402" s="241"/>
      <c r="E1402" s="241"/>
    </row>
    <row r="1403" spans="4:5">
      <c r="D1403" s="241"/>
      <c r="E1403" s="241"/>
    </row>
    <row r="1404" spans="4:5">
      <c r="D1404" s="241"/>
      <c r="E1404" s="241"/>
    </row>
    <row r="1405" spans="4:5">
      <c r="D1405" s="241"/>
      <c r="E1405" s="241"/>
    </row>
    <row r="1406" spans="4:5">
      <c r="D1406" s="241"/>
      <c r="E1406" s="241"/>
    </row>
    <row r="1407" spans="4:5">
      <c r="D1407" s="241"/>
      <c r="E1407" s="241"/>
    </row>
    <row r="1408" spans="4:5">
      <c r="D1408" s="241"/>
      <c r="E1408" s="241"/>
    </row>
    <row r="1409" spans="4:5">
      <c r="D1409" s="241"/>
      <c r="E1409" s="241"/>
    </row>
    <row r="1410" spans="4:5">
      <c r="D1410" s="241"/>
      <c r="E1410" s="241"/>
    </row>
    <row r="1411" spans="4:5">
      <c r="D1411" s="241"/>
      <c r="E1411" s="241"/>
    </row>
    <row r="1412" spans="4:5">
      <c r="D1412" s="241"/>
      <c r="E1412" s="241"/>
    </row>
    <row r="1413" spans="4:5">
      <c r="D1413" s="241"/>
      <c r="E1413" s="241"/>
    </row>
    <row r="1414" spans="4:5">
      <c r="D1414" s="241"/>
      <c r="E1414" s="241"/>
    </row>
    <row r="1415" spans="4:5">
      <c r="D1415" s="241"/>
      <c r="E1415" s="241"/>
    </row>
    <row r="1416" spans="4:5">
      <c r="D1416" s="241"/>
      <c r="E1416" s="241"/>
    </row>
    <row r="1417" spans="4:5">
      <c r="D1417" s="241"/>
      <c r="E1417" s="241"/>
    </row>
    <row r="1418" spans="4:5">
      <c r="D1418" s="241"/>
      <c r="E1418" s="241"/>
    </row>
    <row r="1419" spans="4:5">
      <c r="D1419" s="241"/>
      <c r="E1419" s="241"/>
    </row>
    <row r="1420" spans="4:5">
      <c r="D1420" s="241"/>
      <c r="E1420" s="241"/>
    </row>
    <row r="1421" spans="4:5">
      <c r="D1421" s="241"/>
      <c r="E1421" s="241"/>
    </row>
    <row r="1422" spans="4:5">
      <c r="D1422" s="241"/>
      <c r="E1422" s="241"/>
    </row>
    <row r="1423" spans="4:5">
      <c r="D1423" s="241"/>
      <c r="E1423" s="241"/>
    </row>
    <row r="1424" spans="4:5">
      <c r="D1424" s="241"/>
      <c r="E1424" s="241"/>
    </row>
    <row r="1425" spans="4:5">
      <c r="D1425" s="241"/>
      <c r="E1425" s="241"/>
    </row>
    <row r="1426" spans="4:5">
      <c r="D1426" s="241"/>
      <c r="E1426" s="241"/>
    </row>
    <row r="1427" spans="4:5">
      <c r="D1427" s="241"/>
      <c r="E1427" s="241"/>
    </row>
    <row r="1428" spans="4:5">
      <c r="D1428" s="241"/>
      <c r="E1428" s="241"/>
    </row>
    <row r="1429" spans="4:5">
      <c r="D1429" s="241"/>
      <c r="E1429" s="241"/>
    </row>
    <row r="1430" spans="4:5">
      <c r="D1430" s="241"/>
      <c r="E1430" s="241"/>
    </row>
    <row r="1431" spans="4:5">
      <c r="D1431" s="241"/>
      <c r="E1431" s="241"/>
    </row>
    <row r="1432" spans="4:5">
      <c r="D1432" s="241"/>
      <c r="E1432" s="241"/>
    </row>
    <row r="1433" spans="4:5">
      <c r="D1433" s="241"/>
      <c r="E1433" s="241"/>
    </row>
    <row r="1434" spans="4:5">
      <c r="D1434" s="241"/>
      <c r="E1434" s="241"/>
    </row>
    <row r="1435" spans="4:5">
      <c r="D1435" s="241"/>
      <c r="E1435" s="241"/>
    </row>
    <row r="1436" spans="4:5">
      <c r="D1436" s="241"/>
      <c r="E1436" s="241"/>
    </row>
    <row r="1437" spans="4:5">
      <c r="D1437" s="241"/>
      <c r="E1437" s="241"/>
    </row>
    <row r="1438" spans="4:5">
      <c r="D1438" s="241"/>
      <c r="E1438" s="241"/>
    </row>
    <row r="1439" spans="4:5">
      <c r="D1439" s="241"/>
      <c r="E1439" s="241"/>
    </row>
    <row r="1440" spans="4:5">
      <c r="D1440" s="241"/>
      <c r="E1440" s="241"/>
    </row>
    <row r="1441" spans="4:5">
      <c r="D1441" s="241"/>
      <c r="E1441" s="241"/>
    </row>
    <row r="1442" spans="4:5">
      <c r="D1442" s="241"/>
      <c r="E1442" s="241"/>
    </row>
    <row r="1443" spans="4:5">
      <c r="D1443" s="241"/>
      <c r="E1443" s="241"/>
    </row>
    <row r="1444" spans="4:5">
      <c r="D1444" s="241"/>
      <c r="E1444" s="241"/>
    </row>
    <row r="1445" spans="4:5">
      <c r="D1445" s="241"/>
      <c r="E1445" s="241"/>
    </row>
    <row r="1446" spans="4:5">
      <c r="D1446" s="241"/>
      <c r="E1446" s="241"/>
    </row>
    <row r="1447" spans="4:5">
      <c r="D1447" s="241"/>
      <c r="E1447" s="241"/>
    </row>
    <row r="1448" spans="4:5">
      <c r="D1448" s="241"/>
      <c r="E1448" s="241"/>
    </row>
    <row r="1449" spans="4:5">
      <c r="D1449" s="241"/>
      <c r="E1449" s="241"/>
    </row>
    <row r="1450" spans="4:5">
      <c r="D1450" s="241"/>
      <c r="E1450" s="241"/>
    </row>
    <row r="1451" spans="4:5">
      <c r="D1451" s="241"/>
      <c r="E1451" s="241"/>
    </row>
    <row r="1452" spans="4:5">
      <c r="D1452" s="241"/>
      <c r="E1452" s="241"/>
    </row>
    <row r="1453" spans="4:5">
      <c r="D1453" s="241"/>
      <c r="E1453" s="241"/>
    </row>
    <row r="1454" spans="4:5">
      <c r="D1454" s="241"/>
      <c r="E1454" s="241"/>
    </row>
    <row r="1455" spans="4:5">
      <c r="D1455" s="241"/>
      <c r="E1455" s="241"/>
    </row>
    <row r="1456" spans="4:5">
      <c r="D1456" s="241"/>
      <c r="E1456" s="241"/>
    </row>
    <row r="1457" spans="4:5">
      <c r="D1457" s="241"/>
      <c r="E1457" s="241"/>
    </row>
    <row r="1458" spans="4:5">
      <c r="D1458" s="241"/>
      <c r="E1458" s="241"/>
    </row>
    <row r="1459" spans="4:5">
      <c r="D1459" s="241"/>
      <c r="E1459" s="241"/>
    </row>
    <row r="1460" spans="4:5">
      <c r="D1460" s="241"/>
      <c r="E1460" s="241"/>
    </row>
    <row r="1461" spans="4:5">
      <c r="D1461" s="241"/>
      <c r="E1461" s="241"/>
    </row>
    <row r="1462" spans="4:5">
      <c r="D1462" s="241"/>
      <c r="E1462" s="241"/>
    </row>
    <row r="1463" spans="4:5">
      <c r="D1463" s="241"/>
      <c r="E1463" s="241"/>
    </row>
    <row r="1464" spans="4:5">
      <c r="D1464" s="241"/>
      <c r="E1464" s="241"/>
    </row>
    <row r="1465" spans="4:5">
      <c r="D1465" s="241"/>
      <c r="E1465" s="241"/>
    </row>
    <row r="1466" spans="4:5">
      <c r="D1466" s="241"/>
      <c r="E1466" s="241"/>
    </row>
    <row r="1467" spans="4:5">
      <c r="D1467" s="241"/>
      <c r="E1467" s="241"/>
    </row>
    <row r="1468" spans="4:5">
      <c r="D1468" s="241"/>
      <c r="E1468" s="241"/>
    </row>
    <row r="1469" spans="4:5">
      <c r="D1469" s="241"/>
      <c r="E1469" s="241"/>
    </row>
    <row r="1470" spans="4:5">
      <c r="D1470" s="241"/>
      <c r="E1470" s="241"/>
    </row>
    <row r="1471" spans="4:5">
      <c r="D1471" s="241"/>
      <c r="E1471" s="241"/>
    </row>
    <row r="1472" spans="4:5">
      <c r="D1472" s="241"/>
      <c r="E1472" s="241"/>
    </row>
    <row r="1473" spans="4:5">
      <c r="D1473" s="241"/>
      <c r="E1473" s="241"/>
    </row>
    <row r="1474" spans="4:5">
      <c r="D1474" s="241"/>
      <c r="E1474" s="241"/>
    </row>
    <row r="1475" spans="4:5">
      <c r="D1475" s="241"/>
      <c r="E1475" s="241"/>
    </row>
    <row r="1476" spans="4:5">
      <c r="D1476" s="241"/>
      <c r="E1476" s="241"/>
    </row>
    <row r="1477" spans="4:5">
      <c r="D1477" s="241"/>
      <c r="E1477" s="241"/>
    </row>
    <row r="1478" spans="4:5">
      <c r="D1478" s="241"/>
      <c r="E1478" s="241"/>
    </row>
    <row r="1479" spans="4:5">
      <c r="D1479" s="241"/>
      <c r="E1479" s="241"/>
    </row>
    <row r="1480" spans="4:5">
      <c r="D1480" s="241"/>
      <c r="E1480" s="241"/>
    </row>
    <row r="1481" spans="4:5">
      <c r="D1481" s="241"/>
      <c r="E1481" s="241"/>
    </row>
    <row r="1482" spans="4:5">
      <c r="D1482" s="241"/>
      <c r="E1482" s="241"/>
    </row>
    <row r="1483" spans="4:5">
      <c r="D1483" s="241"/>
      <c r="E1483" s="241"/>
    </row>
    <row r="1484" spans="4:5">
      <c r="D1484" s="241"/>
      <c r="E1484" s="241"/>
    </row>
    <row r="1485" spans="4:5">
      <c r="D1485" s="241"/>
      <c r="E1485" s="241"/>
    </row>
    <row r="1486" spans="4:5">
      <c r="D1486" s="241"/>
      <c r="E1486" s="241"/>
    </row>
    <row r="1487" spans="4:5">
      <c r="D1487" s="241"/>
      <c r="E1487" s="241"/>
    </row>
    <row r="1488" spans="4:5">
      <c r="D1488" s="241"/>
      <c r="E1488" s="241"/>
    </row>
    <row r="1489" spans="4:5">
      <c r="D1489" s="241"/>
      <c r="E1489" s="241"/>
    </row>
    <row r="1490" spans="4:5">
      <c r="D1490" s="241"/>
      <c r="E1490" s="241"/>
    </row>
    <row r="1491" spans="4:5">
      <c r="D1491" s="241"/>
      <c r="E1491" s="241"/>
    </row>
    <row r="1492" spans="4:5">
      <c r="D1492" s="241"/>
      <c r="E1492" s="241"/>
    </row>
    <row r="1493" spans="4:5">
      <c r="D1493" s="241"/>
      <c r="E1493" s="241"/>
    </row>
    <row r="1494" spans="4:5">
      <c r="D1494" s="241"/>
      <c r="E1494" s="241"/>
    </row>
    <row r="1495" spans="4:5">
      <c r="D1495" s="241"/>
      <c r="E1495" s="241"/>
    </row>
    <row r="1496" spans="4:5">
      <c r="D1496" s="241"/>
      <c r="E1496" s="241"/>
    </row>
    <row r="1497" spans="4:5">
      <c r="D1497" s="241"/>
      <c r="E1497" s="241"/>
    </row>
    <row r="1498" spans="4:5">
      <c r="D1498" s="241"/>
      <c r="E1498" s="241"/>
    </row>
    <row r="1499" spans="4:5">
      <c r="D1499" s="241"/>
      <c r="E1499" s="241"/>
    </row>
    <row r="1500" spans="4:5">
      <c r="D1500" s="241"/>
      <c r="E1500" s="241"/>
    </row>
    <row r="1501" spans="4:5">
      <c r="D1501" s="241"/>
      <c r="E1501" s="241"/>
    </row>
    <row r="1502" spans="4:5">
      <c r="D1502" s="241"/>
      <c r="E1502" s="241"/>
    </row>
    <row r="1503" spans="4:5">
      <c r="D1503" s="241"/>
      <c r="E1503" s="241"/>
    </row>
    <row r="1504" spans="4:5">
      <c r="D1504" s="241"/>
      <c r="E1504" s="241"/>
    </row>
    <row r="1505" spans="4:5">
      <c r="D1505" s="241"/>
      <c r="E1505" s="241"/>
    </row>
    <row r="1506" spans="4:5">
      <c r="D1506" s="241"/>
      <c r="E1506" s="241"/>
    </row>
    <row r="1507" spans="4:5">
      <c r="D1507" s="241"/>
      <c r="E1507" s="241"/>
    </row>
    <row r="1508" spans="4:5">
      <c r="D1508" s="241"/>
      <c r="E1508" s="241"/>
    </row>
    <row r="1509" spans="4:5">
      <c r="D1509" s="241"/>
      <c r="E1509" s="241"/>
    </row>
    <row r="1510" spans="4:5">
      <c r="D1510" s="241"/>
      <c r="E1510" s="241"/>
    </row>
    <row r="1511" spans="4:5">
      <c r="D1511" s="241"/>
      <c r="E1511" s="241"/>
    </row>
    <row r="1512" spans="4:5">
      <c r="D1512" s="241"/>
      <c r="E1512" s="241"/>
    </row>
    <row r="1513" spans="4:5">
      <c r="D1513" s="241"/>
      <c r="E1513" s="241"/>
    </row>
    <row r="1514" spans="4:5">
      <c r="D1514" s="241"/>
      <c r="E1514" s="241"/>
    </row>
    <row r="1515" spans="4:5">
      <c r="D1515" s="241"/>
      <c r="E1515" s="241"/>
    </row>
    <row r="1516" spans="4:5">
      <c r="D1516" s="241"/>
      <c r="E1516" s="241"/>
    </row>
    <row r="1517" spans="4:5">
      <c r="D1517" s="241"/>
      <c r="E1517" s="241"/>
    </row>
    <row r="1518" spans="4:5">
      <c r="D1518" s="241"/>
      <c r="E1518" s="241"/>
    </row>
    <row r="1519" spans="4:5">
      <c r="D1519" s="241"/>
      <c r="E1519" s="241"/>
    </row>
    <row r="1520" spans="4:5">
      <c r="D1520" s="241"/>
      <c r="E1520" s="241"/>
    </row>
    <row r="1521" spans="4:5">
      <c r="D1521" s="241"/>
      <c r="E1521" s="241"/>
    </row>
    <row r="1522" spans="4:5">
      <c r="D1522" s="241"/>
      <c r="E1522" s="241"/>
    </row>
    <row r="1523" spans="4:5">
      <c r="D1523" s="241"/>
      <c r="E1523" s="241"/>
    </row>
    <row r="1524" spans="4:5">
      <c r="D1524" s="241"/>
      <c r="E1524" s="241"/>
    </row>
    <row r="1525" spans="4:5">
      <c r="D1525" s="241"/>
      <c r="E1525" s="241"/>
    </row>
    <row r="1526" spans="4:5">
      <c r="D1526" s="241"/>
      <c r="E1526" s="241"/>
    </row>
    <row r="1527" spans="4:5">
      <c r="D1527" s="241"/>
      <c r="E1527" s="241"/>
    </row>
    <row r="1528" spans="4:5">
      <c r="D1528" s="241"/>
      <c r="E1528" s="241"/>
    </row>
    <row r="1529" spans="4:5">
      <c r="D1529" s="241"/>
      <c r="E1529" s="241"/>
    </row>
    <row r="1530" spans="4:5">
      <c r="D1530" s="241"/>
      <c r="E1530" s="241"/>
    </row>
    <row r="1531" spans="4:5">
      <c r="D1531" s="241"/>
      <c r="E1531" s="241"/>
    </row>
    <row r="1532" spans="4:5">
      <c r="D1532" s="241"/>
      <c r="E1532" s="241"/>
    </row>
    <row r="1533" spans="4:5">
      <c r="D1533" s="241"/>
      <c r="E1533" s="241"/>
    </row>
    <row r="1534" spans="4:5">
      <c r="D1534" s="241"/>
      <c r="E1534" s="241"/>
    </row>
    <row r="1535" spans="4:5">
      <c r="D1535" s="241"/>
      <c r="E1535" s="241"/>
    </row>
    <row r="1536" spans="4:5">
      <c r="D1536" s="241"/>
      <c r="E1536" s="241"/>
    </row>
    <row r="1537" spans="4:5">
      <c r="D1537" s="241"/>
      <c r="E1537" s="241"/>
    </row>
    <row r="1538" spans="4:5">
      <c r="D1538" s="241"/>
      <c r="E1538" s="241"/>
    </row>
    <row r="1539" spans="4:5">
      <c r="D1539" s="241"/>
      <c r="E1539" s="241"/>
    </row>
    <row r="1540" spans="4:5">
      <c r="D1540" s="241"/>
      <c r="E1540" s="241"/>
    </row>
    <row r="1541" spans="4:5">
      <c r="D1541" s="241"/>
      <c r="E1541" s="241"/>
    </row>
    <row r="1542" spans="4:5">
      <c r="D1542" s="241"/>
      <c r="E1542" s="241"/>
    </row>
    <row r="1543" spans="4:5">
      <c r="D1543" s="241"/>
      <c r="E1543" s="241"/>
    </row>
    <row r="1544" spans="4:5">
      <c r="D1544" s="241"/>
      <c r="E1544" s="241"/>
    </row>
    <row r="1545" spans="4:5">
      <c r="D1545" s="241"/>
      <c r="E1545" s="241"/>
    </row>
    <row r="1546" spans="4:5">
      <c r="D1546" s="241"/>
      <c r="E1546" s="241"/>
    </row>
    <row r="1547" spans="4:5">
      <c r="D1547" s="241"/>
      <c r="E1547" s="241"/>
    </row>
    <row r="1548" spans="4:5">
      <c r="D1548" s="241"/>
      <c r="E1548" s="241"/>
    </row>
    <row r="1549" spans="4:5">
      <c r="D1549" s="241"/>
      <c r="E1549" s="241"/>
    </row>
    <row r="1550" spans="4:5">
      <c r="D1550" s="241"/>
      <c r="E1550" s="241"/>
    </row>
    <row r="1551" spans="4:5">
      <c r="D1551" s="241"/>
      <c r="E1551" s="241"/>
    </row>
    <row r="1552" spans="4:5">
      <c r="D1552" s="241"/>
      <c r="E1552" s="241"/>
    </row>
    <row r="1553" spans="4:5">
      <c r="D1553" s="241"/>
      <c r="E1553" s="241"/>
    </row>
    <row r="1554" spans="4:5">
      <c r="D1554" s="241"/>
      <c r="E1554" s="241"/>
    </row>
    <row r="1555" spans="4:5">
      <c r="D1555" s="241"/>
      <c r="E1555" s="241"/>
    </row>
    <row r="1556" spans="4:5">
      <c r="D1556" s="241"/>
      <c r="E1556" s="241"/>
    </row>
    <row r="1557" spans="4:5">
      <c r="D1557" s="241"/>
      <c r="E1557" s="241"/>
    </row>
    <row r="1558" spans="4:5">
      <c r="D1558" s="241"/>
      <c r="E1558" s="241"/>
    </row>
    <row r="1559" spans="4:5">
      <c r="D1559" s="241"/>
      <c r="E1559" s="241"/>
    </row>
    <row r="1560" spans="4:5">
      <c r="D1560" s="241"/>
      <c r="E1560" s="241"/>
    </row>
    <row r="1561" spans="4:5">
      <c r="D1561" s="241"/>
      <c r="E1561" s="241"/>
    </row>
    <row r="1562" spans="4:5">
      <c r="D1562" s="241"/>
      <c r="E1562" s="241"/>
    </row>
    <row r="1563" spans="4:5">
      <c r="D1563" s="241"/>
      <c r="E1563" s="241"/>
    </row>
    <row r="1564" spans="4:5">
      <c r="D1564" s="241"/>
      <c r="E1564" s="241"/>
    </row>
    <row r="1565" spans="4:5">
      <c r="D1565" s="241"/>
      <c r="E1565" s="241"/>
    </row>
    <row r="1566" spans="4:5">
      <c r="D1566" s="241"/>
      <c r="E1566" s="241"/>
    </row>
    <row r="1567" spans="4:5">
      <c r="D1567" s="241"/>
      <c r="E1567" s="241"/>
    </row>
    <row r="1568" spans="4:5">
      <c r="D1568" s="241"/>
      <c r="E1568" s="241"/>
    </row>
    <row r="1569" spans="4:5">
      <c r="D1569" s="241"/>
      <c r="E1569" s="241"/>
    </row>
    <row r="1570" spans="4:5">
      <c r="D1570" s="241"/>
      <c r="E1570" s="241"/>
    </row>
    <row r="1571" spans="4:5">
      <c r="D1571" s="241"/>
      <c r="E1571" s="241"/>
    </row>
    <row r="1572" spans="4:5">
      <c r="D1572" s="241"/>
      <c r="E1572" s="241"/>
    </row>
    <row r="1573" spans="4:5">
      <c r="D1573" s="241"/>
      <c r="E1573" s="241"/>
    </row>
    <row r="1574" spans="4:5">
      <c r="D1574" s="241"/>
      <c r="E1574" s="241"/>
    </row>
    <row r="1575" spans="4:5">
      <c r="D1575" s="241"/>
      <c r="E1575" s="241"/>
    </row>
    <row r="1576" spans="4:5">
      <c r="D1576" s="241"/>
      <c r="E1576" s="241"/>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B1:BA1643"/>
  <sheetViews>
    <sheetView tabSelected="1" topLeftCell="J1" zoomScale="55" zoomScaleNormal="55" workbookViewId="0">
      <selection activeCell="R6" sqref="R6:R205"/>
    </sheetView>
  </sheetViews>
  <sheetFormatPr defaultColWidth="9.21875" defaultRowHeight="13.8"/>
  <cols>
    <col min="1" max="1" width="12.44140625" style="227" bestFit="1" customWidth="1"/>
    <col min="2" max="2" width="20.44140625" style="227" customWidth="1"/>
    <col min="3" max="3" width="67.44140625" style="227" customWidth="1"/>
    <col min="4" max="4" width="10.44140625" style="227" bestFit="1" customWidth="1"/>
    <col min="5" max="5" width="13.44140625" style="227" bestFit="1" customWidth="1"/>
    <col min="6" max="6" width="29.33203125" style="230" customWidth="1"/>
    <col min="7" max="8" width="20.21875" style="230" customWidth="1"/>
    <col min="9" max="11" width="30.33203125" style="230" customWidth="1"/>
    <col min="12" max="14" width="21" style="230" customWidth="1"/>
    <col min="15" max="15" width="29.6640625" style="232" customWidth="1"/>
    <col min="16" max="16" width="16.77734375" style="232" bestFit="1" customWidth="1"/>
    <col min="17" max="17" width="16.6640625" style="232" customWidth="1"/>
    <col min="18" max="19" width="14" style="227" customWidth="1"/>
    <col min="20" max="20" width="17.6640625" style="227" customWidth="1"/>
    <col min="21" max="21" width="13.6640625" style="227" customWidth="1"/>
    <col min="22" max="22" width="24" style="227" customWidth="1"/>
    <col min="23" max="25" width="13.6640625" style="227" customWidth="1"/>
    <col min="26" max="26" width="14.6640625" style="227" customWidth="1"/>
    <col min="27" max="27" width="17.44140625" style="227" customWidth="1"/>
    <col min="28" max="28" width="16" style="227" customWidth="1"/>
    <col min="29" max="29" width="12.6640625" style="227" customWidth="1"/>
    <col min="30" max="30" width="16.6640625" style="233" customWidth="1"/>
    <col min="31" max="31" width="12.77734375" style="227" customWidth="1"/>
    <col min="32" max="32" width="14.33203125" style="227" customWidth="1"/>
    <col min="33" max="33" width="11.6640625" style="227" bestFit="1" customWidth="1"/>
    <col min="34" max="35" width="15.6640625" style="227" customWidth="1"/>
    <col min="36" max="36" width="20.33203125" style="227" customWidth="1"/>
    <col min="37" max="37" width="24.21875" style="227" customWidth="1"/>
    <col min="38" max="38" width="14.21875" style="227" bestFit="1" customWidth="1"/>
    <col min="39" max="39" width="11.6640625" style="227" customWidth="1"/>
    <col min="40" max="40" width="23.44140625" style="227" customWidth="1"/>
    <col min="41" max="41" width="20.21875" style="227" customWidth="1"/>
    <col min="42" max="42" width="33" style="227" customWidth="1"/>
    <col min="43" max="43" width="8.6640625" style="227" customWidth="1"/>
    <col min="44" max="44" width="20.21875" style="227" customWidth="1"/>
    <col min="45" max="45" width="12.77734375" style="227" bestFit="1" customWidth="1"/>
    <col min="46" max="46" width="9.21875" style="227"/>
    <col min="47" max="47" width="16.44140625" style="227" bestFit="1" customWidth="1"/>
    <col min="48" max="49" width="15.44140625" style="227" bestFit="1" customWidth="1"/>
    <col min="50" max="50" width="13" style="227" bestFit="1" customWidth="1"/>
    <col min="51" max="51" width="9.21875" style="227"/>
    <col min="52" max="52" width="24" style="227" bestFit="1" customWidth="1"/>
    <col min="53" max="53" width="16.33203125" style="227" bestFit="1" customWidth="1"/>
    <col min="54" max="54" width="17.6640625" style="227" bestFit="1" customWidth="1"/>
    <col min="55" max="55" width="13" style="227" bestFit="1" customWidth="1"/>
    <col min="56" max="16384" width="9.21875" style="227"/>
  </cols>
  <sheetData>
    <row r="1" spans="2:53" ht="15" thickBot="1">
      <c r="B1" s="226" t="s">
        <v>759</v>
      </c>
      <c r="C1" s="227" t="s">
        <v>827</v>
      </c>
      <c r="F1" s="228"/>
      <c r="G1" s="229" t="s">
        <v>181</v>
      </c>
      <c r="H1" s="229"/>
      <c r="I1" s="271">
        <v>1.05</v>
      </c>
      <c r="J1" s="271"/>
      <c r="K1" s="271"/>
      <c r="O1" s="231"/>
      <c r="U1" s="233"/>
      <c r="V1" s="295"/>
      <c r="W1" s="233"/>
      <c r="X1" s="233"/>
      <c r="Y1" s="233" t="s">
        <v>781</v>
      </c>
      <c r="Z1" s="612">
        <f>'Data manipulation'!F40/1000</f>
        <v>1922.1464490000001</v>
      </c>
      <c r="AA1" s="233"/>
      <c r="AB1" s="233"/>
      <c r="AD1" s="227"/>
    </row>
    <row r="2" spans="2:53" ht="14.4">
      <c r="B2" s="226"/>
      <c r="F2" s="228"/>
      <c r="G2" s="229"/>
      <c r="H2" s="229"/>
      <c r="I2" s="271"/>
      <c r="J2" s="271"/>
      <c r="K2" s="271"/>
      <c r="P2" s="227"/>
      <c r="Q2" s="227"/>
      <c r="R2" s="233"/>
      <c r="S2" s="233"/>
      <c r="T2" s="295"/>
      <c r="U2" s="233"/>
      <c r="V2" s="233"/>
      <c r="W2" s="266" t="s">
        <v>193</v>
      </c>
      <c r="X2" s="233"/>
      <c r="Y2" s="233" t="s">
        <v>106</v>
      </c>
      <c r="Z2" s="612">
        <f>SUM(Y6:AA45)</f>
        <v>1922.1464490000001</v>
      </c>
      <c r="AD2" s="227"/>
    </row>
    <row r="3" spans="2:53" ht="14.4" thickBot="1">
      <c r="H3" s="234" t="s">
        <v>8</v>
      </c>
      <c r="J3" s="234"/>
      <c r="K3" s="234"/>
      <c r="L3" s="234"/>
      <c r="M3" s="234"/>
      <c r="N3" s="234"/>
      <c r="O3" s="235"/>
      <c r="P3" s="227"/>
      <c r="Q3" s="233"/>
      <c r="R3" s="233"/>
      <c r="S3" s="233"/>
      <c r="T3" s="268"/>
      <c r="U3" s="233"/>
      <c r="V3" s="233"/>
      <c r="W3" s="267">
        <v>3.5999999999999999E-3</v>
      </c>
      <c r="X3" s="233"/>
      <c r="Y3" s="438" t="s">
        <v>906</v>
      </c>
      <c r="Z3" s="439" t="s">
        <v>933</v>
      </c>
      <c r="AA3" s="440" t="s">
        <v>934</v>
      </c>
      <c r="AB3" s="438" t="s">
        <v>906</v>
      </c>
      <c r="AC3" s="439" t="s">
        <v>933</v>
      </c>
      <c r="AD3" s="440" t="s">
        <v>934</v>
      </c>
      <c r="AG3" s="236"/>
      <c r="AH3" s="237"/>
      <c r="AI3" s="237"/>
      <c r="AJ3" s="237"/>
      <c r="AK3" s="237"/>
      <c r="AL3" s="237"/>
    </row>
    <row r="4" spans="2:53">
      <c r="B4" s="238" t="s">
        <v>2</v>
      </c>
      <c r="C4" s="238" t="s">
        <v>26</v>
      </c>
      <c r="D4" s="422" t="s">
        <v>776</v>
      </c>
      <c r="E4" s="422" t="s">
        <v>777</v>
      </c>
      <c r="F4" s="238" t="s">
        <v>14</v>
      </c>
      <c r="G4" s="238" t="s">
        <v>15</v>
      </c>
      <c r="H4" s="422" t="s">
        <v>108</v>
      </c>
      <c r="I4" s="239" t="s">
        <v>907</v>
      </c>
      <c r="J4" s="239" t="s">
        <v>935</v>
      </c>
      <c r="K4" s="239" t="s">
        <v>936</v>
      </c>
      <c r="L4" s="240" t="s">
        <v>908</v>
      </c>
      <c r="M4" s="240" t="s">
        <v>937</v>
      </c>
      <c r="N4" s="240" t="s">
        <v>938</v>
      </c>
      <c r="O4" s="238" t="s">
        <v>0</v>
      </c>
      <c r="P4" s="238" t="s">
        <v>184</v>
      </c>
      <c r="Q4" s="239" t="s">
        <v>107</v>
      </c>
      <c r="R4" s="227" t="s">
        <v>845</v>
      </c>
      <c r="Y4" s="273" t="s">
        <v>81</v>
      </c>
      <c r="Z4" s="272" t="s">
        <v>81</v>
      </c>
      <c r="AA4" s="441" t="s">
        <v>81</v>
      </c>
      <c r="AB4" s="273" t="s">
        <v>77</v>
      </c>
      <c r="AC4" s="272" t="s">
        <v>77</v>
      </c>
      <c r="AD4" s="441" t="s">
        <v>77</v>
      </c>
      <c r="AG4" s="241"/>
      <c r="AH4" s="237"/>
      <c r="AI4" s="237"/>
      <c r="AJ4" s="237"/>
      <c r="AK4" s="237"/>
      <c r="AL4" s="237"/>
    </row>
    <row r="5" spans="2:53" ht="14.4" thickBot="1">
      <c r="B5" s="242" t="s">
        <v>27</v>
      </c>
      <c r="C5" s="242"/>
      <c r="D5" s="243"/>
      <c r="E5" s="243"/>
      <c r="F5" s="242"/>
      <c r="G5" s="242"/>
      <c r="H5" s="243"/>
      <c r="I5" s="243" t="s">
        <v>65</v>
      </c>
      <c r="J5" s="243" t="s">
        <v>65</v>
      </c>
      <c r="K5" s="243" t="s">
        <v>65</v>
      </c>
      <c r="L5" s="243" t="s">
        <v>75</v>
      </c>
      <c r="M5" s="243" t="s">
        <v>75</v>
      </c>
      <c r="N5" s="243" t="s">
        <v>75</v>
      </c>
      <c r="O5" s="242"/>
      <c r="P5" s="242" t="s">
        <v>775</v>
      </c>
      <c r="Q5" s="242" t="s">
        <v>108</v>
      </c>
      <c r="X5" s="227" t="s">
        <v>108</v>
      </c>
      <c r="Y5" s="275" t="s">
        <v>48</v>
      </c>
      <c r="Z5" s="459" t="s">
        <v>48</v>
      </c>
      <c r="AA5" s="442" t="s">
        <v>48</v>
      </c>
      <c r="AB5" s="275" t="s">
        <v>76</v>
      </c>
      <c r="AC5" s="274" t="s">
        <v>76</v>
      </c>
      <c r="AD5" s="442" t="s">
        <v>76</v>
      </c>
      <c r="AG5" s="241"/>
      <c r="AH5" s="237"/>
      <c r="AI5" s="237"/>
      <c r="AJ5" s="237"/>
      <c r="AK5" s="237"/>
      <c r="AL5" s="237"/>
    </row>
    <row r="6" spans="2:53" ht="15" customHeight="1">
      <c r="B6" s="227" t="str">
        <f>Processes!D53</f>
        <v>RHTUDNGAE1</v>
      </c>
      <c r="C6" s="227" t="str">
        <f>Processes!E53</f>
        <v>Residential Heating Technology Urban Detached - Natural Gas - Existing 1</v>
      </c>
      <c r="D6" s="227" t="s">
        <v>734</v>
      </c>
      <c r="E6" s="227" t="s">
        <v>116</v>
      </c>
      <c r="F6" s="230" t="str">
        <f>Commodities!$C$18&amp;","&amp;Commodities!$C$36&amp;","&amp;Commodities!$C$19</f>
        <v>RESNGA,RESSNG,RESBGA</v>
      </c>
      <c r="G6" s="230" t="str">
        <f>Commodities!$C$42</f>
        <v>RESHUDB</v>
      </c>
      <c r="H6" s="230">
        <v>2010</v>
      </c>
      <c r="I6" s="250">
        <f>ROUNDUP(AB6/($O6*$P6)*$R6,1)</f>
        <v>84088.8</v>
      </c>
      <c r="J6" s="250">
        <f>ROUNDUP(AC6/($O6*$P6)*$R6,1)</f>
        <v>0</v>
      </c>
      <c r="K6" s="250">
        <f>ROUNDUP(AD6/($O6*$P6)*$R6,1)</f>
        <v>0</v>
      </c>
      <c r="L6" s="461">
        <v>0.72</v>
      </c>
      <c r="M6" s="461">
        <v>0.72</v>
      </c>
      <c r="N6" s="461">
        <v>0.72</v>
      </c>
      <c r="O6" s="244">
        <f>31.536/1000</f>
        <v>3.1536000000000002E-2</v>
      </c>
      <c r="P6" s="460">
        <v>0.2</v>
      </c>
      <c r="Q6" s="245">
        <v>22</v>
      </c>
      <c r="R6" s="227">
        <v>2</v>
      </c>
      <c r="T6" s="268">
        <f>SUM(I6:K6)*O6*P6/L6</f>
        <v>736.61788800000011</v>
      </c>
      <c r="U6" s="268"/>
      <c r="V6" s="602" t="str">
        <f>'Data manipulation'!$B$36</f>
        <v>Natural gas, biogas and LNG</v>
      </c>
      <c r="W6" s="246" t="s">
        <v>187</v>
      </c>
      <c r="X6" s="246">
        <v>2010</v>
      </c>
      <c r="Y6" s="437">
        <f>_xlfn.IFNA(INDEX('Data manipulation'!$C$23:$O$39,MATCH($V6,'Data manipulation'!$B$23:$B$39,0),MATCH($X6,'Data manipulation'!$C$22:$O$22,0))/1000,0)*SUMIFS('Regional split'!$F$4:$F$6,'Regional split'!$B$4:$B$6,Y$3)*SUMIFS('Data manipulation'!$V$39:$V$42,'Data manipulation'!$X$39:$X$42,$E6,'Data manipulation'!$Y$39:$Y$42,$D6)</f>
        <v>368.30873729999996</v>
      </c>
      <c r="Z6" s="270">
        <f>_xlfn.IFNA(INDEX('Data manipulation'!$C$23:$O$39,MATCH($V6,'Data manipulation'!$B$23:$B$39,0),MATCH($X6,'Data manipulation'!$C$22:$O$22,0))/1000,0)*SUMIFS('Regional split'!$F$4:$F$6,'Regional split'!$B$4:$B$6,Z$3)*SUMIFS('Data manipulation'!$V$39:$V$42,'Data manipulation'!$X$39:$X$42,$E6,'Data manipulation'!$Y$39:$Y$42,$D6)</f>
        <v>0</v>
      </c>
      <c r="AA6" s="455">
        <f>_xlfn.IFNA(INDEX('Data manipulation'!$C$23:$O$39,MATCH($V6,'Data manipulation'!$B$23:$B$39,0),MATCH($X6,'Data manipulation'!$C$22:$O$22,0))/1000,0)*SUMIFS('Regional split'!$F$4:$F$6,'Regional split'!$B$4:$B$6,AA$3)*SUMIFS('Data manipulation'!$V$39:$V$42,'Data manipulation'!$X$39:$X$42,$E6,'Data manipulation'!$Y$39:$Y$42,$D6)</f>
        <v>0</v>
      </c>
      <c r="AB6" s="443">
        <f>Y6*L6</f>
        <v>265.18229085599995</v>
      </c>
      <c r="AC6" s="276">
        <f t="shared" ref="AC6:AC65" si="0">Z6*M6</f>
        <v>0</v>
      </c>
      <c r="AD6" s="444">
        <f t="shared" ref="AD6:AD65" si="1">AA6*N6</f>
        <v>0</v>
      </c>
      <c r="AG6" s="247"/>
      <c r="AH6" s="237"/>
      <c r="AI6" s="248"/>
      <c r="AJ6" s="249"/>
      <c r="AK6" s="249"/>
      <c r="AL6" s="237"/>
    </row>
    <row r="7" spans="2:53" ht="15" customHeight="1">
      <c r="B7" s="227" t="str">
        <f>Processes!D54</f>
        <v>RHTUDDSLE1</v>
      </c>
      <c r="C7" s="227" t="str">
        <f>Processes!E54</f>
        <v>Residential Heating Technology Urban Detached - Diesel - Existing 1</v>
      </c>
      <c r="D7" s="227" t="s">
        <v>734</v>
      </c>
      <c r="E7" s="227" t="s">
        <v>116</v>
      </c>
      <c r="F7" s="230" t="str">
        <f>Commodities!$C$21&amp;","&amp;Commodities!$C$37</f>
        <v>RESDSL,RESDSB</v>
      </c>
      <c r="G7" s="230" t="str">
        <f>Commodities!$C$42</f>
        <v>RESHUDB</v>
      </c>
      <c r="H7" s="230">
        <v>2010</v>
      </c>
      <c r="I7" s="250">
        <f t="shared" ref="I7:I14" si="2">ROUNDUP(AB7/($O7*$P7)*$R7,1)</f>
        <v>47081.599999999999</v>
      </c>
      <c r="J7" s="250">
        <f t="shared" ref="J7:J13" si="3">ROUNDUP(AC7/($O7*$P7)*$R7,1)</f>
        <v>0</v>
      </c>
      <c r="K7" s="250">
        <f t="shared" ref="K7:K13" si="4">ROUNDUP(AD7/($O7*$P7)*$R7,1)</f>
        <v>0</v>
      </c>
      <c r="L7" s="462">
        <v>0.71</v>
      </c>
      <c r="M7" s="462">
        <v>0.71</v>
      </c>
      <c r="N7" s="462">
        <v>0.71</v>
      </c>
      <c r="O7" s="244">
        <f>31.536/1000</f>
        <v>3.1536000000000002E-2</v>
      </c>
      <c r="P7" s="460">
        <v>0.2</v>
      </c>
      <c r="Q7" s="245">
        <v>20</v>
      </c>
      <c r="R7" s="227">
        <v>2</v>
      </c>
      <c r="T7" s="268">
        <f t="shared" ref="T7:T70" si="5">SUM(I7:K7)*O7*P7/L7</f>
        <v>418.24375707042265</v>
      </c>
      <c r="V7" s="602" t="str">
        <f>'Data manipulation'!$B$35</f>
        <v>Oil products</v>
      </c>
      <c r="W7" s="254" t="s">
        <v>749</v>
      </c>
      <c r="X7" s="246">
        <v>2010</v>
      </c>
      <c r="Y7" s="434">
        <f>_xlfn.IFNA(INDEX('Data manipulation'!$C$23:$O$39,MATCH($V7,'Data manipulation'!$B$23:$B$39,0),MATCH($X7,'Data manipulation'!$C$22:$O$22,0))/1000,0)*SUMIFS('Regional split'!$F$4:$F$6,'Regional split'!$B$4:$B$6,Y$3)*SUMIFS('Data manipulation'!$V$39:$V$42,'Data manipulation'!$X$39:$X$42,$E7,'Data manipulation'!$Y$39:$Y$42,$D7)</f>
        <v>209.12151666</v>
      </c>
      <c r="Z7" s="270">
        <f>_xlfn.IFNA(INDEX('Data manipulation'!$C$23:$O$39,MATCH($V7,'Data manipulation'!$B$23:$B$39,0),MATCH($X7,'Data manipulation'!$C$22:$O$22,0))/1000,0)*SUMIFS('Regional split'!$F$4:$F$6,'Regional split'!$B$4:$B$6,Z$3)*SUMIFS('Data manipulation'!$V$39:$V$42,'Data manipulation'!$X$39:$X$42,$E7,'Data manipulation'!$Y$39:$Y$42,$D7)</f>
        <v>0</v>
      </c>
      <c r="AA7" s="456">
        <f>_xlfn.IFNA(INDEX('Data manipulation'!$C$23:$O$39,MATCH($V7,'Data manipulation'!$B$23:$B$39,0),MATCH($X7,'Data manipulation'!$C$22:$O$22,0))/1000,0)*SUMIFS('Regional split'!$F$4:$F$6,'Regional split'!$B$4:$B$6,AA$3)*SUMIFS('Data manipulation'!$V$39:$V$42,'Data manipulation'!$X$39:$X$42,$E7,'Data manipulation'!$Y$39:$Y$42,$D7)</f>
        <v>0</v>
      </c>
      <c r="AB7" s="445">
        <f t="shared" ref="AB7:AB65" si="6">Y7*L7</f>
        <v>148.47627682859999</v>
      </c>
      <c r="AC7" s="251">
        <f t="shared" si="0"/>
        <v>0</v>
      </c>
      <c r="AD7" s="446">
        <f t="shared" si="1"/>
        <v>0</v>
      </c>
      <c r="AG7" s="247"/>
      <c r="AH7" s="237"/>
      <c r="AI7" s="248"/>
      <c r="AJ7" s="249"/>
      <c r="AK7" s="249"/>
      <c r="AL7" s="237"/>
      <c r="BA7" s="252"/>
    </row>
    <row r="8" spans="2:53" ht="15" customHeight="1">
      <c r="B8" s="227" t="str">
        <f>Processes!D55</f>
        <v>RHTUDWPEE1</v>
      </c>
      <c r="C8" s="227" t="str">
        <f>Processes!E55</f>
        <v>Residential Heating Technology Urban Detached - Wood pellets - Existing 1</v>
      </c>
      <c r="D8" s="227" t="s">
        <v>734</v>
      </c>
      <c r="E8" s="227" t="s">
        <v>116</v>
      </c>
      <c r="F8" s="230" t="str">
        <f>Commodities!$C$23</f>
        <v>RESWPE</v>
      </c>
      <c r="G8" s="230" t="str">
        <f>Commodities!$C$42</f>
        <v>RESHUDB</v>
      </c>
      <c r="H8" s="230">
        <v>2010</v>
      </c>
      <c r="I8" s="250">
        <f t="shared" si="2"/>
        <v>0</v>
      </c>
      <c r="J8" s="250">
        <f t="shared" si="3"/>
        <v>0</v>
      </c>
      <c r="K8" s="250">
        <f t="shared" si="4"/>
        <v>0</v>
      </c>
      <c r="L8" s="462">
        <v>0.61</v>
      </c>
      <c r="M8" s="462">
        <v>0.61</v>
      </c>
      <c r="N8" s="462">
        <v>0.61</v>
      </c>
      <c r="O8" s="244">
        <f t="shared" ref="O8:O25" si="7">31.536/1000</f>
        <v>3.1536000000000002E-2</v>
      </c>
      <c r="P8" s="460">
        <v>0.2</v>
      </c>
      <c r="Q8" s="245">
        <v>20</v>
      </c>
      <c r="R8" s="227">
        <v>2</v>
      </c>
      <c r="T8" s="268">
        <f t="shared" si="5"/>
        <v>0</v>
      </c>
      <c r="U8" s="268"/>
      <c r="V8" s="602" t="s">
        <v>206</v>
      </c>
      <c r="W8" s="254" t="s">
        <v>896</v>
      </c>
      <c r="X8" s="246">
        <v>2010</v>
      </c>
      <c r="Y8" s="434">
        <f>_xlfn.IFNA(INDEX('Data manipulation'!$C$23:$O$39,MATCH($V8,'Data manipulation'!$B$23:$B$39,0),MATCH($X8,'Data manipulation'!$C$22:$O$22,0))/1000,0)*SUMIFS('Regional split'!$F$4:$F$6,'Regional split'!$B$4:$B$6,Y$3)*SUMIFS('Data manipulation'!$V$39:$V$42,'Data manipulation'!$X$39:$X$42,$E8,'Data manipulation'!$Y$39:$Y$42,$D8)</f>
        <v>0</v>
      </c>
      <c r="Z8" s="270">
        <f>_xlfn.IFNA(INDEX('Data manipulation'!$C$23:$O$39,MATCH($V8,'Data manipulation'!$B$23:$B$39,0),MATCH($X8,'Data manipulation'!$C$22:$O$22,0))/1000,0)*SUMIFS('Regional split'!$F$4:$F$6,'Regional split'!$B$4:$B$6,Z$3)*SUMIFS('Data manipulation'!$V$39:$V$42,'Data manipulation'!$X$39:$X$42,$E8,'Data manipulation'!$Y$39:$Y$42,$D8)</f>
        <v>0</v>
      </c>
      <c r="AA8" s="456">
        <f>_xlfn.IFNA(INDEX('Data manipulation'!$C$23:$O$39,MATCH($V8,'Data manipulation'!$B$23:$B$39,0),MATCH($X8,'Data manipulation'!$C$22:$O$22,0))/1000,0)*SUMIFS('Regional split'!$F$4:$F$6,'Regional split'!$B$4:$B$6,AA$3)*SUMIFS('Data manipulation'!$V$39:$V$42,'Data manipulation'!$X$39:$X$42,$E8,'Data manipulation'!$Y$39:$Y$42,$D8)</f>
        <v>0</v>
      </c>
      <c r="AB8" s="445">
        <f>Y8*L8</f>
        <v>0</v>
      </c>
      <c r="AC8" s="251">
        <f t="shared" si="0"/>
        <v>0</v>
      </c>
      <c r="AD8" s="446">
        <f t="shared" si="1"/>
        <v>0</v>
      </c>
      <c r="BA8" s="253"/>
    </row>
    <row r="9" spans="2:53" ht="15" customHeight="1">
      <c r="B9" s="227" t="str">
        <f>Processes!D56</f>
        <v>RHTUDFIWE1</v>
      </c>
      <c r="C9" s="227" t="str">
        <f>Processes!E56</f>
        <v>Residential Heating Technology Urban Detached - Fire wood - Existing 1</v>
      </c>
      <c r="D9" s="227" t="s">
        <v>734</v>
      </c>
      <c r="E9" s="227" t="s">
        <v>116</v>
      </c>
      <c r="F9" s="230" t="str">
        <f>Commodities!$C$24</f>
        <v>RESFIW</v>
      </c>
      <c r="G9" s="230" t="str">
        <f>Commodities!$C$42</f>
        <v>RESHUDB</v>
      </c>
      <c r="H9" s="230">
        <v>2010</v>
      </c>
      <c r="I9" s="250">
        <f t="shared" si="2"/>
        <v>23041</v>
      </c>
      <c r="J9" s="250">
        <f t="shared" si="3"/>
        <v>0</v>
      </c>
      <c r="K9" s="250">
        <f t="shared" si="4"/>
        <v>0</v>
      </c>
      <c r="L9" s="462">
        <v>0.65000022993955098</v>
      </c>
      <c r="M9" s="462">
        <v>0.65000022993955098</v>
      </c>
      <c r="N9" s="462">
        <v>0.65000022993955098</v>
      </c>
      <c r="O9" s="244">
        <f t="shared" si="7"/>
        <v>3.1536000000000002E-2</v>
      </c>
      <c r="P9" s="460">
        <v>0.2</v>
      </c>
      <c r="Q9" s="245">
        <v>20</v>
      </c>
      <c r="R9" s="227">
        <v>2</v>
      </c>
      <c r="T9" s="268">
        <f t="shared" si="5"/>
        <v>223.57560583250094</v>
      </c>
      <c r="U9" s="268"/>
      <c r="V9" s="602" t="str">
        <f>'Data manipulation'!$B$31</f>
        <v>Primary solid biofuels</v>
      </c>
      <c r="W9" s="254" t="s">
        <v>196</v>
      </c>
      <c r="X9" s="246">
        <v>2010</v>
      </c>
      <c r="Y9" s="434">
        <f>_xlfn.IFNA(INDEX('Data manipulation'!$C$23:$O$39,MATCH($V9,'Data manipulation'!$B$23:$B$39,0),MATCH($X9,'Data manipulation'!$C$22:$O$22,0))/1000,0)*SUMIFS('Regional split'!$F$4:$F$6,'Regional split'!$B$4:$B$6,Y$3)*SUMIFS('Data manipulation'!$V$39:$V$42,'Data manipulation'!$X$39:$X$42,$E9,'Data manipulation'!$Y$39:$Y$42,$D9)</f>
        <v>111.78774726</v>
      </c>
      <c r="Z9" s="270">
        <f>_xlfn.IFNA(INDEX('Data manipulation'!$C$23:$O$39,MATCH($V9,'Data manipulation'!$B$23:$B$39,0),MATCH($X9,'Data manipulation'!$C$22:$O$22,0))/1000,0)*SUMIFS('Regional split'!$F$4:$F$6,'Regional split'!$B$4:$B$6,Z$3)*SUMIFS('Data manipulation'!$V$39:$V$42,'Data manipulation'!$X$39:$X$42,$E9,'Data manipulation'!$Y$39:$Y$42,$D9)</f>
        <v>0</v>
      </c>
      <c r="AA9" s="456">
        <f>_xlfn.IFNA(INDEX('Data manipulation'!$C$23:$O$39,MATCH($V9,'Data manipulation'!$B$23:$B$39,0),MATCH($X9,'Data manipulation'!$C$22:$O$22,0))/1000,0)*SUMIFS('Regional split'!$F$4:$F$6,'Regional split'!$B$4:$B$6,AA$3)*SUMIFS('Data manipulation'!$V$39:$V$42,'Data manipulation'!$X$39:$X$42,$E9,'Data manipulation'!$Y$39:$Y$42,$D9)</f>
        <v>0</v>
      </c>
      <c r="AB9" s="445">
        <f t="shared" si="6"/>
        <v>72.662061423424419</v>
      </c>
      <c r="AC9" s="251">
        <f t="shared" si="0"/>
        <v>0</v>
      </c>
      <c r="AD9" s="446">
        <f t="shared" si="1"/>
        <v>0</v>
      </c>
      <c r="BA9" s="252"/>
    </row>
    <row r="10" spans="2:53" ht="15" customHeight="1">
      <c r="B10" s="233" t="str">
        <f>Processes!D57</f>
        <v>RHTUDCOAE1</v>
      </c>
      <c r="C10" s="233" t="str">
        <f>Processes!E57</f>
        <v>Residential Heating Technology Urban Detached - Coal - Existing 1</v>
      </c>
      <c r="D10" s="233" t="s">
        <v>734</v>
      </c>
      <c r="E10" s="233" t="s">
        <v>116</v>
      </c>
      <c r="F10" s="230" t="str">
        <f>Commodities!$C$25</f>
        <v>RESCOA</v>
      </c>
      <c r="G10" s="230" t="str">
        <f>Commodities!$C$42</f>
        <v>RESHUDB</v>
      </c>
      <c r="H10" s="230">
        <v>2010</v>
      </c>
      <c r="I10" s="250">
        <f t="shared" si="2"/>
        <v>3872.5</v>
      </c>
      <c r="J10" s="250">
        <f t="shared" si="3"/>
        <v>0</v>
      </c>
      <c r="K10" s="250">
        <f t="shared" si="4"/>
        <v>0</v>
      </c>
      <c r="L10" s="462">
        <v>0.7</v>
      </c>
      <c r="M10" s="462">
        <v>0.7</v>
      </c>
      <c r="N10" s="462">
        <v>0.7</v>
      </c>
      <c r="O10" s="244">
        <f t="shared" si="7"/>
        <v>3.1536000000000002E-2</v>
      </c>
      <c r="P10" s="460">
        <v>0.2</v>
      </c>
      <c r="Q10" s="245">
        <v>20</v>
      </c>
      <c r="R10" s="227">
        <v>2</v>
      </c>
      <c r="T10" s="268">
        <f t="shared" si="5"/>
        <v>34.892331428571431</v>
      </c>
      <c r="U10" s="268"/>
      <c r="V10" s="602" t="str">
        <f>'Data manipulation'!$B$23</f>
        <v>Solid fossil fuels, peat, peat products, oil shale and oil sands</v>
      </c>
      <c r="W10" s="254" t="s">
        <v>893</v>
      </c>
      <c r="X10" s="246">
        <v>2010</v>
      </c>
      <c r="Y10" s="434">
        <f>_xlfn.IFNA(INDEX('Data manipulation'!$C$23:$O$39,MATCH($V10,'Data manipulation'!$B$23:$B$39,0),MATCH($X10,'Data manipulation'!$C$22:$O$22,0))/1000,0)*SUMIFS('Regional split'!$F$4:$F$6,'Regional split'!$B$4:$B$6,Y$3)*SUMIFS('Data manipulation'!$V$39:$V$42,'Data manipulation'!$X$39:$X$42,$E10,'Data manipulation'!$Y$39:$Y$42,$D10)</f>
        <v>17.445893639999998</v>
      </c>
      <c r="Z10" s="270">
        <f>_xlfn.IFNA(INDEX('Data manipulation'!$C$23:$O$39,MATCH($V10,'Data manipulation'!$B$23:$B$39,0),MATCH($X10,'Data manipulation'!$C$22:$O$22,0))/1000,0)*SUMIFS('Regional split'!$F$4:$F$6,'Regional split'!$B$4:$B$6,Z$3)*SUMIFS('Data manipulation'!$V$39:$V$42,'Data manipulation'!$X$39:$X$42,$E10,'Data manipulation'!$Y$39:$Y$42,$D10)</f>
        <v>0</v>
      </c>
      <c r="AA10" s="456">
        <f>_xlfn.IFNA(INDEX('Data manipulation'!$C$23:$O$39,MATCH($V10,'Data manipulation'!$B$23:$B$39,0),MATCH($X10,'Data manipulation'!$C$22:$O$22,0))/1000,0)*SUMIFS('Regional split'!$F$4:$F$6,'Regional split'!$B$4:$B$6,AA$3)*SUMIFS('Data manipulation'!$V$39:$V$42,'Data manipulation'!$X$39:$X$42,$E10,'Data manipulation'!$Y$39:$Y$42,$D10)</f>
        <v>0</v>
      </c>
      <c r="AB10" s="445">
        <f t="shared" si="6"/>
        <v>12.212125547999998</v>
      </c>
      <c r="AC10" s="251">
        <f t="shared" si="0"/>
        <v>0</v>
      </c>
      <c r="AD10" s="446">
        <f t="shared" si="1"/>
        <v>0</v>
      </c>
      <c r="AE10" s="653"/>
      <c r="BA10" s="252"/>
    </row>
    <row r="11" spans="2:53" ht="15" customHeight="1">
      <c r="B11" s="233" t="str">
        <f>Processes!D58</f>
        <v>RHTUDSOLE1</v>
      </c>
      <c r="C11" s="233" t="str">
        <f>Processes!E58</f>
        <v>Residential Heating Technology Urban Detached - Solar - Existing 1</v>
      </c>
      <c r="D11" s="233" t="s">
        <v>734</v>
      </c>
      <c r="E11" s="233" t="s">
        <v>116</v>
      </c>
      <c r="F11" s="230" t="str">
        <f>Commodities!$C$27</f>
        <v>RESSOL</v>
      </c>
      <c r="G11" s="230" t="str">
        <f>Commodities!$C$42</f>
        <v>RESHUDB</v>
      </c>
      <c r="H11" s="230">
        <v>2010</v>
      </c>
      <c r="I11" s="250">
        <f t="shared" si="2"/>
        <v>337.40000000000003</v>
      </c>
      <c r="J11" s="250">
        <f t="shared" si="3"/>
        <v>0</v>
      </c>
      <c r="K11" s="250">
        <f t="shared" si="4"/>
        <v>0</v>
      </c>
      <c r="L11" s="462">
        <v>1</v>
      </c>
      <c r="M11" s="462">
        <v>1</v>
      </c>
      <c r="N11" s="462">
        <v>1</v>
      </c>
      <c r="O11" s="244">
        <f t="shared" si="7"/>
        <v>3.1536000000000002E-2</v>
      </c>
      <c r="P11" s="460">
        <v>0.2</v>
      </c>
      <c r="Q11" s="245">
        <v>20</v>
      </c>
      <c r="R11" s="227">
        <v>2</v>
      </c>
      <c r="T11" s="268">
        <f t="shared" si="5"/>
        <v>2.1280492800000004</v>
      </c>
      <c r="U11" s="268"/>
      <c r="V11" s="602" t="str">
        <f>'Data manipulation'!$B$29</f>
        <v>Solar thermal</v>
      </c>
      <c r="W11" s="254" t="s">
        <v>188</v>
      </c>
      <c r="X11" s="246">
        <v>2010</v>
      </c>
      <c r="Y11" s="434">
        <f>_xlfn.IFNA(INDEX('Data manipulation'!$C$23:$O$39,MATCH($V11,'Data manipulation'!$B$23:$B$39,0),MATCH($X11,'Data manipulation'!$C$22:$O$22,0))/1000,0)*SUMIFS('Regional split'!$F$4:$F$6,'Regional split'!$B$4:$B$6,Y$3)*SUMIFS('Data manipulation'!$V$39:$V$42,'Data manipulation'!$X$39:$X$42,$E11,'Data manipulation'!$Y$39:$Y$42,$D11)</f>
        <v>1.06402128</v>
      </c>
      <c r="Z11" s="270">
        <f>_xlfn.IFNA(INDEX('Data manipulation'!$C$23:$O$39,MATCH($V11,'Data manipulation'!$B$23:$B$39,0),MATCH($X11,'Data manipulation'!$C$22:$O$22,0))/1000,0)*SUMIFS('Regional split'!$F$4:$F$6,'Regional split'!$B$4:$B$6,Z$3)*SUMIFS('Data manipulation'!$V$39:$V$42,'Data manipulation'!$X$39:$X$42,$E11,'Data manipulation'!$Y$39:$Y$42,$D11)</f>
        <v>0</v>
      </c>
      <c r="AA11" s="456">
        <f>_xlfn.IFNA(INDEX('Data manipulation'!$C$23:$O$39,MATCH($V11,'Data manipulation'!$B$23:$B$39,0),MATCH($X11,'Data manipulation'!$C$22:$O$22,0))/1000,0)*SUMIFS('Regional split'!$F$4:$F$6,'Regional split'!$B$4:$B$6,AA$3)*SUMIFS('Data manipulation'!$V$39:$V$42,'Data manipulation'!$X$39:$X$42,$E11,'Data manipulation'!$Y$39:$Y$42,$D11)</f>
        <v>0</v>
      </c>
      <c r="AB11" s="445">
        <f t="shared" si="6"/>
        <v>1.06402128</v>
      </c>
      <c r="AC11" s="251">
        <f t="shared" si="0"/>
        <v>0</v>
      </c>
      <c r="AD11" s="446">
        <f t="shared" si="1"/>
        <v>0</v>
      </c>
      <c r="BA11" s="252"/>
    </row>
    <row r="12" spans="2:53" ht="15" customHeight="1">
      <c r="B12" s="233" t="str">
        <f>Processes!D59</f>
        <v>RHTUDELCHE1</v>
      </c>
      <c r="C12" s="233" t="str">
        <f>Processes!E59</f>
        <v>Residential Heating Technology Urban Detached - Electricity Heating - Existing 1</v>
      </c>
      <c r="D12" s="233" t="s">
        <v>734</v>
      </c>
      <c r="E12" s="233" t="s">
        <v>116</v>
      </c>
      <c r="F12" s="230" t="str">
        <f>Commodities!$C$28</f>
        <v>RESELCH</v>
      </c>
      <c r="G12" s="230" t="str">
        <f>Commodities!$C$42</f>
        <v>RESHUDB</v>
      </c>
      <c r="H12" s="230">
        <v>2010</v>
      </c>
      <c r="I12" s="250">
        <f t="shared" si="2"/>
        <v>5435.1</v>
      </c>
      <c r="J12" s="250">
        <f t="shared" si="3"/>
        <v>0</v>
      </c>
      <c r="K12" s="250">
        <f t="shared" si="4"/>
        <v>0</v>
      </c>
      <c r="L12" s="462">
        <v>1</v>
      </c>
      <c r="M12" s="462">
        <v>1</v>
      </c>
      <c r="N12" s="462">
        <v>1</v>
      </c>
      <c r="O12" s="244">
        <f t="shared" si="7"/>
        <v>3.1536000000000002E-2</v>
      </c>
      <c r="P12" s="460">
        <v>0.2</v>
      </c>
      <c r="Q12" s="245">
        <v>30</v>
      </c>
      <c r="R12" s="227">
        <v>2</v>
      </c>
      <c r="T12" s="268">
        <f t="shared" si="5"/>
        <v>34.280262720000003</v>
      </c>
      <c r="U12" s="268"/>
      <c r="V12" s="602" t="str">
        <f>'Data manipulation'!$B$33</f>
        <v>Electricity</v>
      </c>
      <c r="W12" s="254" t="s">
        <v>189</v>
      </c>
      <c r="X12" s="246">
        <v>2010</v>
      </c>
      <c r="Y12" s="434">
        <f>_xlfn.IFNA(INDEX('Data manipulation'!$C$23:$O$39,MATCH($V12,'Data manipulation'!$B$23:$B$39,0),MATCH($X12,'Data manipulation'!$C$22:$O$22,0))/1000,0)*SUMIFS('Regional split'!$F$4:$F$6,'Regional split'!$B$4:$B$6,Y$3)*SUMIFS('Data manipulation'!$V$39:$V$42,'Data manipulation'!$X$39:$X$42,$E12,'Data manipulation'!$Y$39:$Y$42,$D12)</f>
        <v>17.140031999999998</v>
      </c>
      <c r="Z12" s="270">
        <f>_xlfn.IFNA(INDEX('Data manipulation'!$C$23:$O$39,MATCH($V12,'Data manipulation'!$B$23:$B$39,0),MATCH($X12,'Data manipulation'!$C$22:$O$22,0))/1000,0)*SUMIFS('Regional split'!$F$4:$F$6,'Regional split'!$B$4:$B$6,Z$3)*SUMIFS('Data manipulation'!$V$39:$V$42,'Data manipulation'!$X$39:$X$42,$E12,'Data manipulation'!$Y$39:$Y$42,$D12)</f>
        <v>0</v>
      </c>
      <c r="AA12" s="456">
        <f>_xlfn.IFNA(INDEX('Data manipulation'!$C$23:$O$39,MATCH($V12,'Data manipulation'!$B$23:$B$39,0),MATCH($X12,'Data manipulation'!$C$22:$O$22,0))/1000,0)*SUMIFS('Regional split'!$F$4:$F$6,'Regional split'!$B$4:$B$6,AA$3)*SUMIFS('Data manipulation'!$V$39:$V$42,'Data manipulation'!$X$39:$X$42,$E12,'Data manipulation'!$Y$39:$Y$42,$D12)</f>
        <v>0</v>
      </c>
      <c r="AB12" s="445">
        <f t="shared" si="6"/>
        <v>17.140031999999998</v>
      </c>
      <c r="AC12" s="251">
        <f t="shared" si="0"/>
        <v>0</v>
      </c>
      <c r="AD12" s="446">
        <f t="shared" si="1"/>
        <v>0</v>
      </c>
      <c r="BA12" s="252"/>
    </row>
    <row r="13" spans="2:53" ht="15" customHeight="1">
      <c r="B13" s="233" t="str">
        <f>Processes!D60</f>
        <v>RHTUDELCHE2</v>
      </c>
      <c r="C13" s="233" t="str">
        <f>Processes!E60</f>
        <v>Residential Heating Technology Urban Detached - Electricity Heating - Existing 2</v>
      </c>
      <c r="D13" s="233" t="s">
        <v>734</v>
      </c>
      <c r="E13" s="233" t="s">
        <v>116</v>
      </c>
      <c r="F13" s="230" t="str">
        <f>Commodities!$C$28</f>
        <v>RESELCH</v>
      </c>
      <c r="G13" s="230" t="str">
        <f>Commodities!$C$42</f>
        <v>RESHUDB</v>
      </c>
      <c r="H13" s="230">
        <v>2010</v>
      </c>
      <c r="I13" s="250">
        <f t="shared" si="2"/>
        <v>5936.5</v>
      </c>
      <c r="J13" s="250">
        <f t="shared" si="3"/>
        <v>0</v>
      </c>
      <c r="K13" s="250">
        <f t="shared" si="4"/>
        <v>0</v>
      </c>
      <c r="L13" s="462">
        <v>2.3149999999999999</v>
      </c>
      <c r="M13" s="462">
        <v>2.3149999999999999</v>
      </c>
      <c r="N13" s="462">
        <v>2.3149999999999999</v>
      </c>
      <c r="O13" s="244">
        <f t="shared" si="7"/>
        <v>3.1536000000000002E-2</v>
      </c>
      <c r="P13" s="460">
        <v>0.2</v>
      </c>
      <c r="Q13" s="245">
        <v>30</v>
      </c>
      <c r="R13" s="227">
        <v>2</v>
      </c>
      <c r="T13" s="268">
        <f t="shared" si="5"/>
        <v>16.17394937365011</v>
      </c>
      <c r="U13" s="268"/>
      <c r="V13" s="602" t="str">
        <f>'Data manipulation'!$B$30</f>
        <v>Ambient heat (heat pumps)</v>
      </c>
      <c r="W13" s="254" t="s">
        <v>190</v>
      </c>
      <c r="X13" s="246">
        <v>2010</v>
      </c>
      <c r="Y13" s="434">
        <f>_xlfn.IFNA(INDEX('Data manipulation'!$C$23:$O$39,MATCH($V13,'Data manipulation'!$B$23:$B$39,0),MATCH($X13,'Data manipulation'!$C$22:$O$22,0))/1000,0)*SUMIFS('Regional split'!$F$4:$F$6,'Regional split'!$B$4:$B$6,Y$3)*SUMIFS('Data manipulation'!$V$39:$V$42,'Data manipulation'!$X$39:$X$42,$E13,'Data manipulation'!$Y$39:$Y$42,$D13)</f>
        <v>8.0869508999999997</v>
      </c>
      <c r="Z13" s="270">
        <f>_xlfn.IFNA(INDEX('Data manipulation'!$C$23:$O$39,MATCH($V13,'Data manipulation'!$B$23:$B$39,0),MATCH($X13,'Data manipulation'!$C$22:$O$22,0))/1000,0)*SUMIFS('Regional split'!$F$4:$F$6,'Regional split'!$B$4:$B$6,Z$3)*SUMIFS('Data manipulation'!$V$39:$V$42,'Data manipulation'!$X$39:$X$42,$E13,'Data manipulation'!$Y$39:$Y$42,$D13)</f>
        <v>0</v>
      </c>
      <c r="AA13" s="456">
        <f>_xlfn.IFNA(INDEX('Data manipulation'!$C$23:$O$39,MATCH($V13,'Data manipulation'!$B$23:$B$39,0),MATCH($X13,'Data manipulation'!$C$22:$O$22,0))/1000,0)*SUMIFS('Regional split'!$F$4:$F$6,'Regional split'!$B$4:$B$6,AA$3)*SUMIFS('Data manipulation'!$V$39:$V$42,'Data manipulation'!$X$39:$X$42,$E13,'Data manipulation'!$Y$39:$Y$42,$D13)</f>
        <v>0</v>
      </c>
      <c r="AB13" s="445">
        <f t="shared" si="6"/>
        <v>18.721291333499998</v>
      </c>
      <c r="AC13" s="251">
        <f t="shared" si="0"/>
        <v>0</v>
      </c>
      <c r="AD13" s="446">
        <f t="shared" si="1"/>
        <v>0</v>
      </c>
      <c r="BA13" s="253"/>
    </row>
    <row r="14" spans="2:53" ht="14.4">
      <c r="B14" s="233" t="str">
        <f>Processes!D61</f>
        <v>RHTUDHCEE1</v>
      </c>
      <c r="C14" s="233" t="str">
        <f>Processes!E61</f>
        <v>Residential Heating Technology Urban Detached - District heating Central - Existing 1</v>
      </c>
      <c r="D14" s="233" t="s">
        <v>734</v>
      </c>
      <c r="E14" s="233" t="s">
        <v>116</v>
      </c>
      <c r="F14" s="230" t="str">
        <f>Commodities!$C$33</f>
        <v>RESHCE</v>
      </c>
      <c r="G14" s="230" t="str">
        <f>Commodities!$C$38</f>
        <v>RESHUDX</v>
      </c>
      <c r="H14" s="230">
        <v>2010</v>
      </c>
      <c r="I14" s="250">
        <f t="shared" si="2"/>
        <v>22396.399999999998</v>
      </c>
      <c r="J14" s="572">
        <v>0</v>
      </c>
      <c r="K14" s="572">
        <v>0</v>
      </c>
      <c r="L14" s="462">
        <v>0.95</v>
      </c>
      <c r="M14" s="462">
        <v>0.95</v>
      </c>
      <c r="N14" s="462">
        <v>0.95</v>
      </c>
      <c r="O14" s="244">
        <f t="shared" si="7"/>
        <v>3.1536000000000002E-2</v>
      </c>
      <c r="P14" s="460">
        <v>0.2</v>
      </c>
      <c r="Q14" s="245">
        <v>30</v>
      </c>
      <c r="R14" s="227">
        <v>2</v>
      </c>
      <c r="T14" s="268">
        <f t="shared" si="5"/>
        <v>148.69323587368422</v>
      </c>
      <c r="U14" s="268"/>
      <c r="V14" s="602" t="str">
        <f>'Data manipulation'!$B$34</f>
        <v>Heat</v>
      </c>
      <c r="W14" s="254" t="s">
        <v>191</v>
      </c>
      <c r="X14" s="246">
        <v>2010</v>
      </c>
      <c r="Y14" s="434">
        <f>_xlfn.IFNA(INDEX('Data manipulation'!$C$23:$O$39,MATCH($V14,'Data manipulation'!$B$23:$B$39,0),MATCH($X14,'Data manipulation'!$C$22:$O$22,0))/1000,0)*SUMIFS('Regional split'!$F$4:$F$6,'Regional split'!$B$4:$B$6,Y$3)*SUMIFS('Data manipulation'!$V$39:$V$42,'Data manipulation'!$X$39:$X$42,$E14,'Data manipulation'!$Y$39:$Y$42,$D14)</f>
        <v>74.346609540000003</v>
      </c>
      <c r="Z14" s="270">
        <f>_xlfn.IFNA(INDEX('Data manipulation'!$C$23:$O$39,MATCH($V14,'Data manipulation'!$B$23:$B$39,0),MATCH($X14,'Data manipulation'!$C$22:$O$22,0))/1000,0)*SUMIFS('Regional split'!$F$4:$F$6,'Regional split'!$B$4:$B$6,Z$3)*SUMIFS('Data manipulation'!$V$39:$V$42,'Data manipulation'!$X$39:$X$42,$E14,'Data manipulation'!$Y$39:$Y$42,$D14)</f>
        <v>0</v>
      </c>
      <c r="AA14" s="456">
        <f>_xlfn.IFNA(INDEX('Data manipulation'!$C$23:$O$39,MATCH($V14,'Data manipulation'!$B$23:$B$39,0),MATCH($X14,'Data manipulation'!$C$22:$O$22,0))/1000,0)*SUMIFS('Regional split'!$F$4:$F$6,'Regional split'!$B$4:$B$6,AA$3)*SUMIFS('Data manipulation'!$V$39:$V$42,'Data manipulation'!$X$39:$X$42,$E14,'Data manipulation'!$Y$39:$Y$42,$D14)</f>
        <v>0</v>
      </c>
      <c r="AB14" s="445">
        <f t="shared" si="6"/>
        <v>70.629279062999998</v>
      </c>
      <c r="AC14" s="251">
        <f t="shared" si="0"/>
        <v>0</v>
      </c>
      <c r="AD14" s="446">
        <f t="shared" si="1"/>
        <v>0</v>
      </c>
      <c r="BA14" s="252"/>
    </row>
    <row r="15" spans="2:53" ht="15" customHeight="1" thickBot="1">
      <c r="B15" s="255" t="str">
        <f>Processes!D62</f>
        <v>RHTUDLPGE1</v>
      </c>
      <c r="C15" s="255" t="str">
        <f>Processes!E62</f>
        <v>Residential Heating Technology Urban Detached - LPG - Existing 1</v>
      </c>
      <c r="D15" s="535" t="s">
        <v>734</v>
      </c>
      <c r="E15" s="535" t="s">
        <v>116</v>
      </c>
      <c r="F15" s="256" t="str">
        <f>Commodities!$C$20</f>
        <v>RESLPG</v>
      </c>
      <c r="G15" s="256" t="str">
        <f>G13</f>
        <v>RESHUDB</v>
      </c>
      <c r="H15" s="423">
        <v>2010</v>
      </c>
      <c r="I15" s="297">
        <f t="shared" ref="I15" si="8">ROUNDUP(AB15/($O15*$P15)*$R15,1)</f>
        <v>0</v>
      </c>
      <c r="J15" s="297">
        <f t="shared" ref="J15" si="9">ROUNDUP(AC15/($O15*$P15)*$R15,1)</f>
        <v>0</v>
      </c>
      <c r="K15" s="297">
        <f t="shared" ref="K15" si="10">ROUNDUP(AD15/($O15*$P15)*$R15,1)</f>
        <v>0</v>
      </c>
      <c r="L15" s="463">
        <v>0.95</v>
      </c>
      <c r="M15" s="463">
        <v>0.95</v>
      </c>
      <c r="N15" s="463">
        <v>0.95</v>
      </c>
      <c r="O15" s="257">
        <f t="shared" si="7"/>
        <v>3.1536000000000002E-2</v>
      </c>
      <c r="P15" s="460">
        <v>0.2</v>
      </c>
      <c r="Q15" s="258">
        <v>30</v>
      </c>
      <c r="R15" s="227">
        <v>2</v>
      </c>
      <c r="T15" s="268">
        <f t="shared" si="5"/>
        <v>0</v>
      </c>
      <c r="U15" s="268"/>
      <c r="V15" s="602" t="s">
        <v>790</v>
      </c>
      <c r="W15" s="428" t="s">
        <v>790</v>
      </c>
      <c r="X15" s="431">
        <v>2010</v>
      </c>
      <c r="Y15" s="435">
        <f>_xlfn.IFNA(INDEX('Data manipulation'!$C$23:$O$39,MATCH($V15,'Data manipulation'!$B$23:$B$39,0),MATCH($X15,'Data manipulation'!$C$22:$O$22,0))/1000,0)*SUMIFS('Regional split'!$F$4:$F$6,'Regional split'!$B$4:$B$6,Y$3)*SUMIFS('Data manipulation'!$V$39:$V$42,'Data manipulation'!$X$39:$X$42,$E15,'Data manipulation'!$Y$39:$Y$42,$D15)</f>
        <v>0</v>
      </c>
      <c r="Z15" s="432">
        <f>_xlfn.IFNA(INDEX('Data manipulation'!$C$23:$O$39,MATCH($V15,'Data manipulation'!$B$23:$B$39,0),MATCH($X15,'Data manipulation'!$C$22:$O$22,0))/1000,0)*SUMIFS('Regional split'!$F$4:$F$6,'Regional split'!$B$4:$B$6,Z$3)*SUMIFS('Data manipulation'!$V$39:$V$42,'Data manipulation'!$X$39:$X$42,$E15,'Data manipulation'!$Y$39:$Y$42,$D15)</f>
        <v>0</v>
      </c>
      <c r="AA15" s="457">
        <f>_xlfn.IFNA(INDEX('Data manipulation'!$C$23:$O$39,MATCH($V15,'Data manipulation'!$B$23:$B$39,0),MATCH($X15,'Data manipulation'!$C$22:$O$22,0))/1000,0)*SUMIFS('Regional split'!$F$4:$F$6,'Regional split'!$B$4:$B$6,AA$3)*SUMIFS('Data manipulation'!$V$39:$V$42,'Data manipulation'!$X$39:$X$42,$E15,'Data manipulation'!$Y$39:$Y$42,$D15)</f>
        <v>0</v>
      </c>
      <c r="AB15" s="447">
        <f t="shared" si="6"/>
        <v>0</v>
      </c>
      <c r="AC15" s="277">
        <f t="shared" si="0"/>
        <v>0</v>
      </c>
      <c r="AD15" s="448">
        <f t="shared" si="1"/>
        <v>0</v>
      </c>
      <c r="BA15" s="252"/>
    </row>
    <row r="16" spans="2:53" ht="15" customHeight="1">
      <c r="B16" s="233" t="str">
        <f>Processes!D63</f>
        <v>RHTRDNGAE1</v>
      </c>
      <c r="C16" s="233" t="str">
        <f>Processes!E63</f>
        <v>Residential Heating Technology Rural Detached - Natural Gas - Existing 1</v>
      </c>
      <c r="D16" s="233" t="s">
        <v>735</v>
      </c>
      <c r="E16" s="233" t="s">
        <v>116</v>
      </c>
      <c r="F16" s="230" t="str">
        <f>Commodities!$C$18&amp;","&amp;Commodities!$C$36</f>
        <v>RESNGA,RESSNG</v>
      </c>
      <c r="G16" s="259" t="str">
        <f>Commodities!$C$43</f>
        <v>RESHRDB</v>
      </c>
      <c r="H16" s="259">
        <v>2010</v>
      </c>
      <c r="I16" s="250">
        <f>ROUNDUP(AB16/($O16*$P16)*$R16,1)</f>
        <v>70076.800000000003</v>
      </c>
      <c r="J16" s="250">
        <f>ROUNDUP(AC16/($O16*$P16)*$R16,1)</f>
        <v>0</v>
      </c>
      <c r="K16" s="250">
        <f>ROUNDUP(AD16/($O16*$P16)*$R16,1)</f>
        <v>0</v>
      </c>
      <c r="L16" s="462">
        <v>0.79</v>
      </c>
      <c r="M16" s="462">
        <v>0.79</v>
      </c>
      <c r="N16" s="462">
        <v>0.79</v>
      </c>
      <c r="O16" s="244">
        <f t="shared" si="7"/>
        <v>3.1536000000000002E-2</v>
      </c>
      <c r="P16" s="460">
        <v>0.2</v>
      </c>
      <c r="Q16" s="245">
        <v>25</v>
      </c>
      <c r="R16" s="227">
        <v>2</v>
      </c>
      <c r="T16" s="268">
        <f t="shared" si="5"/>
        <v>559.47897843037981</v>
      </c>
      <c r="U16" s="268"/>
      <c r="V16" s="602" t="str">
        <f>'Data manipulation'!$B$36</f>
        <v>Natural gas, biogas and LNG</v>
      </c>
      <c r="W16" s="246" t="s">
        <v>187</v>
      </c>
      <c r="X16" s="246">
        <v>2010</v>
      </c>
      <c r="Y16" s="434">
        <f>_xlfn.IFNA(INDEX('Data manipulation'!$C$23:$O$39,MATCH($V16,'Data manipulation'!$B$23:$B$39,0),MATCH($X16,'Data manipulation'!$C$22:$O$22,0))/1000,0)*SUMIFS('Regional split'!$F$4:$F$6,'Regional split'!$B$4:$B$6,Y$3)*SUMIFS('Data manipulation'!$V$39:$V$42,'Data manipulation'!$X$39:$X$42,$E16,'Data manipulation'!$Y$39:$Y$42,$D16)</f>
        <v>279.73925523499997</v>
      </c>
      <c r="Z16" s="270">
        <f>_xlfn.IFNA(INDEX('Data manipulation'!$C$23:$O$39,MATCH($V16,'Data manipulation'!$B$23:$B$39,0),MATCH($X16,'Data manipulation'!$C$22:$O$22,0))/1000,0)*SUMIFS('Regional split'!$F$4:$F$6,'Regional split'!$B$4:$B$6,Z$3)*SUMIFS('Data manipulation'!$V$39:$V$42,'Data manipulation'!$X$39:$X$42,$E16,'Data manipulation'!$Y$39:$Y$42,$D16)</f>
        <v>0</v>
      </c>
      <c r="AA16" s="456">
        <f>_xlfn.IFNA(INDEX('Data manipulation'!$C$23:$O$39,MATCH($V16,'Data manipulation'!$B$23:$B$39,0),MATCH($X16,'Data manipulation'!$C$22:$O$22,0))/1000,0)*SUMIFS('Regional split'!$F$4:$F$6,'Regional split'!$B$4:$B$6,AA$3)*SUMIFS('Data manipulation'!$V$39:$V$42,'Data manipulation'!$X$39:$X$42,$E16,'Data manipulation'!$Y$39:$Y$42,$D16)</f>
        <v>0</v>
      </c>
      <c r="AB16" s="445">
        <f>Y16*L16</f>
        <v>220.99401163565</v>
      </c>
      <c r="AC16" s="278">
        <f t="shared" si="0"/>
        <v>0</v>
      </c>
      <c r="AD16" s="449">
        <f t="shared" si="1"/>
        <v>0</v>
      </c>
      <c r="BA16" s="252"/>
    </row>
    <row r="17" spans="2:53" ht="15" customHeight="1">
      <c r="B17" s="233" t="str">
        <f>Processes!D64</f>
        <v>RHTRDDSLE1</v>
      </c>
      <c r="C17" s="233" t="str">
        <f>Processes!E64</f>
        <v>Residential Heating Technology Rural Detached - Diesel - Existing 1</v>
      </c>
      <c r="D17" s="233" t="s">
        <v>735</v>
      </c>
      <c r="E17" s="233" t="s">
        <v>116</v>
      </c>
      <c r="F17" s="230" t="str">
        <f>Commodities!$C$21&amp;","&amp;Commodities!$C$37</f>
        <v>RESDSL,RESDSB</v>
      </c>
      <c r="G17" s="259" t="str">
        <f>Commodities!$C$43</f>
        <v>RESHRDB</v>
      </c>
      <c r="H17" s="259">
        <v>2010</v>
      </c>
      <c r="I17" s="250">
        <f t="shared" ref="I17:I23" si="11">ROUNDUP(AB17/($O17*$P17)*$R17,1)</f>
        <v>39788.799999999996</v>
      </c>
      <c r="J17" s="250">
        <f t="shared" ref="J17:J23" si="12">ROUNDUP(AC17/($O17*$P17)*$R17,1)</f>
        <v>0</v>
      </c>
      <c r="K17" s="250">
        <f t="shared" ref="K17:K23" si="13">ROUNDUP(AD17/($O17*$P17)*$R17,1)</f>
        <v>0</v>
      </c>
      <c r="L17" s="462">
        <v>0.79</v>
      </c>
      <c r="M17" s="462">
        <v>0.79</v>
      </c>
      <c r="N17" s="462">
        <v>0.79</v>
      </c>
      <c r="O17" s="244">
        <f t="shared" si="7"/>
        <v>3.1536000000000002E-2</v>
      </c>
      <c r="P17" s="460">
        <v>0.2</v>
      </c>
      <c r="Q17" s="245">
        <v>20</v>
      </c>
      <c r="R17" s="227">
        <v>2</v>
      </c>
      <c r="T17" s="268">
        <f t="shared" si="5"/>
        <v>317.66572070886076</v>
      </c>
      <c r="V17" s="602" t="str">
        <f>'Data manipulation'!$B$35</f>
        <v>Oil products</v>
      </c>
      <c r="W17" s="254" t="s">
        <v>749</v>
      </c>
      <c r="X17" s="246">
        <v>2010</v>
      </c>
      <c r="Y17" s="434">
        <f>_xlfn.IFNA(INDEX('Data manipulation'!$C$23:$O$39,MATCH($V17,'Data manipulation'!$B$23:$B$39,0),MATCH($X17,'Data manipulation'!$C$22:$O$22,0))/1000,0)*SUMIFS('Regional split'!$F$4:$F$6,'Regional split'!$B$4:$B$6,Y$3)*SUMIFS('Data manipulation'!$V$39:$V$42,'Data manipulation'!$X$39:$X$42,$E17,'Data manipulation'!$Y$39:$Y$42,$D17)</f>
        <v>158.832770987</v>
      </c>
      <c r="Z17" s="270">
        <f>_xlfn.IFNA(INDEX('Data manipulation'!$C$23:$O$39,MATCH($V17,'Data manipulation'!$B$23:$B$39,0),MATCH($X17,'Data manipulation'!$C$22:$O$22,0))/1000,0)*SUMIFS('Regional split'!$F$4:$F$6,'Regional split'!$B$4:$B$6,Z$3)*SUMIFS('Data manipulation'!$V$39:$V$42,'Data manipulation'!$X$39:$X$42,$E17,'Data manipulation'!$Y$39:$Y$42,$D17)</f>
        <v>0</v>
      </c>
      <c r="AA17" s="456">
        <f>_xlfn.IFNA(INDEX('Data manipulation'!$C$23:$O$39,MATCH($V17,'Data manipulation'!$B$23:$B$39,0),MATCH($X17,'Data manipulation'!$C$22:$O$22,0))/1000,0)*SUMIFS('Regional split'!$F$4:$F$6,'Regional split'!$B$4:$B$6,AA$3)*SUMIFS('Data manipulation'!$V$39:$V$42,'Data manipulation'!$X$39:$X$42,$E17,'Data manipulation'!$Y$39:$Y$42,$D17)</f>
        <v>0</v>
      </c>
      <c r="AB17" s="445">
        <f t="shared" si="6"/>
        <v>125.47788907973001</v>
      </c>
      <c r="AC17" s="251">
        <f t="shared" si="0"/>
        <v>0</v>
      </c>
      <c r="AD17" s="446">
        <f t="shared" si="1"/>
        <v>0</v>
      </c>
      <c r="AV17" s="260"/>
      <c r="BA17" s="252"/>
    </row>
    <row r="18" spans="2:53" ht="15" customHeight="1">
      <c r="B18" s="233" t="str">
        <f>Processes!D65</f>
        <v>RHTRDWPEE1</v>
      </c>
      <c r="C18" s="233" t="str">
        <f>Processes!E65</f>
        <v>Residential Heating Technology Rural Detached - Wood pellets - Existing 1</v>
      </c>
      <c r="D18" s="233" t="s">
        <v>735</v>
      </c>
      <c r="E18" s="233" t="s">
        <v>116</v>
      </c>
      <c r="F18" s="230" t="str">
        <f>Commodities!$C$23</f>
        <v>RESWPE</v>
      </c>
      <c r="G18" s="259" t="str">
        <f>Commodities!$C$43</f>
        <v>RESHRDB</v>
      </c>
      <c r="H18" s="259">
        <v>2010</v>
      </c>
      <c r="I18" s="250">
        <f t="shared" si="11"/>
        <v>0</v>
      </c>
      <c r="J18" s="250">
        <f t="shared" si="12"/>
        <v>0</v>
      </c>
      <c r="K18" s="250">
        <f t="shared" si="13"/>
        <v>0</v>
      </c>
      <c r="L18" s="462">
        <v>0.67</v>
      </c>
      <c r="M18" s="462">
        <v>0.67</v>
      </c>
      <c r="N18" s="462">
        <v>0.67</v>
      </c>
      <c r="O18" s="244">
        <f>31.536/1000</f>
        <v>3.1536000000000002E-2</v>
      </c>
      <c r="P18" s="460">
        <v>0.2</v>
      </c>
      <c r="Q18" s="245">
        <v>20</v>
      </c>
      <c r="R18" s="227">
        <v>2</v>
      </c>
      <c r="T18" s="268">
        <f t="shared" si="5"/>
        <v>0</v>
      </c>
      <c r="U18" s="268"/>
      <c r="V18" s="602" t="s">
        <v>206</v>
      </c>
      <c r="W18" s="254" t="s">
        <v>896</v>
      </c>
      <c r="X18" s="246">
        <v>2010</v>
      </c>
      <c r="Y18" s="434">
        <f>_xlfn.IFNA(INDEX('Data manipulation'!$C$23:$O$39,MATCH($V18,'Data manipulation'!$B$23:$B$39,0),MATCH($X18,'Data manipulation'!$C$22:$O$22,0))/1000,0)*SUMIFS('Regional split'!$F$4:$F$6,'Regional split'!$B$4:$B$6,Y$3)*SUMIFS('Data manipulation'!$V$39:$V$42,'Data manipulation'!$X$39:$X$42,$E18,'Data manipulation'!$Y$39:$Y$42,$D18)</f>
        <v>0</v>
      </c>
      <c r="Z18" s="270">
        <f>_xlfn.IFNA(INDEX('Data manipulation'!$C$23:$O$39,MATCH($V18,'Data manipulation'!$B$23:$B$39,0),MATCH($X18,'Data manipulation'!$C$22:$O$22,0))/1000,0)*SUMIFS('Regional split'!$F$4:$F$6,'Regional split'!$B$4:$B$6,Z$3)*SUMIFS('Data manipulation'!$V$39:$V$42,'Data manipulation'!$X$39:$X$42,$E18,'Data manipulation'!$Y$39:$Y$42,$D18)</f>
        <v>0</v>
      </c>
      <c r="AA18" s="456">
        <f>_xlfn.IFNA(INDEX('Data manipulation'!$C$23:$O$39,MATCH($V18,'Data manipulation'!$B$23:$B$39,0),MATCH($X18,'Data manipulation'!$C$22:$O$22,0))/1000,0)*SUMIFS('Regional split'!$F$4:$F$6,'Regional split'!$B$4:$B$6,AA$3)*SUMIFS('Data manipulation'!$V$39:$V$42,'Data manipulation'!$X$39:$X$42,$E18,'Data manipulation'!$Y$39:$Y$42,$D18)</f>
        <v>0</v>
      </c>
      <c r="AB18" s="445">
        <f t="shared" si="6"/>
        <v>0</v>
      </c>
      <c r="AC18" s="251">
        <f t="shared" si="0"/>
        <v>0</v>
      </c>
      <c r="AD18" s="446">
        <f t="shared" si="1"/>
        <v>0</v>
      </c>
      <c r="AV18" s="260"/>
      <c r="BA18" s="253"/>
    </row>
    <row r="19" spans="2:53" ht="15" customHeight="1">
      <c r="B19" s="233" t="str">
        <f>Processes!D66</f>
        <v>RHTRDFIWE1</v>
      </c>
      <c r="C19" s="233" t="str">
        <f>Processes!E66</f>
        <v>Residential Heating Technology Rural Detached - Fire wood - Existing 1</v>
      </c>
      <c r="D19" s="233" t="s">
        <v>735</v>
      </c>
      <c r="E19" s="233" t="s">
        <v>116</v>
      </c>
      <c r="F19" s="230" t="str">
        <f>Commodities!$C$24</f>
        <v>RESFIW</v>
      </c>
      <c r="G19" s="259" t="str">
        <f>Commodities!$C$43</f>
        <v>RESHRDB</v>
      </c>
      <c r="H19" s="259">
        <v>2010</v>
      </c>
      <c r="I19" s="250">
        <f t="shared" si="11"/>
        <v>18038.699999999997</v>
      </c>
      <c r="J19" s="250">
        <f t="shared" si="12"/>
        <v>0</v>
      </c>
      <c r="K19" s="250">
        <f t="shared" si="13"/>
        <v>0</v>
      </c>
      <c r="L19" s="462">
        <v>0.67</v>
      </c>
      <c r="M19" s="462">
        <v>0.67</v>
      </c>
      <c r="N19" s="462">
        <v>0.67</v>
      </c>
      <c r="O19" s="244">
        <f>31.536/1000</f>
        <v>3.1536000000000002E-2</v>
      </c>
      <c r="P19" s="460">
        <v>0.2</v>
      </c>
      <c r="Q19" s="245">
        <v>20</v>
      </c>
      <c r="R19" s="227">
        <v>2</v>
      </c>
      <c r="T19" s="268">
        <f t="shared" si="5"/>
        <v>169.81147558208951</v>
      </c>
      <c r="U19" s="268"/>
      <c r="V19" s="602" t="str">
        <f>'Data manipulation'!$B$31</f>
        <v>Primary solid biofuels</v>
      </c>
      <c r="W19" s="254" t="s">
        <v>196</v>
      </c>
      <c r="X19" s="246">
        <v>2010</v>
      </c>
      <c r="Y19" s="434">
        <f>_xlfn.IFNA(INDEX('Data manipulation'!$C$23:$O$39,MATCH($V19,'Data manipulation'!$B$23:$B$39,0),MATCH($X19,'Data manipulation'!$C$22:$O$22,0))/1000,0)*SUMIFS('Regional split'!$F$4:$F$6,'Regional split'!$B$4:$B$6,Y$3)*SUMIFS('Data manipulation'!$V$39:$V$42,'Data manipulation'!$X$39:$X$42,$E19,'Data manipulation'!$Y$39:$Y$42,$D19)</f>
        <v>84.905455657000019</v>
      </c>
      <c r="Z19" s="270">
        <f>_xlfn.IFNA(INDEX('Data manipulation'!$C$23:$O$39,MATCH($V19,'Data manipulation'!$B$23:$B$39,0),MATCH($X19,'Data manipulation'!$C$22:$O$22,0))/1000,0)*SUMIFS('Regional split'!$F$4:$F$6,'Regional split'!$B$4:$B$6,Z$3)*SUMIFS('Data manipulation'!$V$39:$V$42,'Data manipulation'!$X$39:$X$42,$E19,'Data manipulation'!$Y$39:$Y$42,$D19)</f>
        <v>0</v>
      </c>
      <c r="AA19" s="456">
        <f>_xlfn.IFNA(INDEX('Data manipulation'!$C$23:$O$39,MATCH($V19,'Data manipulation'!$B$23:$B$39,0),MATCH($X19,'Data manipulation'!$C$22:$O$22,0))/1000,0)*SUMIFS('Regional split'!$F$4:$F$6,'Regional split'!$B$4:$B$6,AA$3)*SUMIFS('Data manipulation'!$V$39:$V$42,'Data manipulation'!$X$39:$X$42,$E19,'Data manipulation'!$Y$39:$Y$42,$D19)</f>
        <v>0</v>
      </c>
      <c r="AB19" s="445">
        <f t="shared" si="6"/>
        <v>56.886655290190014</v>
      </c>
      <c r="AC19" s="251">
        <f t="shared" si="0"/>
        <v>0</v>
      </c>
      <c r="AD19" s="446">
        <f t="shared" si="1"/>
        <v>0</v>
      </c>
      <c r="AV19" s="260"/>
      <c r="BA19" s="253"/>
    </row>
    <row r="20" spans="2:53" ht="15" customHeight="1">
      <c r="B20" s="233" t="str">
        <f>Processes!D67</f>
        <v>RHTRDCOAE1</v>
      </c>
      <c r="C20" s="233" t="str">
        <f>Processes!E67</f>
        <v>Residential Heating Technology Rural Detached - Coal - Existing 1</v>
      </c>
      <c r="D20" s="233" t="s">
        <v>735</v>
      </c>
      <c r="E20" s="233" t="s">
        <v>116</v>
      </c>
      <c r="F20" s="230" t="str">
        <f>Commodities!$C$25</f>
        <v>RESCOA</v>
      </c>
      <c r="G20" s="259" t="str">
        <f>Commodities!$C$43</f>
        <v>RESHRDB</v>
      </c>
      <c r="H20" s="259">
        <v>2010</v>
      </c>
      <c r="I20" s="250">
        <f t="shared" si="11"/>
        <v>3025.2999999999997</v>
      </c>
      <c r="J20" s="250">
        <f t="shared" si="12"/>
        <v>0</v>
      </c>
      <c r="K20" s="250">
        <f t="shared" si="13"/>
        <v>0</v>
      </c>
      <c r="L20" s="462">
        <v>0.72</v>
      </c>
      <c r="M20" s="462">
        <v>0.72</v>
      </c>
      <c r="N20" s="462">
        <v>0.72</v>
      </c>
      <c r="O20" s="244">
        <f t="shared" si="7"/>
        <v>3.1536000000000002E-2</v>
      </c>
      <c r="P20" s="460">
        <v>0.2</v>
      </c>
      <c r="Q20" s="245">
        <v>20</v>
      </c>
      <c r="R20" s="227">
        <v>2</v>
      </c>
      <c r="T20" s="268">
        <f t="shared" si="5"/>
        <v>26.501628000000004</v>
      </c>
      <c r="U20" s="268"/>
      <c r="V20" s="602" t="str">
        <f>'Data manipulation'!$B$23</f>
        <v>Solid fossil fuels, peat, peat products, oil shale and oil sands</v>
      </c>
      <c r="W20" s="254" t="s">
        <v>893</v>
      </c>
      <c r="X20" s="246">
        <v>2010</v>
      </c>
      <c r="Y20" s="434">
        <f>_xlfn.IFNA(INDEX('Data manipulation'!$C$23:$O$39,MATCH($V20,'Data manipulation'!$B$23:$B$39,0),MATCH($X20,'Data manipulation'!$C$22:$O$22,0))/1000,0)*SUMIFS('Regional split'!$F$4:$F$6,'Regional split'!$B$4:$B$6,Y$3)*SUMIFS('Data manipulation'!$V$39:$V$42,'Data manipulation'!$X$39:$X$42,$E20,'Data manipulation'!$Y$39:$Y$42,$D20)</f>
        <v>13.250571597999999</v>
      </c>
      <c r="Z20" s="270">
        <f>_xlfn.IFNA(INDEX('Data manipulation'!$C$23:$O$39,MATCH($V20,'Data manipulation'!$B$23:$B$39,0),MATCH($X20,'Data manipulation'!$C$22:$O$22,0))/1000,0)*SUMIFS('Regional split'!$F$4:$F$6,'Regional split'!$B$4:$B$6,Z$3)*SUMIFS('Data manipulation'!$V$39:$V$42,'Data manipulation'!$X$39:$X$42,$E20,'Data manipulation'!$Y$39:$Y$42,$D20)</f>
        <v>0</v>
      </c>
      <c r="AA20" s="456">
        <f>_xlfn.IFNA(INDEX('Data manipulation'!$C$23:$O$39,MATCH($V20,'Data manipulation'!$B$23:$B$39,0),MATCH($X20,'Data manipulation'!$C$22:$O$22,0))/1000,0)*SUMIFS('Regional split'!$F$4:$F$6,'Regional split'!$B$4:$B$6,AA$3)*SUMIFS('Data manipulation'!$V$39:$V$42,'Data manipulation'!$X$39:$X$42,$E20,'Data manipulation'!$Y$39:$Y$42,$D20)</f>
        <v>0</v>
      </c>
      <c r="AB20" s="445">
        <f t="shared" si="6"/>
        <v>9.5404115505599982</v>
      </c>
      <c r="AC20" s="251">
        <f t="shared" si="0"/>
        <v>0</v>
      </c>
      <c r="AD20" s="446">
        <f t="shared" si="1"/>
        <v>0</v>
      </c>
      <c r="AV20" s="260"/>
      <c r="BA20" s="252"/>
    </row>
    <row r="21" spans="2:53" ht="15" customHeight="1">
      <c r="B21" s="233" t="str">
        <f>Processes!D68</f>
        <v>RHTRDSOLE1</v>
      </c>
      <c r="C21" s="233" t="str">
        <f>Processes!E68</f>
        <v>Residential Heating Technology Rural Detached - Solar - Existing 1</v>
      </c>
      <c r="D21" s="233" t="s">
        <v>735</v>
      </c>
      <c r="E21" s="233" t="s">
        <v>116</v>
      </c>
      <c r="F21" s="230" t="str">
        <f>Commodities!$C$27</f>
        <v>RESSOL</v>
      </c>
      <c r="G21" s="259" t="str">
        <f>Commodities!$C$43</f>
        <v>RESHRDB</v>
      </c>
      <c r="H21" s="259">
        <v>2010</v>
      </c>
      <c r="I21" s="250">
        <f t="shared" si="11"/>
        <v>256.3</v>
      </c>
      <c r="J21" s="250">
        <f t="shared" si="12"/>
        <v>0</v>
      </c>
      <c r="K21" s="250">
        <f t="shared" si="13"/>
        <v>0</v>
      </c>
      <c r="L21" s="462">
        <v>1</v>
      </c>
      <c r="M21" s="462">
        <v>1</v>
      </c>
      <c r="N21" s="462">
        <v>1</v>
      </c>
      <c r="O21" s="244">
        <f t="shared" si="7"/>
        <v>3.1536000000000002E-2</v>
      </c>
      <c r="P21" s="460">
        <v>0.2</v>
      </c>
      <c r="Q21" s="245">
        <v>20</v>
      </c>
      <c r="R21" s="227">
        <v>2</v>
      </c>
      <c r="T21" s="268">
        <f t="shared" si="5"/>
        <v>1.6165353600000003</v>
      </c>
      <c r="U21" s="268"/>
      <c r="V21" s="602" t="str">
        <f>'Data manipulation'!$B$29</f>
        <v>Solar thermal</v>
      </c>
      <c r="W21" s="254" t="s">
        <v>188</v>
      </c>
      <c r="X21" s="246">
        <v>2010</v>
      </c>
      <c r="Y21" s="434">
        <f>_xlfn.IFNA(INDEX('Data manipulation'!$C$23:$O$39,MATCH($V21,'Data manipulation'!$B$23:$B$39,0),MATCH($X21,'Data manipulation'!$C$22:$O$22,0))/1000,0)*SUMIFS('Regional split'!$F$4:$F$6,'Regional split'!$B$4:$B$6,Y$3)*SUMIFS('Data manipulation'!$V$39:$V$42,'Data manipulation'!$X$39:$X$42,$E21,'Data manipulation'!$Y$39:$Y$42,$D21)</f>
        <v>0.80814949599999997</v>
      </c>
      <c r="Z21" s="270">
        <f>_xlfn.IFNA(INDEX('Data manipulation'!$C$23:$O$39,MATCH($V21,'Data manipulation'!$B$23:$B$39,0),MATCH($X21,'Data manipulation'!$C$22:$O$22,0))/1000,0)*SUMIFS('Regional split'!$F$4:$F$6,'Regional split'!$B$4:$B$6,Z$3)*SUMIFS('Data manipulation'!$V$39:$V$42,'Data manipulation'!$X$39:$X$42,$E21,'Data manipulation'!$Y$39:$Y$42,$D21)</f>
        <v>0</v>
      </c>
      <c r="AA21" s="456">
        <f>_xlfn.IFNA(INDEX('Data manipulation'!$C$23:$O$39,MATCH($V21,'Data manipulation'!$B$23:$B$39,0),MATCH($X21,'Data manipulation'!$C$22:$O$22,0))/1000,0)*SUMIFS('Regional split'!$F$4:$F$6,'Regional split'!$B$4:$B$6,AA$3)*SUMIFS('Data manipulation'!$V$39:$V$42,'Data manipulation'!$X$39:$X$42,$E21,'Data manipulation'!$Y$39:$Y$42,$D21)</f>
        <v>0</v>
      </c>
      <c r="AB21" s="445">
        <f t="shared" si="6"/>
        <v>0.80814949599999997</v>
      </c>
      <c r="AC21" s="251">
        <f t="shared" si="0"/>
        <v>0</v>
      </c>
      <c r="AD21" s="446">
        <f t="shared" si="1"/>
        <v>0</v>
      </c>
      <c r="AV21" s="260"/>
      <c r="BA21" s="252"/>
    </row>
    <row r="22" spans="2:53" ht="15" customHeight="1">
      <c r="B22" s="233" t="str">
        <f>Processes!D69</f>
        <v>RHTRDELCHE1</v>
      </c>
      <c r="C22" s="233" t="str">
        <f>Processes!E69</f>
        <v>Residential Heating Technology Rural Detached - Electricity Heating - Existing 1</v>
      </c>
      <c r="D22" s="233" t="s">
        <v>735</v>
      </c>
      <c r="E22" s="233" t="s">
        <v>116</v>
      </c>
      <c r="F22" s="230" t="str">
        <f>Commodities!$C$28</f>
        <v>RESELCH</v>
      </c>
      <c r="G22" s="259" t="str">
        <f>Commodities!$C$43</f>
        <v>RESHRDB</v>
      </c>
      <c r="H22" s="259">
        <v>2010</v>
      </c>
      <c r="I22" s="250">
        <f t="shared" si="11"/>
        <v>4128.1000000000004</v>
      </c>
      <c r="J22" s="250">
        <f t="shared" si="12"/>
        <v>0</v>
      </c>
      <c r="K22" s="250">
        <f t="shared" si="13"/>
        <v>0</v>
      </c>
      <c r="L22" s="462">
        <v>1</v>
      </c>
      <c r="M22" s="462">
        <v>1</v>
      </c>
      <c r="N22" s="462">
        <v>1</v>
      </c>
      <c r="O22" s="244">
        <f t="shared" si="7"/>
        <v>3.1536000000000002E-2</v>
      </c>
      <c r="P22" s="460">
        <v>0.2</v>
      </c>
      <c r="Q22" s="245">
        <v>30</v>
      </c>
      <c r="R22" s="227">
        <v>2</v>
      </c>
      <c r="T22" s="268">
        <f t="shared" si="5"/>
        <v>26.036752320000005</v>
      </c>
      <c r="U22" s="268"/>
      <c r="V22" s="602" t="str">
        <f>'Data manipulation'!$B$33</f>
        <v>Electricity</v>
      </c>
      <c r="W22" s="254" t="s">
        <v>189</v>
      </c>
      <c r="X22" s="246">
        <v>2010</v>
      </c>
      <c r="Y22" s="434">
        <f>_xlfn.IFNA(INDEX('Data manipulation'!$C$23:$O$39,MATCH($V22,'Data manipulation'!$B$23:$B$39,0),MATCH($X22,'Data manipulation'!$C$22:$O$22,0))/1000,0)*SUMIFS('Regional split'!$F$4:$F$6,'Regional split'!$B$4:$B$6,Y$3)*SUMIFS('Data manipulation'!$V$39:$V$42,'Data manipulation'!$X$39:$X$42,$E22,'Data manipulation'!$Y$39:$Y$42,$D22)</f>
        <v>13.018262399999999</v>
      </c>
      <c r="Z22" s="270">
        <f>_xlfn.IFNA(INDEX('Data manipulation'!$C$23:$O$39,MATCH($V22,'Data manipulation'!$B$23:$B$39,0),MATCH($X22,'Data manipulation'!$C$22:$O$22,0))/1000,0)*SUMIFS('Regional split'!$F$4:$F$6,'Regional split'!$B$4:$B$6,Z$3)*SUMIFS('Data manipulation'!$V$39:$V$42,'Data manipulation'!$X$39:$X$42,$E22,'Data manipulation'!$Y$39:$Y$42,$D22)</f>
        <v>0</v>
      </c>
      <c r="AA22" s="456">
        <f>_xlfn.IFNA(INDEX('Data manipulation'!$C$23:$O$39,MATCH($V22,'Data manipulation'!$B$23:$B$39,0),MATCH($X22,'Data manipulation'!$C$22:$O$22,0))/1000,0)*SUMIFS('Regional split'!$F$4:$F$6,'Regional split'!$B$4:$B$6,AA$3)*SUMIFS('Data manipulation'!$V$39:$V$42,'Data manipulation'!$X$39:$X$42,$E22,'Data manipulation'!$Y$39:$Y$42,$D22)</f>
        <v>0</v>
      </c>
      <c r="AB22" s="445">
        <f t="shared" si="6"/>
        <v>13.018262399999999</v>
      </c>
      <c r="AC22" s="251">
        <f t="shared" si="0"/>
        <v>0</v>
      </c>
      <c r="AD22" s="446">
        <f t="shared" si="1"/>
        <v>0</v>
      </c>
      <c r="AV22" s="260"/>
      <c r="BA22" s="252"/>
    </row>
    <row r="23" spans="2:53" ht="15" customHeight="1">
      <c r="B23" s="233" t="str">
        <f>Processes!D70</f>
        <v>RHTRDELCHE2</v>
      </c>
      <c r="C23" s="233" t="str">
        <f>Processes!E70</f>
        <v>Residential Heating Technology Rural Detached - Electricity Heating - Existing 2</v>
      </c>
      <c r="D23" s="233" t="s">
        <v>735</v>
      </c>
      <c r="E23" s="233" t="s">
        <v>116</v>
      </c>
      <c r="F23" s="230" t="str">
        <f>Commodities!$C$28</f>
        <v>RESELCH</v>
      </c>
      <c r="G23" s="259" t="str">
        <f>Commodities!$C$43</f>
        <v>RESHRDB</v>
      </c>
      <c r="H23" s="259">
        <v>2010</v>
      </c>
      <c r="I23" s="250">
        <f t="shared" si="11"/>
        <v>4508.9000000000005</v>
      </c>
      <c r="J23" s="250">
        <f t="shared" si="12"/>
        <v>0</v>
      </c>
      <c r="K23" s="250">
        <f t="shared" si="13"/>
        <v>0</v>
      </c>
      <c r="L23" s="462">
        <v>2.3149999999999999</v>
      </c>
      <c r="M23" s="462">
        <v>2.3149999999999999</v>
      </c>
      <c r="N23" s="462">
        <v>2.3149999999999999</v>
      </c>
      <c r="O23" s="244">
        <f t="shared" si="7"/>
        <v>3.1536000000000002E-2</v>
      </c>
      <c r="P23" s="460">
        <v>0.2</v>
      </c>
      <c r="Q23" s="245">
        <v>30</v>
      </c>
      <c r="R23" s="227">
        <v>2</v>
      </c>
      <c r="T23" s="268">
        <f t="shared" si="5"/>
        <v>12.284463965442768</v>
      </c>
      <c r="U23" s="268"/>
      <c r="V23" s="602" t="str">
        <f>'Data manipulation'!$B$30</f>
        <v>Ambient heat (heat pumps)</v>
      </c>
      <c r="W23" s="254" t="s">
        <v>190</v>
      </c>
      <c r="X23" s="246">
        <v>2010</v>
      </c>
      <c r="Y23" s="434">
        <f>_xlfn.IFNA(INDEX('Data manipulation'!$C$23:$O$39,MATCH($V23,'Data manipulation'!$B$23:$B$39,0),MATCH($X23,'Data manipulation'!$C$22:$O$22,0))/1000,0)*SUMIFS('Regional split'!$F$4:$F$6,'Regional split'!$B$4:$B$6,Y$3)*SUMIFS('Data manipulation'!$V$39:$V$42,'Data manipulation'!$X$39:$X$42,$E23,'Data manipulation'!$Y$39:$Y$42,$D23)</f>
        <v>6.1422317550000001</v>
      </c>
      <c r="Z23" s="270">
        <f>_xlfn.IFNA(INDEX('Data manipulation'!$C$23:$O$39,MATCH($V23,'Data manipulation'!$B$23:$B$39,0),MATCH($X23,'Data manipulation'!$C$22:$O$22,0))/1000,0)*SUMIFS('Regional split'!$F$4:$F$6,'Regional split'!$B$4:$B$6,Z$3)*SUMIFS('Data manipulation'!$V$39:$V$42,'Data manipulation'!$X$39:$X$42,$E23,'Data manipulation'!$Y$39:$Y$42,$D23)</f>
        <v>0</v>
      </c>
      <c r="AA23" s="456">
        <f>_xlfn.IFNA(INDEX('Data manipulation'!$C$23:$O$39,MATCH($V23,'Data manipulation'!$B$23:$B$39,0),MATCH($X23,'Data manipulation'!$C$22:$O$22,0))/1000,0)*SUMIFS('Regional split'!$F$4:$F$6,'Regional split'!$B$4:$B$6,AA$3)*SUMIFS('Data manipulation'!$V$39:$V$42,'Data manipulation'!$X$39:$X$42,$E23,'Data manipulation'!$Y$39:$Y$42,$D23)</f>
        <v>0</v>
      </c>
      <c r="AB23" s="445">
        <f t="shared" si="6"/>
        <v>14.219266512825</v>
      </c>
      <c r="AC23" s="251">
        <f t="shared" si="0"/>
        <v>0</v>
      </c>
      <c r="AD23" s="446">
        <f t="shared" si="1"/>
        <v>0</v>
      </c>
      <c r="AV23" s="260"/>
      <c r="BA23" s="252"/>
    </row>
    <row r="24" spans="2:53" ht="15" customHeight="1">
      <c r="B24" s="233" t="str">
        <f>Processes!D71</f>
        <v>RHTRDHCEE1</v>
      </c>
      <c r="C24" s="233" t="str">
        <f>Processes!E71</f>
        <v>Residential Heating Technology Rural Detached - District heating Central - Existing 1</v>
      </c>
      <c r="D24" s="233" t="s">
        <v>735</v>
      </c>
      <c r="E24" s="233" t="s">
        <v>116</v>
      </c>
      <c r="F24" s="230" t="str">
        <f>Commodities!$C$35</f>
        <v>RESHDE</v>
      </c>
      <c r="G24" s="261" t="str">
        <f>Commodities!$C$39</f>
        <v>RESHRDX</v>
      </c>
      <c r="H24" s="261">
        <v>2010</v>
      </c>
      <c r="I24" s="572">
        <v>0</v>
      </c>
      <c r="J24" s="572">
        <v>0</v>
      </c>
      <c r="K24" s="572">
        <v>0</v>
      </c>
      <c r="L24" s="462">
        <v>0.98</v>
      </c>
      <c r="M24" s="462">
        <v>0.98</v>
      </c>
      <c r="N24" s="462">
        <v>0.98</v>
      </c>
      <c r="O24" s="244">
        <f t="shared" si="7"/>
        <v>3.1536000000000002E-2</v>
      </c>
      <c r="P24" s="460">
        <v>0.2</v>
      </c>
      <c r="Q24" s="245">
        <v>30</v>
      </c>
      <c r="R24" s="227">
        <v>2</v>
      </c>
      <c r="T24" s="268">
        <f t="shared" si="5"/>
        <v>0</v>
      </c>
      <c r="U24" s="268"/>
      <c r="V24" s="602" t="str">
        <f>'Data manipulation'!$B$34</f>
        <v>Heat</v>
      </c>
      <c r="W24" s="254" t="s">
        <v>191</v>
      </c>
      <c r="X24" s="246">
        <v>2010</v>
      </c>
      <c r="Y24" s="434">
        <f>_xlfn.IFNA(INDEX('Data manipulation'!$C$23:$O$39,MATCH($V24,'Data manipulation'!$B$23:$B$39,0),MATCH($X24,'Data manipulation'!$C$22:$O$22,0))/1000,0)*SUMIFS('Regional split'!$F$4:$F$6,'Regional split'!$B$4:$B$6,Y$3)*SUMIFS('Data manipulation'!$V$39:$V$42,'Data manipulation'!$X$39:$X$42,$E24,'Data manipulation'!$Y$39:$Y$42,$D24)</f>
        <v>56.468020103000001</v>
      </c>
      <c r="Z24" s="270">
        <f>_xlfn.IFNA(INDEX('Data manipulation'!$C$23:$O$39,MATCH($V24,'Data manipulation'!$B$23:$B$39,0),MATCH($X24,'Data manipulation'!$C$22:$O$22,0))/1000,0)*SUMIFS('Regional split'!$F$4:$F$6,'Regional split'!$B$4:$B$6,Z$3)*SUMIFS('Data manipulation'!$V$39:$V$42,'Data manipulation'!$X$39:$X$42,$E24,'Data manipulation'!$Y$39:$Y$42,$D24)</f>
        <v>0</v>
      </c>
      <c r="AA24" s="456">
        <f>_xlfn.IFNA(INDEX('Data manipulation'!$C$23:$O$39,MATCH($V24,'Data manipulation'!$B$23:$B$39,0),MATCH($X24,'Data manipulation'!$C$22:$O$22,0))/1000,0)*SUMIFS('Regional split'!$F$4:$F$6,'Regional split'!$B$4:$B$6,AA$3)*SUMIFS('Data manipulation'!$V$39:$V$42,'Data manipulation'!$X$39:$X$42,$E24,'Data manipulation'!$Y$39:$Y$42,$D24)</f>
        <v>0</v>
      </c>
      <c r="AB24" s="445">
        <f t="shared" si="6"/>
        <v>55.338659700939999</v>
      </c>
      <c r="AC24" s="251">
        <f t="shared" si="0"/>
        <v>0</v>
      </c>
      <c r="AD24" s="446">
        <f t="shared" si="1"/>
        <v>0</v>
      </c>
      <c r="AV24" s="260"/>
      <c r="BA24" s="253"/>
    </row>
    <row r="25" spans="2:53" ht="15" customHeight="1" thickBot="1">
      <c r="B25" s="556" t="str">
        <f>Processes!D72</f>
        <v>RHTRDLPGE1</v>
      </c>
      <c r="C25" s="424" t="str">
        <f>Processes!E72</f>
        <v>Residential Heating Technology Rural Detached - LPG - Existing 1</v>
      </c>
      <c r="D25" s="536" t="s">
        <v>735</v>
      </c>
      <c r="E25" s="536" t="s">
        <v>116</v>
      </c>
      <c r="F25" s="537" t="str">
        <f>F15</f>
        <v>RESLPG</v>
      </c>
      <c r="G25" s="425" t="str">
        <f>G23</f>
        <v>RESHRDB</v>
      </c>
      <c r="H25" s="425">
        <v>2010</v>
      </c>
      <c r="I25" s="297">
        <f t="shared" ref="I25" si="14">ROUNDUP(AB25/($O25*$P25)*$R25,1)</f>
        <v>0</v>
      </c>
      <c r="J25" s="297">
        <f t="shared" ref="J25" si="15">ROUNDUP(AC25/($O25*$P25)*$R25,1)</f>
        <v>0</v>
      </c>
      <c r="K25" s="297">
        <f t="shared" ref="K25" si="16">ROUNDUP(AD25/($O25*$P25)*$R25,1)</f>
        <v>0</v>
      </c>
      <c r="L25" s="464">
        <v>0.98</v>
      </c>
      <c r="M25" s="464">
        <v>0.98</v>
      </c>
      <c r="N25" s="464">
        <v>0.98</v>
      </c>
      <c r="O25" s="426">
        <f t="shared" si="7"/>
        <v>3.1536000000000002E-2</v>
      </c>
      <c r="P25" s="460">
        <v>0.2</v>
      </c>
      <c r="Q25" s="427">
        <v>30</v>
      </c>
      <c r="R25" s="227">
        <v>2</v>
      </c>
      <c r="T25" s="268">
        <f t="shared" si="5"/>
        <v>0</v>
      </c>
      <c r="U25" s="268"/>
      <c r="V25" s="602" t="s">
        <v>790</v>
      </c>
      <c r="W25" s="428" t="s">
        <v>790</v>
      </c>
      <c r="X25" s="428">
        <v>2010</v>
      </c>
      <c r="Y25" s="436">
        <f>_xlfn.IFNA(INDEX('Data manipulation'!$C$23:$O$39,MATCH($V25,'Data manipulation'!$B$23:$B$39,0),MATCH($X25,'Data manipulation'!$C$22:$O$22,0))/1000,0)*SUMIFS('Regional split'!$F$4:$F$6,'Regional split'!$B$4:$B$6,Y$3)*SUMIFS('Data manipulation'!$V$39:$V$42,'Data manipulation'!$X$39:$X$42,$E25,'Data manipulation'!$Y$39:$Y$42,$D25)</f>
        <v>0</v>
      </c>
      <c r="Z25" s="429">
        <f>_xlfn.IFNA(INDEX('Data manipulation'!$C$23:$O$39,MATCH($V25,'Data manipulation'!$B$23:$B$39,0),MATCH($X25,'Data manipulation'!$C$22:$O$22,0))/1000,0)*SUMIFS('Regional split'!$F$4:$F$6,'Regional split'!$B$4:$B$6,Z$3)*SUMIFS('Data manipulation'!$V$39:$V$42,'Data manipulation'!$X$39:$X$42,$E25,'Data manipulation'!$Y$39:$Y$42,$D25)</f>
        <v>0</v>
      </c>
      <c r="AA25" s="458">
        <f>_xlfn.IFNA(INDEX('Data manipulation'!$C$23:$O$39,MATCH($V25,'Data manipulation'!$B$23:$B$39,0),MATCH($X25,'Data manipulation'!$C$22:$O$22,0))/1000,0)*SUMIFS('Regional split'!$F$4:$F$6,'Regional split'!$B$4:$B$6,AA$3)*SUMIFS('Data manipulation'!$V$39:$V$42,'Data manipulation'!$X$39:$X$42,$E25,'Data manipulation'!$Y$39:$Y$42,$D25)</f>
        <v>0</v>
      </c>
      <c r="AB25" s="450">
        <f t="shared" si="6"/>
        <v>0</v>
      </c>
      <c r="AC25" s="430">
        <f t="shared" si="0"/>
        <v>0</v>
      </c>
      <c r="AD25" s="451">
        <f t="shared" si="1"/>
        <v>0</v>
      </c>
      <c r="AV25" s="260"/>
      <c r="BA25" s="252"/>
    </row>
    <row r="26" spans="2:53" ht="15" customHeight="1">
      <c r="B26" s="227" t="str">
        <f>Processes!D73</f>
        <v>RHTUMNGAE1</v>
      </c>
      <c r="C26" s="227" t="str">
        <f>Processes!E73</f>
        <v>Residential Heating Technology Urban Multi - Natural Gas - Existing 1</v>
      </c>
      <c r="D26" s="227" t="s">
        <v>734</v>
      </c>
      <c r="E26" s="227" t="s">
        <v>778</v>
      </c>
      <c r="F26" s="230" t="str">
        <f>Commodities!$C$18&amp;","&amp;Commodities!$C$36</f>
        <v>RESNGA,RESSNG</v>
      </c>
      <c r="G26" s="230" t="str">
        <f>Commodities!$C$44</f>
        <v>RESHUMB</v>
      </c>
      <c r="H26" s="230">
        <v>2010</v>
      </c>
      <c r="I26" s="250">
        <f>ROUNDUP(AB26/($O26*$P26)*$R26,1)</f>
        <v>49452.2</v>
      </c>
      <c r="J26" s="250">
        <f>ROUNDUP(AC26/($O26*$P26)*$R26,1)</f>
        <v>0</v>
      </c>
      <c r="K26" s="250">
        <f>ROUNDUP(AD26/($O26*$P26)*$R26,1)</f>
        <v>0</v>
      </c>
      <c r="L26" s="461">
        <v>0.72</v>
      </c>
      <c r="M26" s="461">
        <v>0.72</v>
      </c>
      <c r="N26" s="461">
        <v>0.72</v>
      </c>
      <c r="O26" s="244">
        <f>31.536/1000</f>
        <v>3.1536000000000002E-2</v>
      </c>
      <c r="P26" s="460">
        <v>0.2</v>
      </c>
      <c r="Q26" s="245">
        <v>22</v>
      </c>
      <c r="R26" s="227">
        <v>2</v>
      </c>
      <c r="T26" s="268">
        <f t="shared" si="5"/>
        <v>433.20127200000007</v>
      </c>
      <c r="U26" s="268"/>
      <c r="V26" s="602" t="str">
        <f>'Data manipulation'!$B$36</f>
        <v>Natural gas, biogas and LNG</v>
      </c>
      <c r="W26" s="246" t="s">
        <v>187</v>
      </c>
      <c r="X26" s="246">
        <v>2010</v>
      </c>
      <c r="Y26" s="437">
        <f>_xlfn.IFNA(INDEX('Data manipulation'!$C$23:$O$39,MATCH($V26,'Data manipulation'!$B$23:$B$39,0),MATCH($X26,'Data manipulation'!$C$22:$O$22,0))/1000,0)*SUMIFS('Regional split'!$F$4:$F$6,'Regional split'!$B$4:$B$6,Y$3)*SUMIFS('Data manipulation'!$V$39:$V$42,'Data manipulation'!$X$39:$X$42,$E26,'Data manipulation'!$Y$39:$Y$42,$D26)</f>
        <v>216.60061455499996</v>
      </c>
      <c r="Z26" s="270">
        <f>_xlfn.IFNA(INDEX('Data manipulation'!$C$23:$O$39,MATCH($V26,'Data manipulation'!$B$23:$B$39,0),MATCH($X26,'Data manipulation'!$C$22:$O$22,0))/1000,0)*SUMIFS('Regional split'!$F$4:$F$6,'Regional split'!$B$4:$B$6,Z$3)*SUMIFS('Data manipulation'!$V$39:$V$42,'Data manipulation'!$X$39:$X$42,$E26,'Data manipulation'!$Y$39:$Y$42,$D26)</f>
        <v>0</v>
      </c>
      <c r="AA26" s="455">
        <f>_xlfn.IFNA(INDEX('Data manipulation'!$C$23:$O$39,MATCH($V26,'Data manipulation'!$B$23:$B$39,0),MATCH($X26,'Data manipulation'!$C$22:$O$22,0))/1000,0)*SUMIFS('Regional split'!$F$4:$F$6,'Regional split'!$B$4:$B$6,AA$3)*SUMIFS('Data manipulation'!$V$39:$V$42,'Data manipulation'!$X$39:$X$42,$E26,'Data manipulation'!$Y$39:$Y$42,$D26)</f>
        <v>0</v>
      </c>
      <c r="AB26" s="443">
        <f t="shared" ref="AB26:AB45" si="17">Y26*L26</f>
        <v>155.95244247959997</v>
      </c>
      <c r="AC26" s="276">
        <f t="shared" ref="AC26:AC45" si="18">Z26*M26</f>
        <v>0</v>
      </c>
      <c r="AD26" s="444">
        <f t="shared" ref="AD26:AD45" si="19">AA26*N26</f>
        <v>0</v>
      </c>
      <c r="AG26" s="247"/>
      <c r="AH26" s="237"/>
      <c r="AI26" s="248"/>
      <c r="AJ26" s="249"/>
      <c r="AK26" s="249"/>
      <c r="AL26" s="237"/>
    </row>
    <row r="27" spans="2:53" ht="15" customHeight="1">
      <c r="B27" s="227" t="str">
        <f>Processes!D74</f>
        <v>RHTUMDSLE1</v>
      </c>
      <c r="C27" s="227" t="str">
        <f>Processes!E74</f>
        <v>Residential Heating Technology Urban Multi - Diesel - Existing 1</v>
      </c>
      <c r="D27" s="227" t="s">
        <v>734</v>
      </c>
      <c r="E27" s="227" t="s">
        <v>778</v>
      </c>
      <c r="F27" s="230" t="str">
        <f>Commodities!$C$21&amp;","&amp;Commodities!$C$37</f>
        <v>RESDSL,RESDSB</v>
      </c>
      <c r="G27" s="230" t="str">
        <f>Commodities!$C$44</f>
        <v>RESHUMB</v>
      </c>
      <c r="H27" s="230">
        <v>2010</v>
      </c>
      <c r="I27" s="250">
        <f t="shared" ref="I27:I34" si="20">ROUNDUP(AB27/($O27*$P27)*$R27,1)</f>
        <v>27688.5</v>
      </c>
      <c r="J27" s="250">
        <f t="shared" ref="J27:J33" si="21">ROUNDUP(AC27/($O27*$P27)*$R27,1)</f>
        <v>0</v>
      </c>
      <c r="K27" s="250">
        <f t="shared" ref="K27:K33" si="22">ROUNDUP(AD27/($O27*$P27)*$R27,1)</f>
        <v>0</v>
      </c>
      <c r="L27" s="462">
        <v>0.71</v>
      </c>
      <c r="M27" s="462">
        <v>0.71</v>
      </c>
      <c r="N27" s="462">
        <v>0.71</v>
      </c>
      <c r="O27" s="244">
        <f>31.536/1000</f>
        <v>3.1536000000000002E-2</v>
      </c>
      <c r="P27" s="460">
        <v>0.2</v>
      </c>
      <c r="Q27" s="245">
        <v>20</v>
      </c>
      <c r="R27" s="227">
        <v>2</v>
      </c>
      <c r="T27" s="268">
        <f t="shared" si="5"/>
        <v>245.96747492957752</v>
      </c>
      <c r="V27" s="602" t="str">
        <f>'Data manipulation'!$B$35</f>
        <v>Oil products</v>
      </c>
      <c r="W27" s="254" t="s">
        <v>749</v>
      </c>
      <c r="X27" s="246">
        <v>2010</v>
      </c>
      <c r="Y27" s="434">
        <f>_xlfn.IFNA(INDEX('Data manipulation'!$C$23:$O$39,MATCH($V27,'Data manipulation'!$B$23:$B$39,0),MATCH($X27,'Data manipulation'!$C$22:$O$22,0))/1000,0)*SUMIFS('Regional split'!$F$4:$F$6,'Regional split'!$B$4:$B$6,Y$3)*SUMIFS('Data manipulation'!$V$39:$V$42,'Data manipulation'!$X$39:$X$42,$E27,'Data manipulation'!$Y$39:$Y$42,$D27)</f>
        <v>122.98336813100001</v>
      </c>
      <c r="Z27" s="270">
        <f>_xlfn.IFNA(INDEX('Data manipulation'!$C$23:$O$39,MATCH($V27,'Data manipulation'!$B$23:$B$39,0),MATCH($X27,'Data manipulation'!$C$22:$O$22,0))/1000,0)*SUMIFS('Regional split'!$F$4:$F$6,'Regional split'!$B$4:$B$6,Z$3)*SUMIFS('Data manipulation'!$V$39:$V$42,'Data manipulation'!$X$39:$X$42,$E27,'Data manipulation'!$Y$39:$Y$42,$D27)</f>
        <v>0</v>
      </c>
      <c r="AA27" s="456">
        <f>_xlfn.IFNA(INDEX('Data manipulation'!$C$23:$O$39,MATCH($V27,'Data manipulation'!$B$23:$B$39,0),MATCH($X27,'Data manipulation'!$C$22:$O$22,0))/1000,0)*SUMIFS('Regional split'!$F$4:$F$6,'Regional split'!$B$4:$B$6,AA$3)*SUMIFS('Data manipulation'!$V$39:$V$42,'Data manipulation'!$X$39:$X$42,$E27,'Data manipulation'!$Y$39:$Y$42,$D27)</f>
        <v>0</v>
      </c>
      <c r="AB27" s="445">
        <f t="shared" si="17"/>
        <v>87.318191373009995</v>
      </c>
      <c r="AC27" s="251">
        <f t="shared" si="18"/>
        <v>0</v>
      </c>
      <c r="AD27" s="446">
        <f t="shared" si="19"/>
        <v>0</v>
      </c>
      <c r="AG27" s="247"/>
      <c r="AH27" s="237"/>
      <c r="AI27" s="248"/>
      <c r="AJ27" s="249"/>
      <c r="AK27" s="249"/>
      <c r="AL27" s="237"/>
      <c r="BA27" s="252"/>
    </row>
    <row r="28" spans="2:53" ht="15" customHeight="1">
      <c r="B28" s="227" t="str">
        <f>Processes!D75</f>
        <v>RHTUMWPEE1</v>
      </c>
      <c r="C28" s="227" t="str">
        <f>Processes!E75</f>
        <v>Residential Heating Technology Urban Multi - Wood pellets - Existing 1</v>
      </c>
      <c r="D28" s="227" t="s">
        <v>734</v>
      </c>
      <c r="E28" s="227" t="s">
        <v>778</v>
      </c>
      <c r="F28" s="230" t="str">
        <f>Commodities!$C$23</f>
        <v>RESWPE</v>
      </c>
      <c r="G28" s="230" t="str">
        <f>Commodities!$C$44</f>
        <v>RESHUMB</v>
      </c>
      <c r="H28" s="230">
        <v>2010</v>
      </c>
      <c r="I28" s="250">
        <f t="shared" si="20"/>
        <v>0</v>
      </c>
      <c r="J28" s="250">
        <f t="shared" si="21"/>
        <v>0</v>
      </c>
      <c r="K28" s="250">
        <f t="shared" si="22"/>
        <v>0</v>
      </c>
      <c r="L28" s="462">
        <v>0.61</v>
      </c>
      <c r="M28" s="462">
        <v>0.61</v>
      </c>
      <c r="N28" s="462">
        <v>0.61</v>
      </c>
      <c r="O28" s="244">
        <f t="shared" ref="O28:O45" si="23">31.536/1000</f>
        <v>3.1536000000000002E-2</v>
      </c>
      <c r="P28" s="460">
        <v>0.2</v>
      </c>
      <c r="Q28" s="245">
        <v>20</v>
      </c>
      <c r="R28" s="227">
        <v>2</v>
      </c>
      <c r="T28" s="268">
        <f t="shared" si="5"/>
        <v>0</v>
      </c>
      <c r="U28" s="268"/>
      <c r="V28" s="602" t="s">
        <v>206</v>
      </c>
      <c r="W28" s="254" t="s">
        <v>896</v>
      </c>
      <c r="X28" s="246">
        <v>2010</v>
      </c>
      <c r="Y28" s="434">
        <f>_xlfn.IFNA(INDEX('Data manipulation'!$C$23:$O$39,MATCH($V28,'Data manipulation'!$B$23:$B$39,0),MATCH($X28,'Data manipulation'!$C$22:$O$22,0))/1000,0)*SUMIFS('Regional split'!$F$4:$F$6,'Regional split'!$B$4:$B$6,Y$3)*SUMIFS('Data manipulation'!$V$39:$V$42,'Data manipulation'!$X$39:$X$42,$E28,'Data manipulation'!$Y$39:$Y$42,$D28)</f>
        <v>0</v>
      </c>
      <c r="Z28" s="270">
        <f>_xlfn.IFNA(INDEX('Data manipulation'!$C$23:$O$39,MATCH($V28,'Data manipulation'!$B$23:$B$39,0),MATCH($X28,'Data manipulation'!$C$22:$O$22,0))/1000,0)*SUMIFS('Regional split'!$F$4:$F$6,'Regional split'!$B$4:$B$6,Z$3)*SUMIFS('Data manipulation'!$V$39:$V$42,'Data manipulation'!$X$39:$X$42,$E28,'Data manipulation'!$Y$39:$Y$42,$D28)</f>
        <v>0</v>
      </c>
      <c r="AA28" s="456">
        <f>_xlfn.IFNA(INDEX('Data manipulation'!$C$23:$O$39,MATCH($V28,'Data manipulation'!$B$23:$B$39,0),MATCH($X28,'Data manipulation'!$C$22:$O$22,0))/1000,0)*SUMIFS('Regional split'!$F$4:$F$6,'Regional split'!$B$4:$B$6,AA$3)*SUMIFS('Data manipulation'!$V$39:$V$42,'Data manipulation'!$X$39:$X$42,$E28,'Data manipulation'!$Y$39:$Y$42,$D28)</f>
        <v>0</v>
      </c>
      <c r="AB28" s="445">
        <f t="shared" si="17"/>
        <v>0</v>
      </c>
      <c r="AC28" s="251">
        <f t="shared" si="18"/>
        <v>0</v>
      </c>
      <c r="AD28" s="446">
        <f t="shared" si="19"/>
        <v>0</v>
      </c>
      <c r="BA28" s="253"/>
    </row>
    <row r="29" spans="2:53" ht="15" customHeight="1">
      <c r="B29" s="227" t="str">
        <f>Processes!D76</f>
        <v>RHTUMFIWE1</v>
      </c>
      <c r="C29" s="227" t="str">
        <f>Processes!E76</f>
        <v>Residential Heating Technology Urban Multi - Fire wood - Existing 1</v>
      </c>
      <c r="D29" s="227" t="s">
        <v>734</v>
      </c>
      <c r="E29" s="227" t="s">
        <v>778</v>
      </c>
      <c r="F29" s="230" t="str">
        <f>Commodities!$C$24</f>
        <v>RESFIW</v>
      </c>
      <c r="G29" s="230" t="str">
        <f>Commodities!$C$44</f>
        <v>RESHUMB</v>
      </c>
      <c r="H29" s="230">
        <v>2010</v>
      </c>
      <c r="I29" s="250">
        <f t="shared" si="20"/>
        <v>13550.300000000001</v>
      </c>
      <c r="J29" s="250">
        <f t="shared" si="21"/>
        <v>0</v>
      </c>
      <c r="K29" s="250">
        <f t="shared" si="22"/>
        <v>0</v>
      </c>
      <c r="L29" s="462">
        <v>0.65000022993955098</v>
      </c>
      <c r="M29" s="462">
        <v>0.65000022993955098</v>
      </c>
      <c r="N29" s="462">
        <v>0.65000022993955098</v>
      </c>
      <c r="O29" s="244">
        <f t="shared" si="23"/>
        <v>3.1536000000000002E-2</v>
      </c>
      <c r="P29" s="460">
        <v>0.2</v>
      </c>
      <c r="Q29" s="245">
        <v>20</v>
      </c>
      <c r="R29" s="227">
        <v>2</v>
      </c>
      <c r="T29" s="268">
        <f t="shared" si="5"/>
        <v>131.48372604106319</v>
      </c>
      <c r="U29" s="268"/>
      <c r="V29" s="602" t="str">
        <f>'Data manipulation'!$B$31</f>
        <v>Primary solid biofuels</v>
      </c>
      <c r="W29" s="254" t="s">
        <v>196</v>
      </c>
      <c r="X29" s="246">
        <v>2010</v>
      </c>
      <c r="Y29" s="434">
        <f>_xlfn.IFNA(INDEX('Data manipulation'!$C$23:$O$39,MATCH($V29,'Data manipulation'!$B$23:$B$39,0),MATCH($X29,'Data manipulation'!$C$22:$O$22,0))/1000,0)*SUMIFS('Regional split'!$F$4:$F$6,'Regional split'!$B$4:$B$6,Y$3)*SUMIFS('Data manipulation'!$V$39:$V$42,'Data manipulation'!$X$39:$X$42,$E29,'Data manipulation'!$Y$39:$Y$42,$D29)</f>
        <v>65.74184184100001</v>
      </c>
      <c r="Z29" s="270">
        <f>_xlfn.IFNA(INDEX('Data manipulation'!$C$23:$O$39,MATCH($V29,'Data manipulation'!$B$23:$B$39,0),MATCH($X29,'Data manipulation'!$C$22:$O$22,0))/1000,0)*SUMIFS('Regional split'!$F$4:$F$6,'Regional split'!$B$4:$B$6,Z$3)*SUMIFS('Data manipulation'!$V$39:$V$42,'Data manipulation'!$X$39:$X$42,$E29,'Data manipulation'!$Y$39:$Y$42,$D29)</f>
        <v>0</v>
      </c>
      <c r="AA29" s="456">
        <f>_xlfn.IFNA(INDEX('Data manipulation'!$C$23:$O$39,MATCH($V29,'Data manipulation'!$B$23:$B$39,0),MATCH($X29,'Data manipulation'!$C$22:$O$22,0))/1000,0)*SUMIFS('Regional split'!$F$4:$F$6,'Regional split'!$B$4:$B$6,AA$3)*SUMIFS('Data manipulation'!$V$39:$V$42,'Data manipulation'!$X$39:$X$42,$E29,'Data manipulation'!$Y$39:$Y$42,$D29)</f>
        <v>0</v>
      </c>
      <c r="AB29" s="445">
        <f t="shared" si="17"/>
        <v>42.732212313299598</v>
      </c>
      <c r="AC29" s="251">
        <f t="shared" si="18"/>
        <v>0</v>
      </c>
      <c r="AD29" s="446">
        <f t="shared" si="19"/>
        <v>0</v>
      </c>
      <c r="BA29" s="252"/>
    </row>
    <row r="30" spans="2:53" ht="15" customHeight="1">
      <c r="B30" s="233" t="str">
        <f>Processes!D77</f>
        <v>RHTUMCOAE1</v>
      </c>
      <c r="C30" s="233" t="str">
        <f>Processes!E77</f>
        <v>Residential Heating Technology Urban Multi - Coal - Existing 1</v>
      </c>
      <c r="D30" s="233" t="s">
        <v>734</v>
      </c>
      <c r="E30" s="233" t="s">
        <v>778</v>
      </c>
      <c r="F30" s="230" t="str">
        <f>Commodities!$C$25</f>
        <v>RESCOA</v>
      </c>
      <c r="G30" s="230" t="str">
        <f>Commodities!$C$44</f>
        <v>RESHUMB</v>
      </c>
      <c r="H30" s="230">
        <v>2010</v>
      </c>
      <c r="I30" s="250">
        <f t="shared" si="20"/>
        <v>2277.4</v>
      </c>
      <c r="J30" s="250">
        <f t="shared" si="21"/>
        <v>0</v>
      </c>
      <c r="K30" s="250">
        <f t="shared" si="22"/>
        <v>0</v>
      </c>
      <c r="L30" s="462">
        <v>0.7</v>
      </c>
      <c r="M30" s="462">
        <v>0.7</v>
      </c>
      <c r="N30" s="462">
        <v>0.7</v>
      </c>
      <c r="O30" s="244">
        <f t="shared" si="23"/>
        <v>3.1536000000000002E-2</v>
      </c>
      <c r="P30" s="460">
        <v>0.2</v>
      </c>
      <c r="Q30" s="245">
        <v>20</v>
      </c>
      <c r="R30" s="227">
        <v>2</v>
      </c>
      <c r="T30" s="268">
        <f t="shared" si="5"/>
        <v>20.52002468571429</v>
      </c>
      <c r="U30" s="268"/>
      <c r="V30" s="602" t="str">
        <f>'Data manipulation'!$B$23</f>
        <v>Solid fossil fuels, peat, peat products, oil shale and oil sands</v>
      </c>
      <c r="W30" s="254" t="s">
        <v>893</v>
      </c>
      <c r="X30" s="246">
        <v>2010</v>
      </c>
      <c r="Y30" s="434">
        <f>_xlfn.IFNA(INDEX('Data manipulation'!$C$23:$O$39,MATCH($V30,'Data manipulation'!$B$23:$B$39,0),MATCH($X30,'Data manipulation'!$C$22:$O$22,0))/1000,0)*SUMIFS('Regional split'!$F$4:$F$6,'Regional split'!$B$4:$B$6,Y$3)*SUMIFS('Data manipulation'!$V$39:$V$42,'Data manipulation'!$X$39:$X$42,$E30,'Data manipulation'!$Y$39:$Y$42,$D30)</f>
        <v>10.259846973999998</v>
      </c>
      <c r="Z30" s="270">
        <f>_xlfn.IFNA(INDEX('Data manipulation'!$C$23:$O$39,MATCH($V30,'Data manipulation'!$B$23:$B$39,0),MATCH($X30,'Data manipulation'!$C$22:$O$22,0))/1000,0)*SUMIFS('Regional split'!$F$4:$F$6,'Regional split'!$B$4:$B$6,Z$3)*SUMIFS('Data manipulation'!$V$39:$V$42,'Data manipulation'!$X$39:$X$42,$E30,'Data manipulation'!$Y$39:$Y$42,$D30)</f>
        <v>0</v>
      </c>
      <c r="AA30" s="456">
        <f>_xlfn.IFNA(INDEX('Data manipulation'!$C$23:$O$39,MATCH($V30,'Data manipulation'!$B$23:$B$39,0),MATCH($X30,'Data manipulation'!$C$22:$O$22,0))/1000,0)*SUMIFS('Regional split'!$F$4:$F$6,'Regional split'!$B$4:$B$6,AA$3)*SUMIFS('Data manipulation'!$V$39:$V$42,'Data manipulation'!$X$39:$X$42,$E30,'Data manipulation'!$Y$39:$Y$42,$D30)</f>
        <v>0</v>
      </c>
      <c r="AB30" s="445">
        <f t="shared" si="17"/>
        <v>7.1818928817999987</v>
      </c>
      <c r="AC30" s="251">
        <f t="shared" si="18"/>
        <v>0</v>
      </c>
      <c r="AD30" s="446">
        <f t="shared" si="19"/>
        <v>0</v>
      </c>
      <c r="BA30" s="252"/>
    </row>
    <row r="31" spans="2:53" ht="15" customHeight="1">
      <c r="B31" s="233" t="str">
        <f>Processes!D78</f>
        <v>RHTUMSOLE1</v>
      </c>
      <c r="C31" s="233" t="str">
        <f>Processes!E78</f>
        <v>Residential Heating Technology Urban Multi - Solar - Existing 1</v>
      </c>
      <c r="D31" s="233" t="s">
        <v>734</v>
      </c>
      <c r="E31" s="233" t="s">
        <v>778</v>
      </c>
      <c r="F31" s="230" t="str">
        <f>Commodities!$C$27</f>
        <v>RESSOL</v>
      </c>
      <c r="G31" s="230" t="str">
        <f>Commodities!$C$44</f>
        <v>RESHUMB</v>
      </c>
      <c r="H31" s="230">
        <v>2010</v>
      </c>
      <c r="I31" s="250">
        <f t="shared" si="20"/>
        <v>198.5</v>
      </c>
      <c r="J31" s="250">
        <f t="shared" si="21"/>
        <v>0</v>
      </c>
      <c r="K31" s="250">
        <f t="shared" si="22"/>
        <v>0</v>
      </c>
      <c r="L31" s="462">
        <v>1</v>
      </c>
      <c r="M31" s="462">
        <v>1</v>
      </c>
      <c r="N31" s="462">
        <v>1</v>
      </c>
      <c r="O31" s="244">
        <f t="shared" si="23"/>
        <v>3.1536000000000002E-2</v>
      </c>
      <c r="P31" s="460">
        <v>0.2</v>
      </c>
      <c r="Q31" s="245">
        <v>20</v>
      </c>
      <c r="R31" s="227">
        <v>2</v>
      </c>
      <c r="T31" s="268">
        <f t="shared" si="5"/>
        <v>1.2519792000000001</v>
      </c>
      <c r="U31" s="268"/>
      <c r="V31" s="602" t="str">
        <f>'Data manipulation'!$B$29</f>
        <v>Solar thermal</v>
      </c>
      <c r="W31" s="254" t="s">
        <v>188</v>
      </c>
      <c r="X31" s="246">
        <v>2010</v>
      </c>
      <c r="Y31" s="434">
        <f>_xlfn.IFNA(INDEX('Data manipulation'!$C$23:$O$39,MATCH($V31,'Data manipulation'!$B$23:$B$39,0),MATCH($X31,'Data manipulation'!$C$22:$O$22,0))/1000,0)*SUMIFS('Regional split'!$F$4:$F$6,'Regional split'!$B$4:$B$6,Y$3)*SUMIFS('Data manipulation'!$V$39:$V$42,'Data manipulation'!$X$39:$X$42,$E31,'Data manipulation'!$Y$39:$Y$42,$D31)</f>
        <v>0.62574584799999999</v>
      </c>
      <c r="Z31" s="270">
        <f>_xlfn.IFNA(INDEX('Data manipulation'!$C$23:$O$39,MATCH($V31,'Data manipulation'!$B$23:$B$39,0),MATCH($X31,'Data manipulation'!$C$22:$O$22,0))/1000,0)*SUMIFS('Regional split'!$F$4:$F$6,'Regional split'!$B$4:$B$6,Z$3)*SUMIFS('Data manipulation'!$V$39:$V$42,'Data manipulation'!$X$39:$X$42,$E31,'Data manipulation'!$Y$39:$Y$42,$D31)</f>
        <v>0</v>
      </c>
      <c r="AA31" s="456">
        <f>_xlfn.IFNA(INDEX('Data manipulation'!$C$23:$O$39,MATCH($V31,'Data manipulation'!$B$23:$B$39,0),MATCH($X31,'Data manipulation'!$C$22:$O$22,0))/1000,0)*SUMIFS('Regional split'!$F$4:$F$6,'Regional split'!$B$4:$B$6,AA$3)*SUMIFS('Data manipulation'!$V$39:$V$42,'Data manipulation'!$X$39:$X$42,$E31,'Data manipulation'!$Y$39:$Y$42,$D31)</f>
        <v>0</v>
      </c>
      <c r="AB31" s="445">
        <f t="shared" si="17"/>
        <v>0.62574584799999999</v>
      </c>
      <c r="AC31" s="251">
        <f t="shared" si="18"/>
        <v>0</v>
      </c>
      <c r="AD31" s="446">
        <f t="shared" si="19"/>
        <v>0</v>
      </c>
      <c r="BA31" s="252"/>
    </row>
    <row r="32" spans="2:53" ht="15" customHeight="1">
      <c r="B32" s="233" t="str">
        <f>Processes!D79</f>
        <v>RHTUMELCHE1</v>
      </c>
      <c r="C32" s="233" t="str">
        <f>Processes!E79</f>
        <v>Residential Heating Technology Urban Multi - Electricity Heating - Existing 1</v>
      </c>
      <c r="D32" s="233" t="s">
        <v>734</v>
      </c>
      <c r="E32" s="233" t="s">
        <v>778</v>
      </c>
      <c r="F32" s="230" t="str">
        <f>Commodities!$C$28</f>
        <v>RESELCH</v>
      </c>
      <c r="G32" s="230" t="str">
        <f>Commodities!$C$44</f>
        <v>RESHUMB</v>
      </c>
      <c r="H32" s="230">
        <v>2010</v>
      </c>
      <c r="I32" s="250">
        <f t="shared" si="20"/>
        <v>3196.4</v>
      </c>
      <c r="J32" s="250">
        <f t="shared" si="21"/>
        <v>0</v>
      </c>
      <c r="K32" s="250">
        <f t="shared" si="22"/>
        <v>0</v>
      </c>
      <c r="L32" s="462">
        <v>1</v>
      </c>
      <c r="M32" s="462">
        <v>1</v>
      </c>
      <c r="N32" s="462">
        <v>1</v>
      </c>
      <c r="O32" s="244">
        <f t="shared" si="23"/>
        <v>3.1536000000000002E-2</v>
      </c>
      <c r="P32" s="460">
        <v>0.2</v>
      </c>
      <c r="Q32" s="245">
        <v>30</v>
      </c>
      <c r="R32" s="227">
        <v>2</v>
      </c>
      <c r="T32" s="268">
        <f t="shared" si="5"/>
        <v>20.160334080000002</v>
      </c>
      <c r="U32" s="268"/>
      <c r="V32" s="602" t="str">
        <f>'Data manipulation'!$B$33</f>
        <v>Electricity</v>
      </c>
      <c r="W32" s="254" t="s">
        <v>189</v>
      </c>
      <c r="X32" s="246">
        <v>2010</v>
      </c>
      <c r="Y32" s="434">
        <f>_xlfn.IFNA(INDEX('Data manipulation'!$C$23:$O$39,MATCH($V32,'Data manipulation'!$B$23:$B$39,0),MATCH($X32,'Data manipulation'!$C$22:$O$22,0))/1000,0)*SUMIFS('Regional split'!$F$4:$F$6,'Regional split'!$B$4:$B$6,Y$3)*SUMIFS('Data manipulation'!$V$39:$V$42,'Data manipulation'!$X$39:$X$42,$E32,'Data manipulation'!$Y$39:$Y$42,$D32)</f>
        <v>10.079971199999999</v>
      </c>
      <c r="Z32" s="270">
        <f>_xlfn.IFNA(INDEX('Data manipulation'!$C$23:$O$39,MATCH($V32,'Data manipulation'!$B$23:$B$39,0),MATCH($X32,'Data manipulation'!$C$22:$O$22,0))/1000,0)*SUMIFS('Regional split'!$F$4:$F$6,'Regional split'!$B$4:$B$6,Z$3)*SUMIFS('Data manipulation'!$V$39:$V$42,'Data manipulation'!$X$39:$X$42,$E32,'Data manipulation'!$Y$39:$Y$42,$D32)</f>
        <v>0</v>
      </c>
      <c r="AA32" s="456">
        <f>_xlfn.IFNA(INDEX('Data manipulation'!$C$23:$O$39,MATCH($V32,'Data manipulation'!$B$23:$B$39,0),MATCH($X32,'Data manipulation'!$C$22:$O$22,0))/1000,0)*SUMIFS('Regional split'!$F$4:$F$6,'Regional split'!$B$4:$B$6,AA$3)*SUMIFS('Data manipulation'!$V$39:$V$42,'Data manipulation'!$X$39:$X$42,$E32,'Data manipulation'!$Y$39:$Y$42,$D32)</f>
        <v>0</v>
      </c>
      <c r="AB32" s="445">
        <f>Y32*L32</f>
        <v>10.079971199999999</v>
      </c>
      <c r="AC32" s="251">
        <f t="shared" si="18"/>
        <v>0</v>
      </c>
      <c r="AD32" s="446">
        <f t="shared" si="19"/>
        <v>0</v>
      </c>
      <c r="BA32" s="252"/>
    </row>
    <row r="33" spans="2:53" ht="15" customHeight="1">
      <c r="B33" s="233" t="str">
        <f>Processes!D80</f>
        <v>RHTUMELCHE2</v>
      </c>
      <c r="C33" s="233" t="str">
        <f>Processes!E80</f>
        <v>Residential Heating Technology Urban Multi - Electricity Heating - Existing 2</v>
      </c>
      <c r="D33" s="233" t="s">
        <v>734</v>
      </c>
      <c r="E33" s="233" t="s">
        <v>778</v>
      </c>
      <c r="F33" s="230" t="str">
        <f>Commodities!$C$28</f>
        <v>RESELCH</v>
      </c>
      <c r="G33" s="230" t="str">
        <f>Commodities!$C$44</f>
        <v>RESHUMB</v>
      </c>
      <c r="H33" s="230">
        <v>2010</v>
      </c>
      <c r="I33" s="250">
        <f t="shared" si="20"/>
        <v>3491.2999999999997</v>
      </c>
      <c r="J33" s="250">
        <f t="shared" si="21"/>
        <v>0</v>
      </c>
      <c r="K33" s="250">
        <f t="shared" si="22"/>
        <v>0</v>
      </c>
      <c r="L33" s="462">
        <v>2.3149999999999999</v>
      </c>
      <c r="M33" s="462">
        <v>2.3149999999999999</v>
      </c>
      <c r="N33" s="462">
        <v>2.3149999999999999</v>
      </c>
      <c r="O33" s="244">
        <f t="shared" si="23"/>
        <v>3.1536000000000002E-2</v>
      </c>
      <c r="P33" s="460">
        <v>0.2</v>
      </c>
      <c r="Q33" s="245">
        <v>30</v>
      </c>
      <c r="R33" s="227">
        <v>2</v>
      </c>
      <c r="T33" s="268">
        <f t="shared" si="5"/>
        <v>9.51202045788337</v>
      </c>
      <c r="U33" s="268"/>
      <c r="V33" s="602" t="str">
        <f>'Data manipulation'!$B$30</f>
        <v>Ambient heat (heat pumps)</v>
      </c>
      <c r="W33" s="254" t="s">
        <v>190</v>
      </c>
      <c r="X33" s="246">
        <v>2010</v>
      </c>
      <c r="Y33" s="434">
        <f>_xlfn.IFNA(INDEX('Data manipulation'!$C$23:$O$39,MATCH($V33,'Data manipulation'!$B$23:$B$39,0),MATCH($X33,'Data manipulation'!$C$22:$O$22,0))/1000,0)*SUMIFS('Regional split'!$F$4:$F$6,'Regional split'!$B$4:$B$6,Y$3)*SUMIFS('Data manipulation'!$V$39:$V$42,'Data manipulation'!$X$39:$X$42,$E33,'Data manipulation'!$Y$39:$Y$42,$D33)</f>
        <v>4.7558973150000003</v>
      </c>
      <c r="Z33" s="270">
        <f>_xlfn.IFNA(INDEX('Data manipulation'!$C$23:$O$39,MATCH($V33,'Data manipulation'!$B$23:$B$39,0),MATCH($X33,'Data manipulation'!$C$22:$O$22,0))/1000,0)*SUMIFS('Regional split'!$F$4:$F$6,'Regional split'!$B$4:$B$6,Z$3)*SUMIFS('Data manipulation'!$V$39:$V$42,'Data manipulation'!$X$39:$X$42,$E33,'Data manipulation'!$Y$39:$Y$42,$D33)</f>
        <v>0</v>
      </c>
      <c r="AA33" s="456">
        <f>_xlfn.IFNA(INDEX('Data manipulation'!$C$23:$O$39,MATCH($V33,'Data manipulation'!$B$23:$B$39,0),MATCH($X33,'Data manipulation'!$C$22:$O$22,0))/1000,0)*SUMIFS('Regional split'!$F$4:$F$6,'Regional split'!$B$4:$B$6,AA$3)*SUMIFS('Data manipulation'!$V$39:$V$42,'Data manipulation'!$X$39:$X$42,$E33,'Data manipulation'!$Y$39:$Y$42,$D33)</f>
        <v>0</v>
      </c>
      <c r="AB33" s="445">
        <f t="shared" si="17"/>
        <v>11.009902284225001</v>
      </c>
      <c r="AC33" s="251">
        <f t="shared" si="18"/>
        <v>0</v>
      </c>
      <c r="AD33" s="446">
        <f t="shared" si="19"/>
        <v>0</v>
      </c>
      <c r="BA33" s="253"/>
    </row>
    <row r="34" spans="2:53" ht="14.4">
      <c r="B34" s="233" t="str">
        <f>Processes!D81</f>
        <v>RHTUMHCEE1</v>
      </c>
      <c r="C34" s="233" t="str">
        <f>Processes!E81</f>
        <v>Residential Heating Technology Urban Multi - District heating Central - Existing 1</v>
      </c>
      <c r="D34" s="233" t="s">
        <v>734</v>
      </c>
      <c r="E34" s="233" t="s">
        <v>778</v>
      </c>
      <c r="F34" s="230" t="str">
        <f>Commodities!$C$33</f>
        <v>RESHCE</v>
      </c>
      <c r="G34" s="230" t="str">
        <f>Commodities!$C$40</f>
        <v>RESHUMX</v>
      </c>
      <c r="H34" s="230">
        <v>2010</v>
      </c>
      <c r="I34" s="250">
        <f t="shared" si="20"/>
        <v>13171.300000000001</v>
      </c>
      <c r="J34" s="572">
        <v>0</v>
      </c>
      <c r="K34" s="572">
        <v>0</v>
      </c>
      <c r="L34" s="462">
        <v>0.95</v>
      </c>
      <c r="M34" s="462">
        <v>0.95</v>
      </c>
      <c r="N34" s="462">
        <v>0.95</v>
      </c>
      <c r="O34" s="244">
        <f t="shared" si="23"/>
        <v>3.1536000000000002E-2</v>
      </c>
      <c r="P34" s="460">
        <v>0.2</v>
      </c>
      <c r="Q34" s="245">
        <v>30</v>
      </c>
      <c r="R34" s="227">
        <v>2</v>
      </c>
      <c r="T34" s="268">
        <f t="shared" si="5"/>
        <v>87.446340378947383</v>
      </c>
      <c r="U34" s="268"/>
      <c r="V34" s="602" t="str">
        <f>'Data manipulation'!$B$34</f>
        <v>Heat</v>
      </c>
      <c r="W34" s="254" t="s">
        <v>191</v>
      </c>
      <c r="X34" s="246">
        <v>2010</v>
      </c>
      <c r="Y34" s="434">
        <f>_xlfn.IFNA(INDEX('Data manipulation'!$C$23:$O$39,MATCH($V34,'Data manipulation'!$B$23:$B$39,0),MATCH($X34,'Data manipulation'!$C$22:$O$22,0))/1000,0)*SUMIFS('Regional split'!$F$4:$F$6,'Regional split'!$B$4:$B$6,Y$3)*SUMIFS('Data manipulation'!$V$39:$V$42,'Data manipulation'!$X$39:$X$42,$E34,'Data manipulation'!$Y$39:$Y$42,$D34)</f>
        <v>43.722887039</v>
      </c>
      <c r="Z34" s="270">
        <f>_xlfn.IFNA(INDEX('Data manipulation'!$C$23:$O$39,MATCH($V34,'Data manipulation'!$B$23:$B$39,0),MATCH($X34,'Data manipulation'!$C$22:$O$22,0))/1000,0)*SUMIFS('Regional split'!$F$4:$F$6,'Regional split'!$B$4:$B$6,Z$3)*SUMIFS('Data manipulation'!$V$39:$V$42,'Data manipulation'!$X$39:$X$42,$E34,'Data manipulation'!$Y$39:$Y$42,$D34)</f>
        <v>0</v>
      </c>
      <c r="AA34" s="456">
        <f>_xlfn.IFNA(INDEX('Data manipulation'!$C$23:$O$39,MATCH($V34,'Data manipulation'!$B$23:$B$39,0),MATCH($X34,'Data manipulation'!$C$22:$O$22,0))/1000,0)*SUMIFS('Regional split'!$F$4:$F$6,'Regional split'!$B$4:$B$6,AA$3)*SUMIFS('Data manipulation'!$V$39:$V$42,'Data manipulation'!$X$39:$X$42,$E34,'Data manipulation'!$Y$39:$Y$42,$D34)</f>
        <v>0</v>
      </c>
      <c r="AB34" s="445">
        <f t="shared" si="17"/>
        <v>41.536742687050001</v>
      </c>
      <c r="AC34" s="251">
        <f t="shared" si="18"/>
        <v>0</v>
      </c>
      <c r="AD34" s="446">
        <f t="shared" si="19"/>
        <v>0</v>
      </c>
      <c r="BA34" s="252"/>
    </row>
    <row r="35" spans="2:53" ht="15" customHeight="1" thickBot="1">
      <c r="B35" s="255" t="str">
        <f>Processes!D82</f>
        <v>RHTUMLPGE1</v>
      </c>
      <c r="C35" s="255" t="str">
        <f>Processes!E82</f>
        <v>Residential Heating Technology Urban Multi - LPG - Existing 1</v>
      </c>
      <c r="D35" s="535" t="s">
        <v>734</v>
      </c>
      <c r="E35" s="535" t="s">
        <v>778</v>
      </c>
      <c r="F35" s="256" t="str">
        <f>Commodities!$C$20</f>
        <v>RESLPG</v>
      </c>
      <c r="G35" s="256" t="str">
        <f>G33</f>
        <v>RESHUMB</v>
      </c>
      <c r="H35" s="423">
        <v>2010</v>
      </c>
      <c r="I35" s="297">
        <f t="shared" ref="I35" si="24">ROUNDUP(AB35/($O35*$P35)*$R35,1)</f>
        <v>0</v>
      </c>
      <c r="J35" s="297">
        <f t="shared" ref="J35" si="25">ROUNDUP(AC35/($O35*$P35)*$R35,1)</f>
        <v>0</v>
      </c>
      <c r="K35" s="297">
        <f t="shared" ref="K35" si="26">ROUNDUP(AD35/($O35*$P35)*$R35,1)</f>
        <v>0</v>
      </c>
      <c r="L35" s="463">
        <v>0.95</v>
      </c>
      <c r="M35" s="463">
        <v>0.95</v>
      </c>
      <c r="N35" s="463">
        <v>0.95</v>
      </c>
      <c r="O35" s="257">
        <f t="shared" si="23"/>
        <v>3.1536000000000002E-2</v>
      </c>
      <c r="P35" s="460">
        <v>0.2</v>
      </c>
      <c r="Q35" s="258">
        <v>30</v>
      </c>
      <c r="R35" s="227">
        <v>2</v>
      </c>
      <c r="T35" s="268">
        <f t="shared" si="5"/>
        <v>0</v>
      </c>
      <c r="U35" s="268"/>
      <c r="V35" s="602" t="s">
        <v>790</v>
      </c>
      <c r="W35" s="428" t="s">
        <v>790</v>
      </c>
      <c r="X35" s="431">
        <v>2010</v>
      </c>
      <c r="Y35" s="435">
        <f>_xlfn.IFNA(INDEX('Data manipulation'!$C$23:$O$39,MATCH($V35,'Data manipulation'!$B$23:$B$39,0),MATCH($X35,'Data manipulation'!$C$22:$O$22,0))/1000,0)*SUMIFS('Regional split'!$F$4:$F$6,'Regional split'!$B$4:$B$6,Y$3)*SUMIFS('Data manipulation'!$V$39:$V$42,'Data manipulation'!$X$39:$X$42,$E35,'Data manipulation'!$Y$39:$Y$42,$D35)</f>
        <v>0</v>
      </c>
      <c r="Z35" s="432">
        <f>_xlfn.IFNA(INDEX('Data manipulation'!$C$23:$O$39,MATCH($V35,'Data manipulation'!$B$23:$B$39,0),MATCH($X35,'Data manipulation'!$C$22:$O$22,0))/1000,0)*SUMIFS('Regional split'!$F$4:$F$6,'Regional split'!$B$4:$B$6,Z$3)*SUMIFS('Data manipulation'!$V$39:$V$42,'Data manipulation'!$X$39:$X$42,$E35,'Data manipulation'!$Y$39:$Y$42,$D35)</f>
        <v>0</v>
      </c>
      <c r="AA35" s="457">
        <f>_xlfn.IFNA(INDEX('Data manipulation'!$C$23:$O$39,MATCH($V35,'Data manipulation'!$B$23:$B$39,0),MATCH($X35,'Data manipulation'!$C$22:$O$22,0))/1000,0)*SUMIFS('Regional split'!$F$4:$F$6,'Regional split'!$B$4:$B$6,AA$3)*SUMIFS('Data manipulation'!$V$39:$V$42,'Data manipulation'!$X$39:$X$42,$E35,'Data manipulation'!$Y$39:$Y$42,$D35)</f>
        <v>0</v>
      </c>
      <c r="AB35" s="447">
        <f t="shared" si="17"/>
        <v>0</v>
      </c>
      <c r="AC35" s="277">
        <f t="shared" si="18"/>
        <v>0</v>
      </c>
      <c r="AD35" s="448">
        <f t="shared" si="19"/>
        <v>0</v>
      </c>
      <c r="BA35" s="252"/>
    </row>
    <row r="36" spans="2:53" ht="15" customHeight="1">
      <c r="B36" s="233" t="str">
        <f>Processes!D83</f>
        <v>RHTRMNGAE1</v>
      </c>
      <c r="C36" s="233" t="str">
        <f>Processes!E83</f>
        <v>Residential Heating Technology Rural Multi - Natural Gas - Existing 1</v>
      </c>
      <c r="D36" s="233" t="s">
        <v>735</v>
      </c>
      <c r="E36" s="233" t="s">
        <v>778</v>
      </c>
      <c r="F36" s="230" t="str">
        <f>Commodities!$C$18&amp;","&amp;Commodities!$C$36</f>
        <v>RESNGA,RESSNG</v>
      </c>
      <c r="G36" s="259" t="str">
        <f>Commodities!$C$45</f>
        <v>RESHRMB</v>
      </c>
      <c r="H36" s="259">
        <v>2010</v>
      </c>
      <c r="I36" s="250">
        <f>ROUNDUP(AB36/($O36*$P36)*$R36,1)</f>
        <v>3075.5</v>
      </c>
      <c r="J36" s="250">
        <f>ROUNDUP(AC36/($O36*$P36)*$R36,1)</f>
        <v>0</v>
      </c>
      <c r="K36" s="250">
        <f>ROUNDUP(AD36/($O36*$P36)*$R36,1)</f>
        <v>0</v>
      </c>
      <c r="L36" s="462">
        <v>0.79</v>
      </c>
      <c r="M36" s="462">
        <v>0.79</v>
      </c>
      <c r="N36" s="462">
        <v>0.79</v>
      </c>
      <c r="O36" s="244">
        <f t="shared" si="23"/>
        <v>3.1536000000000002E-2</v>
      </c>
      <c r="P36" s="460">
        <v>0.2</v>
      </c>
      <c r="Q36" s="245">
        <v>25</v>
      </c>
      <c r="R36" s="227">
        <v>2</v>
      </c>
      <c r="T36" s="268">
        <f t="shared" si="5"/>
        <v>24.554169113924051</v>
      </c>
      <c r="U36" s="268"/>
      <c r="V36" s="602" t="str">
        <f>'Data manipulation'!$B$36</f>
        <v>Natural gas, biogas and LNG</v>
      </c>
      <c r="W36" s="246" t="s">
        <v>187</v>
      </c>
      <c r="X36" s="246">
        <v>2010</v>
      </c>
      <c r="Y36" s="434">
        <f>_xlfn.IFNA(INDEX('Data manipulation'!$C$23:$O$39,MATCH($V36,'Data manipulation'!$B$23:$B$39,0),MATCH($X36,'Data manipulation'!$C$22:$O$22,0))/1000,0)*SUMIFS('Regional split'!$F$4:$F$6,'Regional split'!$B$4:$B$6,Y$3)*SUMIFS('Data manipulation'!$V$39:$V$42,'Data manipulation'!$X$39:$X$42,$E36,'Data manipulation'!$Y$39:$Y$42,$D36)</f>
        <v>12.276957909999998</v>
      </c>
      <c r="Z36" s="270">
        <f>_xlfn.IFNA(INDEX('Data manipulation'!$C$23:$O$39,MATCH($V36,'Data manipulation'!$B$23:$B$39,0),MATCH($X36,'Data manipulation'!$C$22:$O$22,0))/1000,0)*SUMIFS('Regional split'!$F$4:$F$6,'Regional split'!$B$4:$B$6,Z$3)*SUMIFS('Data manipulation'!$V$39:$V$42,'Data manipulation'!$X$39:$X$42,$E36,'Data manipulation'!$Y$39:$Y$42,$D36)</f>
        <v>0</v>
      </c>
      <c r="AA36" s="456">
        <f>_xlfn.IFNA(INDEX('Data manipulation'!$C$23:$O$39,MATCH($V36,'Data manipulation'!$B$23:$B$39,0),MATCH($X36,'Data manipulation'!$C$22:$O$22,0))/1000,0)*SUMIFS('Regional split'!$F$4:$F$6,'Regional split'!$B$4:$B$6,AA$3)*SUMIFS('Data manipulation'!$V$39:$V$42,'Data manipulation'!$X$39:$X$42,$E36,'Data manipulation'!$Y$39:$Y$42,$D36)</f>
        <v>0</v>
      </c>
      <c r="AB36" s="445">
        <f t="shared" si="17"/>
        <v>9.6987967488999995</v>
      </c>
      <c r="AC36" s="278">
        <f t="shared" si="18"/>
        <v>0</v>
      </c>
      <c r="AD36" s="449">
        <f t="shared" si="19"/>
        <v>0</v>
      </c>
      <c r="BA36" s="252"/>
    </row>
    <row r="37" spans="2:53" ht="15" customHeight="1">
      <c r="B37" s="233" t="str">
        <f>Processes!D84</f>
        <v>RHTRMDSLE1</v>
      </c>
      <c r="C37" s="233" t="str">
        <f>Processes!E84</f>
        <v>Residential Heating Technology Rural Multi - Diesel - Existing 1</v>
      </c>
      <c r="D37" s="233" t="s">
        <v>735</v>
      </c>
      <c r="E37" s="233" t="s">
        <v>778</v>
      </c>
      <c r="F37" s="230" t="str">
        <f>Commodities!$C$21&amp;","&amp;Commodities!$C$37</f>
        <v>RESDSL,RESDSB</v>
      </c>
      <c r="G37" s="259" t="str">
        <f>Commodities!$C$45</f>
        <v>RESHRMB</v>
      </c>
      <c r="H37" s="259">
        <v>2010</v>
      </c>
      <c r="I37" s="250">
        <f t="shared" ref="I37:I43" si="27">ROUNDUP(AB37/($O37*$P37)*$R37,1)</f>
        <v>1746.3</v>
      </c>
      <c r="J37" s="250">
        <f t="shared" ref="J37:J43" si="28">ROUNDUP(AC37/($O37*$P37)*$R37,1)</f>
        <v>0</v>
      </c>
      <c r="K37" s="250">
        <f t="shared" ref="K37:K43" si="29">ROUNDUP(AD37/($O37*$P37)*$R37,1)</f>
        <v>0</v>
      </c>
      <c r="L37" s="462">
        <v>0.79</v>
      </c>
      <c r="M37" s="462">
        <v>0.79</v>
      </c>
      <c r="N37" s="462">
        <v>0.79</v>
      </c>
      <c r="O37" s="244">
        <f t="shared" si="23"/>
        <v>3.1536000000000002E-2</v>
      </c>
      <c r="P37" s="460">
        <v>0.2</v>
      </c>
      <c r="Q37" s="245">
        <v>20</v>
      </c>
      <c r="R37" s="227">
        <v>2</v>
      </c>
      <c r="T37" s="268">
        <f t="shared" si="5"/>
        <v>13.942105518987342</v>
      </c>
      <c r="V37" s="602" t="str">
        <f>'Data manipulation'!$B$35</f>
        <v>Oil products</v>
      </c>
      <c r="W37" s="254" t="s">
        <v>749</v>
      </c>
      <c r="X37" s="246">
        <v>2010</v>
      </c>
      <c r="Y37" s="434">
        <f>_xlfn.IFNA(INDEX('Data manipulation'!$C$23:$O$39,MATCH($V37,'Data manipulation'!$B$23:$B$39,0),MATCH($X37,'Data manipulation'!$C$22:$O$22,0))/1000,0)*SUMIFS('Regional split'!$F$4:$F$6,'Regional split'!$B$4:$B$6,Y$3)*SUMIFS('Data manipulation'!$V$39:$V$42,'Data manipulation'!$X$39:$X$42,$E37,'Data manipulation'!$Y$39:$Y$42,$D37)</f>
        <v>6.9707172220000011</v>
      </c>
      <c r="Z37" s="270">
        <f>_xlfn.IFNA(INDEX('Data manipulation'!$C$23:$O$39,MATCH($V37,'Data manipulation'!$B$23:$B$39,0),MATCH($X37,'Data manipulation'!$C$22:$O$22,0))/1000,0)*SUMIFS('Regional split'!$F$4:$F$6,'Regional split'!$B$4:$B$6,Z$3)*SUMIFS('Data manipulation'!$V$39:$V$42,'Data manipulation'!$X$39:$X$42,$E37,'Data manipulation'!$Y$39:$Y$42,$D37)</f>
        <v>0</v>
      </c>
      <c r="AA37" s="456">
        <f>_xlfn.IFNA(INDEX('Data manipulation'!$C$23:$O$39,MATCH($V37,'Data manipulation'!$B$23:$B$39,0),MATCH($X37,'Data manipulation'!$C$22:$O$22,0))/1000,0)*SUMIFS('Regional split'!$F$4:$F$6,'Regional split'!$B$4:$B$6,AA$3)*SUMIFS('Data manipulation'!$V$39:$V$42,'Data manipulation'!$X$39:$X$42,$E37,'Data manipulation'!$Y$39:$Y$42,$D37)</f>
        <v>0</v>
      </c>
      <c r="AB37" s="445">
        <f t="shared" si="17"/>
        <v>5.5068666053800008</v>
      </c>
      <c r="AC37" s="251">
        <f t="shared" si="18"/>
        <v>0</v>
      </c>
      <c r="AD37" s="446">
        <f t="shared" si="19"/>
        <v>0</v>
      </c>
      <c r="AV37" s="260"/>
      <c r="BA37" s="252"/>
    </row>
    <row r="38" spans="2:53" ht="15" customHeight="1">
      <c r="B38" s="233" t="str">
        <f>Processes!D85</f>
        <v>RHTRMWPEE1</v>
      </c>
      <c r="C38" s="233" t="str">
        <f>Processes!E85</f>
        <v>Residential Heating Technology Rural Multi - Wood pellets - Existing 1</v>
      </c>
      <c r="D38" s="233" t="s">
        <v>735</v>
      </c>
      <c r="E38" s="233" t="s">
        <v>778</v>
      </c>
      <c r="F38" s="230" t="str">
        <f>Commodities!$C$23</f>
        <v>RESWPE</v>
      </c>
      <c r="G38" s="259" t="str">
        <f>Commodities!$C$45</f>
        <v>RESHRMB</v>
      </c>
      <c r="H38" s="259">
        <v>2010</v>
      </c>
      <c r="I38" s="250">
        <f t="shared" si="27"/>
        <v>0</v>
      </c>
      <c r="J38" s="250">
        <f t="shared" si="28"/>
        <v>0</v>
      </c>
      <c r="K38" s="250">
        <f t="shared" si="29"/>
        <v>0</v>
      </c>
      <c r="L38" s="462">
        <v>0.67</v>
      </c>
      <c r="M38" s="462">
        <v>0.67</v>
      </c>
      <c r="N38" s="462">
        <v>0.67</v>
      </c>
      <c r="O38" s="244">
        <f>31.536/1000</f>
        <v>3.1536000000000002E-2</v>
      </c>
      <c r="P38" s="460">
        <v>0.2</v>
      </c>
      <c r="Q38" s="245">
        <v>20</v>
      </c>
      <c r="R38" s="227">
        <v>2</v>
      </c>
      <c r="T38" s="268">
        <f t="shared" si="5"/>
        <v>0</v>
      </c>
      <c r="U38" s="268"/>
      <c r="V38" s="602" t="s">
        <v>206</v>
      </c>
      <c r="W38" s="254" t="s">
        <v>896</v>
      </c>
      <c r="X38" s="246">
        <v>2010</v>
      </c>
      <c r="Y38" s="434">
        <f>_xlfn.IFNA(INDEX('Data manipulation'!$C$23:$O$39,MATCH($V38,'Data manipulation'!$B$23:$B$39,0),MATCH($X38,'Data manipulation'!$C$22:$O$22,0))/1000,0)*SUMIFS('Regional split'!$F$4:$F$6,'Regional split'!$B$4:$B$6,Y$3)*SUMIFS('Data manipulation'!$V$39:$V$42,'Data manipulation'!$X$39:$X$42,$E38,'Data manipulation'!$Y$39:$Y$42,$D38)</f>
        <v>0</v>
      </c>
      <c r="Z38" s="270">
        <f>_xlfn.IFNA(INDEX('Data manipulation'!$C$23:$O$39,MATCH($V38,'Data manipulation'!$B$23:$B$39,0),MATCH($X38,'Data manipulation'!$C$22:$O$22,0))/1000,0)*SUMIFS('Regional split'!$F$4:$F$6,'Regional split'!$B$4:$B$6,Z$3)*SUMIFS('Data manipulation'!$V$39:$V$42,'Data manipulation'!$X$39:$X$42,$E38,'Data manipulation'!$Y$39:$Y$42,$D38)</f>
        <v>0</v>
      </c>
      <c r="AA38" s="456">
        <f>_xlfn.IFNA(INDEX('Data manipulation'!$C$23:$O$39,MATCH($V38,'Data manipulation'!$B$23:$B$39,0),MATCH($X38,'Data manipulation'!$C$22:$O$22,0))/1000,0)*SUMIFS('Regional split'!$F$4:$F$6,'Regional split'!$B$4:$B$6,AA$3)*SUMIFS('Data manipulation'!$V$39:$V$42,'Data manipulation'!$X$39:$X$42,$E38,'Data manipulation'!$Y$39:$Y$42,$D38)</f>
        <v>0</v>
      </c>
      <c r="AB38" s="445">
        <f t="shared" si="17"/>
        <v>0</v>
      </c>
      <c r="AC38" s="251">
        <f t="shared" si="18"/>
        <v>0</v>
      </c>
      <c r="AD38" s="446">
        <f t="shared" si="19"/>
        <v>0</v>
      </c>
      <c r="AV38" s="260"/>
      <c r="BA38" s="253"/>
    </row>
    <row r="39" spans="2:53" ht="15" customHeight="1">
      <c r="B39" s="233" t="str">
        <f>Processes!D86</f>
        <v>RHTRMFIWE1</v>
      </c>
      <c r="C39" s="233" t="str">
        <f>Processes!E86</f>
        <v>Residential Heating Technology Rural Multi - Fire wood - Existing 1</v>
      </c>
      <c r="D39" s="233" t="s">
        <v>735</v>
      </c>
      <c r="E39" s="233" t="s">
        <v>778</v>
      </c>
      <c r="F39" s="230" t="str">
        <f>Commodities!$C$24</f>
        <v>RESFIW</v>
      </c>
      <c r="G39" s="259" t="str">
        <f>Commodities!$C$45</f>
        <v>RESHRMB</v>
      </c>
      <c r="H39" s="259">
        <v>2010</v>
      </c>
      <c r="I39" s="250">
        <f t="shared" si="27"/>
        <v>791.7</v>
      </c>
      <c r="J39" s="250">
        <f t="shared" si="28"/>
        <v>0</v>
      </c>
      <c r="K39" s="250">
        <f t="shared" si="29"/>
        <v>0</v>
      </c>
      <c r="L39" s="462">
        <v>0.67</v>
      </c>
      <c r="M39" s="462">
        <v>0.67</v>
      </c>
      <c r="N39" s="462">
        <v>0.67</v>
      </c>
      <c r="O39" s="244">
        <f>31.536/1000</f>
        <v>3.1536000000000002E-2</v>
      </c>
      <c r="P39" s="460">
        <v>0.2</v>
      </c>
      <c r="Q39" s="245">
        <v>20</v>
      </c>
      <c r="R39" s="227">
        <v>2</v>
      </c>
      <c r="T39" s="268">
        <f t="shared" si="5"/>
        <v>7.4528511044776131</v>
      </c>
      <c r="U39" s="268"/>
      <c r="V39" s="602" t="str">
        <f>'Data manipulation'!$B$31</f>
        <v>Primary solid biofuels</v>
      </c>
      <c r="W39" s="254" t="s">
        <v>196</v>
      </c>
      <c r="X39" s="246">
        <v>2010</v>
      </c>
      <c r="Y39" s="434">
        <f>_xlfn.IFNA(INDEX('Data manipulation'!$C$23:$O$39,MATCH($V39,'Data manipulation'!$B$23:$B$39,0),MATCH($X39,'Data manipulation'!$C$22:$O$22,0))/1000,0)*SUMIFS('Regional split'!$F$4:$F$6,'Regional split'!$B$4:$B$6,Y$3)*SUMIFS('Data manipulation'!$V$39:$V$42,'Data manipulation'!$X$39:$X$42,$E39,'Data manipulation'!$Y$39:$Y$42,$D39)</f>
        <v>3.7262582420000006</v>
      </c>
      <c r="Z39" s="270">
        <f>_xlfn.IFNA(INDEX('Data manipulation'!$C$23:$O$39,MATCH($V39,'Data manipulation'!$B$23:$B$39,0),MATCH($X39,'Data manipulation'!$C$22:$O$22,0))/1000,0)*SUMIFS('Regional split'!$F$4:$F$6,'Regional split'!$B$4:$B$6,Z$3)*SUMIFS('Data manipulation'!$V$39:$V$42,'Data manipulation'!$X$39:$X$42,$E39,'Data manipulation'!$Y$39:$Y$42,$D39)</f>
        <v>0</v>
      </c>
      <c r="AA39" s="456">
        <f>_xlfn.IFNA(INDEX('Data manipulation'!$C$23:$O$39,MATCH($V39,'Data manipulation'!$B$23:$B$39,0),MATCH($X39,'Data manipulation'!$C$22:$O$22,0))/1000,0)*SUMIFS('Regional split'!$F$4:$F$6,'Regional split'!$B$4:$B$6,AA$3)*SUMIFS('Data manipulation'!$V$39:$V$42,'Data manipulation'!$X$39:$X$42,$E39,'Data manipulation'!$Y$39:$Y$42,$D39)</f>
        <v>0</v>
      </c>
      <c r="AB39" s="445">
        <f t="shared" si="17"/>
        <v>2.4965930221400003</v>
      </c>
      <c r="AC39" s="251">
        <f t="shared" si="18"/>
        <v>0</v>
      </c>
      <c r="AD39" s="446">
        <f t="shared" si="19"/>
        <v>0</v>
      </c>
      <c r="AV39" s="260"/>
      <c r="BA39" s="253"/>
    </row>
    <row r="40" spans="2:53" ht="15" customHeight="1">
      <c r="B40" s="233" t="str">
        <f>Processes!D87</f>
        <v>RHTRMCOAE1</v>
      </c>
      <c r="C40" s="233" t="str">
        <f>Processes!E87</f>
        <v>Residential Heating Technology Rural Multi - Coal - Existing 1</v>
      </c>
      <c r="D40" s="233" t="s">
        <v>735</v>
      </c>
      <c r="E40" s="233" t="s">
        <v>778</v>
      </c>
      <c r="F40" s="230" t="str">
        <f>Commodities!$C$25</f>
        <v>RESCOA</v>
      </c>
      <c r="G40" s="259" t="str">
        <f>Commodities!$C$45</f>
        <v>RESHRMB</v>
      </c>
      <c r="H40" s="259">
        <v>2010</v>
      </c>
      <c r="I40" s="250">
        <f t="shared" si="27"/>
        <v>132.79999999999998</v>
      </c>
      <c r="J40" s="250">
        <f t="shared" si="28"/>
        <v>0</v>
      </c>
      <c r="K40" s="250">
        <f t="shared" si="29"/>
        <v>0</v>
      </c>
      <c r="L40" s="462">
        <v>0.72</v>
      </c>
      <c r="M40" s="462">
        <v>0.72</v>
      </c>
      <c r="N40" s="462">
        <v>0.72</v>
      </c>
      <c r="O40" s="244">
        <f t="shared" si="23"/>
        <v>3.1536000000000002E-2</v>
      </c>
      <c r="P40" s="460">
        <v>0.2</v>
      </c>
      <c r="Q40" s="245">
        <v>20</v>
      </c>
      <c r="R40" s="227">
        <v>2</v>
      </c>
      <c r="T40" s="268">
        <f t="shared" si="5"/>
        <v>1.1633280000000001</v>
      </c>
      <c r="U40" s="268"/>
      <c r="V40" s="602" t="str">
        <f>'Data manipulation'!$B$23</f>
        <v>Solid fossil fuels, peat, peat products, oil shale and oil sands</v>
      </c>
      <c r="W40" s="254" t="s">
        <v>893</v>
      </c>
      <c r="X40" s="246">
        <v>2010</v>
      </c>
      <c r="Y40" s="434">
        <f>_xlfn.IFNA(INDEX('Data manipulation'!$C$23:$O$39,MATCH($V40,'Data manipulation'!$B$23:$B$39,0),MATCH($X40,'Data manipulation'!$C$22:$O$22,0))/1000,0)*SUMIFS('Regional split'!$F$4:$F$6,'Regional split'!$B$4:$B$6,Y$3)*SUMIFS('Data manipulation'!$V$39:$V$42,'Data manipulation'!$X$39:$X$42,$E40,'Data manipulation'!$Y$39:$Y$42,$D40)</f>
        <v>0.58152978799999999</v>
      </c>
      <c r="Z40" s="270">
        <f>_xlfn.IFNA(INDEX('Data manipulation'!$C$23:$O$39,MATCH($V40,'Data manipulation'!$B$23:$B$39,0),MATCH($X40,'Data manipulation'!$C$22:$O$22,0))/1000,0)*SUMIFS('Regional split'!$F$4:$F$6,'Regional split'!$B$4:$B$6,Z$3)*SUMIFS('Data manipulation'!$V$39:$V$42,'Data manipulation'!$X$39:$X$42,$E40,'Data manipulation'!$Y$39:$Y$42,$D40)</f>
        <v>0</v>
      </c>
      <c r="AA40" s="456">
        <f>_xlfn.IFNA(INDEX('Data manipulation'!$C$23:$O$39,MATCH($V40,'Data manipulation'!$B$23:$B$39,0),MATCH($X40,'Data manipulation'!$C$22:$O$22,0))/1000,0)*SUMIFS('Regional split'!$F$4:$F$6,'Regional split'!$B$4:$B$6,AA$3)*SUMIFS('Data manipulation'!$V$39:$V$42,'Data manipulation'!$X$39:$X$42,$E40,'Data manipulation'!$Y$39:$Y$42,$D40)</f>
        <v>0</v>
      </c>
      <c r="AB40" s="445">
        <f t="shared" si="17"/>
        <v>0.41870144735999998</v>
      </c>
      <c r="AC40" s="251">
        <f t="shared" si="18"/>
        <v>0</v>
      </c>
      <c r="AD40" s="446">
        <f t="shared" si="19"/>
        <v>0</v>
      </c>
      <c r="AV40" s="260"/>
      <c r="BA40" s="252"/>
    </row>
    <row r="41" spans="2:53" ht="15" customHeight="1">
      <c r="B41" s="233" t="str">
        <f>Processes!D88</f>
        <v>RHTRMSOLE1</v>
      </c>
      <c r="C41" s="233" t="str">
        <f>Processes!E88</f>
        <v>Residential Heating Technology Rural Multi - Solar - Existing 1</v>
      </c>
      <c r="D41" s="233" t="s">
        <v>735</v>
      </c>
      <c r="E41" s="233" t="s">
        <v>778</v>
      </c>
      <c r="F41" s="230" t="str">
        <f>Commodities!$C$27</f>
        <v>RESSOL</v>
      </c>
      <c r="G41" s="259" t="str">
        <f>Commodities!$C$45</f>
        <v>RESHRMB</v>
      </c>
      <c r="H41" s="259">
        <v>2010</v>
      </c>
      <c r="I41" s="250">
        <f t="shared" si="27"/>
        <v>11.299999999999999</v>
      </c>
      <c r="J41" s="250">
        <f t="shared" si="28"/>
        <v>0</v>
      </c>
      <c r="K41" s="250">
        <f t="shared" si="29"/>
        <v>0</v>
      </c>
      <c r="L41" s="462">
        <v>1</v>
      </c>
      <c r="M41" s="462">
        <v>1</v>
      </c>
      <c r="N41" s="462">
        <v>1</v>
      </c>
      <c r="O41" s="244">
        <f t="shared" si="23"/>
        <v>3.1536000000000002E-2</v>
      </c>
      <c r="P41" s="460">
        <v>0.2</v>
      </c>
      <c r="Q41" s="245">
        <v>20</v>
      </c>
      <c r="R41" s="227">
        <v>2</v>
      </c>
      <c r="T41" s="268">
        <f t="shared" si="5"/>
        <v>7.1271359999999992E-2</v>
      </c>
      <c r="U41" s="268"/>
      <c r="V41" s="602" t="str">
        <f>'Data manipulation'!$B$29</f>
        <v>Solar thermal</v>
      </c>
      <c r="W41" s="254" t="s">
        <v>188</v>
      </c>
      <c r="X41" s="246">
        <v>2010</v>
      </c>
      <c r="Y41" s="434">
        <f>_xlfn.IFNA(INDEX('Data manipulation'!$C$23:$O$39,MATCH($V41,'Data manipulation'!$B$23:$B$39,0),MATCH($X41,'Data manipulation'!$C$22:$O$22,0))/1000,0)*SUMIFS('Regional split'!$F$4:$F$6,'Regional split'!$B$4:$B$6,Y$3)*SUMIFS('Data manipulation'!$V$39:$V$42,'Data manipulation'!$X$39:$X$42,$E41,'Data manipulation'!$Y$39:$Y$42,$D41)</f>
        <v>3.5467376000000002E-2</v>
      </c>
      <c r="Z41" s="270">
        <f>_xlfn.IFNA(INDEX('Data manipulation'!$C$23:$O$39,MATCH($V41,'Data manipulation'!$B$23:$B$39,0),MATCH($X41,'Data manipulation'!$C$22:$O$22,0))/1000,0)*SUMIFS('Regional split'!$F$4:$F$6,'Regional split'!$B$4:$B$6,Z$3)*SUMIFS('Data manipulation'!$V$39:$V$42,'Data manipulation'!$X$39:$X$42,$E41,'Data manipulation'!$Y$39:$Y$42,$D41)</f>
        <v>0</v>
      </c>
      <c r="AA41" s="456">
        <f>_xlfn.IFNA(INDEX('Data manipulation'!$C$23:$O$39,MATCH($V41,'Data manipulation'!$B$23:$B$39,0),MATCH($X41,'Data manipulation'!$C$22:$O$22,0))/1000,0)*SUMIFS('Regional split'!$F$4:$F$6,'Regional split'!$B$4:$B$6,AA$3)*SUMIFS('Data manipulation'!$V$39:$V$42,'Data manipulation'!$X$39:$X$42,$E41,'Data manipulation'!$Y$39:$Y$42,$D41)</f>
        <v>0</v>
      </c>
      <c r="AB41" s="445">
        <f t="shared" si="17"/>
        <v>3.5467376000000002E-2</v>
      </c>
      <c r="AC41" s="251">
        <f t="shared" si="18"/>
        <v>0</v>
      </c>
      <c r="AD41" s="446">
        <f t="shared" si="19"/>
        <v>0</v>
      </c>
      <c r="AV41" s="260"/>
      <c r="BA41" s="252"/>
    </row>
    <row r="42" spans="2:53" ht="15" customHeight="1">
      <c r="B42" s="233" t="str">
        <f>Processes!D89</f>
        <v>RHTRMELCHE1</v>
      </c>
      <c r="C42" s="233" t="str">
        <f>Processes!E89</f>
        <v>Residential Heating Technology Rural Multi - Electricity Heating - Existing 1</v>
      </c>
      <c r="D42" s="233" t="s">
        <v>735</v>
      </c>
      <c r="E42" s="233" t="s">
        <v>778</v>
      </c>
      <c r="F42" s="230" t="str">
        <f>Commodities!$C$28</f>
        <v>RESELCH</v>
      </c>
      <c r="G42" s="259" t="str">
        <f>Commodities!$C$45</f>
        <v>RESHRMB</v>
      </c>
      <c r="H42" s="259">
        <v>2010</v>
      </c>
      <c r="I42" s="250">
        <f t="shared" si="27"/>
        <v>181.2</v>
      </c>
      <c r="J42" s="250">
        <f t="shared" si="28"/>
        <v>0</v>
      </c>
      <c r="K42" s="250">
        <f t="shared" si="29"/>
        <v>0</v>
      </c>
      <c r="L42" s="462">
        <v>1</v>
      </c>
      <c r="M42" s="462">
        <v>1</v>
      </c>
      <c r="N42" s="462">
        <v>1</v>
      </c>
      <c r="O42" s="244">
        <f t="shared" si="23"/>
        <v>3.1536000000000002E-2</v>
      </c>
      <c r="P42" s="460">
        <v>0.2</v>
      </c>
      <c r="Q42" s="245">
        <v>30</v>
      </c>
      <c r="R42" s="227">
        <v>2</v>
      </c>
      <c r="T42" s="268">
        <f t="shared" si="5"/>
        <v>1.14286464</v>
      </c>
      <c r="U42" s="268"/>
      <c r="V42" s="602" t="str">
        <f>'Data manipulation'!$B$33</f>
        <v>Electricity</v>
      </c>
      <c r="W42" s="254" t="s">
        <v>189</v>
      </c>
      <c r="X42" s="246">
        <v>2010</v>
      </c>
      <c r="Y42" s="434">
        <f>_xlfn.IFNA(INDEX('Data manipulation'!$C$23:$O$39,MATCH($V42,'Data manipulation'!$B$23:$B$39,0),MATCH($X42,'Data manipulation'!$C$22:$O$22,0))/1000,0)*SUMIFS('Regional split'!$F$4:$F$6,'Regional split'!$B$4:$B$6,Y$3)*SUMIFS('Data manipulation'!$V$39:$V$42,'Data manipulation'!$X$39:$X$42,$E42,'Data manipulation'!$Y$39:$Y$42,$D42)</f>
        <v>0.57133439999999991</v>
      </c>
      <c r="Z42" s="270">
        <f>_xlfn.IFNA(INDEX('Data manipulation'!$C$23:$O$39,MATCH($V42,'Data manipulation'!$B$23:$B$39,0),MATCH($X42,'Data manipulation'!$C$22:$O$22,0))/1000,0)*SUMIFS('Regional split'!$F$4:$F$6,'Regional split'!$B$4:$B$6,Z$3)*SUMIFS('Data manipulation'!$V$39:$V$42,'Data manipulation'!$X$39:$X$42,$E42,'Data manipulation'!$Y$39:$Y$42,$D42)</f>
        <v>0</v>
      </c>
      <c r="AA42" s="456">
        <f>_xlfn.IFNA(INDEX('Data manipulation'!$C$23:$O$39,MATCH($V42,'Data manipulation'!$B$23:$B$39,0),MATCH($X42,'Data manipulation'!$C$22:$O$22,0))/1000,0)*SUMIFS('Regional split'!$F$4:$F$6,'Regional split'!$B$4:$B$6,AA$3)*SUMIFS('Data manipulation'!$V$39:$V$42,'Data manipulation'!$X$39:$X$42,$E42,'Data manipulation'!$Y$39:$Y$42,$D42)</f>
        <v>0</v>
      </c>
      <c r="AB42" s="445">
        <f t="shared" si="17"/>
        <v>0.57133439999999991</v>
      </c>
      <c r="AC42" s="251">
        <f t="shared" si="18"/>
        <v>0</v>
      </c>
      <c r="AD42" s="446">
        <f t="shared" si="19"/>
        <v>0</v>
      </c>
      <c r="AV42" s="260"/>
      <c r="BA42" s="252"/>
    </row>
    <row r="43" spans="2:53" ht="15" customHeight="1">
      <c r="B43" s="233" t="str">
        <f>Processes!D90</f>
        <v>RHTRMELCHE2</v>
      </c>
      <c r="C43" s="233" t="str">
        <f>Processes!E90</f>
        <v>Residential Heating Technology Rural Multi - Electricity Heating - Existing 2</v>
      </c>
      <c r="D43" s="233" t="s">
        <v>735</v>
      </c>
      <c r="E43" s="233" t="s">
        <v>778</v>
      </c>
      <c r="F43" s="230" t="str">
        <f>Commodities!$C$28</f>
        <v>RESELCH</v>
      </c>
      <c r="G43" s="259" t="str">
        <f>Commodities!$C$45</f>
        <v>RESHRMB</v>
      </c>
      <c r="H43" s="259">
        <v>2010</v>
      </c>
      <c r="I43" s="250">
        <f t="shared" si="27"/>
        <v>197.9</v>
      </c>
      <c r="J43" s="250">
        <f t="shared" si="28"/>
        <v>0</v>
      </c>
      <c r="K43" s="250">
        <f t="shared" si="29"/>
        <v>0</v>
      </c>
      <c r="L43" s="462">
        <v>2.3149999999999999</v>
      </c>
      <c r="M43" s="462">
        <v>2.3149999999999999</v>
      </c>
      <c r="N43" s="462">
        <v>2.3149999999999999</v>
      </c>
      <c r="O43" s="244">
        <f t="shared" si="23"/>
        <v>3.1536000000000002E-2</v>
      </c>
      <c r="P43" s="460">
        <v>0.2</v>
      </c>
      <c r="Q43" s="245">
        <v>30</v>
      </c>
      <c r="R43" s="227">
        <v>2</v>
      </c>
      <c r="T43" s="268">
        <f t="shared" si="5"/>
        <v>0.5391770539956805</v>
      </c>
      <c r="U43" s="268"/>
      <c r="V43" s="602" t="str">
        <f>'Data manipulation'!$B$30</f>
        <v>Ambient heat (heat pumps)</v>
      </c>
      <c r="W43" s="254" t="s">
        <v>190</v>
      </c>
      <c r="X43" s="246">
        <v>2010</v>
      </c>
      <c r="Y43" s="434">
        <f>_xlfn.IFNA(INDEX('Data manipulation'!$C$23:$O$39,MATCH($V43,'Data manipulation'!$B$23:$B$39,0),MATCH($X43,'Data manipulation'!$C$22:$O$22,0))/1000,0)*SUMIFS('Regional split'!$F$4:$F$6,'Regional split'!$B$4:$B$6,Y$3)*SUMIFS('Data manipulation'!$V$39:$V$42,'Data manipulation'!$X$39:$X$42,$E43,'Data manipulation'!$Y$39:$Y$42,$D43)</f>
        <v>0.26956502999999998</v>
      </c>
      <c r="Z43" s="270">
        <f>_xlfn.IFNA(INDEX('Data manipulation'!$C$23:$O$39,MATCH($V43,'Data manipulation'!$B$23:$B$39,0),MATCH($X43,'Data manipulation'!$C$22:$O$22,0))/1000,0)*SUMIFS('Regional split'!$F$4:$F$6,'Regional split'!$B$4:$B$6,Z$3)*SUMIFS('Data manipulation'!$V$39:$V$42,'Data manipulation'!$X$39:$X$42,$E43,'Data manipulation'!$Y$39:$Y$42,$D43)</f>
        <v>0</v>
      </c>
      <c r="AA43" s="456">
        <f>_xlfn.IFNA(INDEX('Data manipulation'!$C$23:$O$39,MATCH($V43,'Data manipulation'!$B$23:$B$39,0),MATCH($X43,'Data manipulation'!$C$22:$O$22,0))/1000,0)*SUMIFS('Regional split'!$F$4:$F$6,'Regional split'!$B$4:$B$6,AA$3)*SUMIFS('Data manipulation'!$V$39:$V$42,'Data manipulation'!$X$39:$X$42,$E43,'Data manipulation'!$Y$39:$Y$42,$D43)</f>
        <v>0</v>
      </c>
      <c r="AB43" s="445">
        <f t="shared" si="17"/>
        <v>0.62404304444999992</v>
      </c>
      <c r="AC43" s="251">
        <f t="shared" si="18"/>
        <v>0</v>
      </c>
      <c r="AD43" s="446">
        <f t="shared" si="19"/>
        <v>0</v>
      </c>
      <c r="AE43" s="654">
        <f>SUM(Y6:Y45)</f>
        <v>1922.1464490000001</v>
      </c>
      <c r="AF43" s="654">
        <f t="shared" ref="AF43:AH43" si="30">SUM(Z6:Z45)</f>
        <v>0</v>
      </c>
      <c r="AG43" s="654">
        <f t="shared" si="30"/>
        <v>0</v>
      </c>
      <c r="AH43" s="654">
        <f t="shared" si="30"/>
        <v>1480.5882436212739</v>
      </c>
      <c r="AV43" s="260"/>
      <c r="BA43" s="252"/>
    </row>
    <row r="44" spans="2:53" ht="15" customHeight="1">
      <c r="B44" s="233" t="str">
        <f>Processes!D91</f>
        <v>RHTRMHCEE1</v>
      </c>
      <c r="C44" s="233" t="str">
        <f>Processes!E91</f>
        <v>Residential Heating Technology Rural Multi - District heating Central - Existing 1</v>
      </c>
      <c r="D44" s="233" t="s">
        <v>735</v>
      </c>
      <c r="E44" s="233" t="s">
        <v>778</v>
      </c>
      <c r="F44" s="230" t="str">
        <f>Commodities!$C$35</f>
        <v>RESHDE</v>
      </c>
      <c r="G44" s="261" t="str">
        <f>Commodities!$C$41</f>
        <v>RESHRMX</v>
      </c>
      <c r="H44" s="261">
        <v>2010</v>
      </c>
      <c r="I44" s="572">
        <v>0</v>
      </c>
      <c r="J44" s="572">
        <v>0</v>
      </c>
      <c r="K44" s="572">
        <v>0</v>
      </c>
      <c r="L44" s="462">
        <v>0.98</v>
      </c>
      <c r="M44" s="462">
        <v>0.98</v>
      </c>
      <c r="N44" s="462">
        <v>0.98</v>
      </c>
      <c r="O44" s="244">
        <f t="shared" si="23"/>
        <v>3.1536000000000002E-2</v>
      </c>
      <c r="P44" s="460">
        <v>0.2</v>
      </c>
      <c r="Q44" s="245">
        <v>30</v>
      </c>
      <c r="R44" s="227">
        <v>2</v>
      </c>
      <c r="T44" s="268">
        <f t="shared" si="5"/>
        <v>0</v>
      </c>
      <c r="U44" s="268"/>
      <c r="V44" s="602" t="str">
        <f>'Data manipulation'!$B$34</f>
        <v>Heat</v>
      </c>
      <c r="W44" s="254" t="s">
        <v>191</v>
      </c>
      <c r="X44" s="246">
        <v>2010</v>
      </c>
      <c r="Y44" s="434">
        <f>_xlfn.IFNA(INDEX('Data manipulation'!$C$23:$O$39,MATCH($V44,'Data manipulation'!$B$23:$B$39,0),MATCH($X44,'Data manipulation'!$C$22:$O$22,0))/1000,0)*SUMIFS('Regional split'!$F$4:$F$6,'Regional split'!$B$4:$B$6,Y$3)*SUMIFS('Data manipulation'!$V$39:$V$42,'Data manipulation'!$X$39:$X$42,$E44,'Data manipulation'!$Y$39:$Y$42,$D44)</f>
        <v>2.478220318</v>
      </c>
      <c r="Z44" s="270">
        <f>_xlfn.IFNA(INDEX('Data manipulation'!$C$23:$O$39,MATCH($V44,'Data manipulation'!$B$23:$B$39,0),MATCH($X44,'Data manipulation'!$C$22:$O$22,0))/1000,0)*SUMIFS('Regional split'!$F$4:$F$6,'Regional split'!$B$4:$B$6,Z$3)*SUMIFS('Data manipulation'!$V$39:$V$42,'Data manipulation'!$X$39:$X$42,$E44,'Data manipulation'!$Y$39:$Y$42,$D44)</f>
        <v>0</v>
      </c>
      <c r="AA44" s="456">
        <f>_xlfn.IFNA(INDEX('Data manipulation'!$C$23:$O$39,MATCH($V44,'Data manipulation'!$B$23:$B$39,0),MATCH($X44,'Data manipulation'!$C$22:$O$22,0))/1000,0)*SUMIFS('Regional split'!$F$4:$F$6,'Regional split'!$B$4:$B$6,AA$3)*SUMIFS('Data manipulation'!$V$39:$V$42,'Data manipulation'!$X$39:$X$42,$E44,'Data manipulation'!$Y$39:$Y$42,$D44)</f>
        <v>0</v>
      </c>
      <c r="AB44" s="445">
        <f t="shared" si="17"/>
        <v>2.4286559116399999</v>
      </c>
      <c r="AC44" s="251">
        <f t="shared" si="18"/>
        <v>0</v>
      </c>
      <c r="AD44" s="446">
        <f t="shared" si="19"/>
        <v>0</v>
      </c>
      <c r="AV44" s="260"/>
      <c r="BA44" s="253"/>
    </row>
    <row r="45" spans="2:53" ht="15" customHeight="1" thickBot="1">
      <c r="B45" s="556" t="str">
        <f>Processes!D92</f>
        <v>RHTRMLPGE1</v>
      </c>
      <c r="C45" s="556" t="str">
        <f>Processes!E92</f>
        <v>Residential Heating Technology Rural Multi - LPG - Existing 1</v>
      </c>
      <c r="D45" s="538" t="s">
        <v>735</v>
      </c>
      <c r="E45" s="538" t="s">
        <v>778</v>
      </c>
      <c r="F45" s="537" t="str">
        <f>F35</f>
        <v>RESLPG</v>
      </c>
      <c r="G45" s="425" t="str">
        <f>G43</f>
        <v>RESHRMB</v>
      </c>
      <c r="H45" s="425">
        <v>2010</v>
      </c>
      <c r="I45" s="297">
        <f t="shared" ref="I45" si="31">ROUNDUP(AB45/($O45*$P45)*$R45,1)</f>
        <v>0</v>
      </c>
      <c r="J45" s="297">
        <f t="shared" ref="J45" si="32">ROUNDUP(AC45/($O45*$P45)*$R45,1)</f>
        <v>0</v>
      </c>
      <c r="K45" s="297">
        <f t="shared" ref="K45" si="33">ROUNDUP(AD45/($O45*$P45)*$R45,1)</f>
        <v>0</v>
      </c>
      <c r="L45" s="464">
        <v>0.98</v>
      </c>
      <c r="M45" s="464">
        <v>0.98</v>
      </c>
      <c r="N45" s="464">
        <v>0.98</v>
      </c>
      <c r="O45" s="426">
        <f t="shared" si="23"/>
        <v>3.1536000000000002E-2</v>
      </c>
      <c r="P45" s="460">
        <v>0.2</v>
      </c>
      <c r="Q45" s="427">
        <v>30</v>
      </c>
      <c r="R45" s="227">
        <v>2</v>
      </c>
      <c r="T45" s="268">
        <f t="shared" si="5"/>
        <v>0</v>
      </c>
      <c r="U45" s="268"/>
      <c r="V45" s="602" t="s">
        <v>790</v>
      </c>
      <c r="W45" s="428" t="s">
        <v>790</v>
      </c>
      <c r="X45" s="428">
        <v>2010</v>
      </c>
      <c r="Y45" s="436">
        <f>_xlfn.IFNA(INDEX('Data manipulation'!$C$23:$O$39,MATCH($V45,'Data manipulation'!$B$23:$B$39,0),MATCH($X45,'Data manipulation'!$C$22:$O$22,0))/1000,0)*SUMIFS('Regional split'!$F$4:$F$6,'Regional split'!$B$4:$B$6,Y$3)*SUMIFS('Data manipulation'!$V$39:$V$42,'Data manipulation'!$X$39:$X$42,$E45,'Data manipulation'!$Y$39:$Y$42,$D45)</f>
        <v>0</v>
      </c>
      <c r="Z45" s="429">
        <f>_xlfn.IFNA(INDEX('Data manipulation'!$C$23:$O$39,MATCH($V45,'Data manipulation'!$B$23:$B$39,0),MATCH($X45,'Data manipulation'!$C$22:$O$22,0))/1000,0)*SUMIFS('Regional split'!$F$4:$F$6,'Regional split'!$B$4:$B$6,Z$3)*SUMIFS('Data manipulation'!$V$39:$V$42,'Data manipulation'!$X$39:$X$42,$E45,'Data manipulation'!$Y$39:$Y$42,$D45)</f>
        <v>0</v>
      </c>
      <c r="AA45" s="458">
        <f>_xlfn.IFNA(INDEX('Data manipulation'!$C$23:$O$39,MATCH($V45,'Data manipulation'!$B$23:$B$39,0),MATCH($X45,'Data manipulation'!$C$22:$O$22,0))/1000,0)*SUMIFS('Regional split'!$F$4:$F$6,'Regional split'!$B$4:$B$6,AA$3)*SUMIFS('Data manipulation'!$V$39:$V$42,'Data manipulation'!$X$39:$X$42,$E45,'Data manipulation'!$Y$39:$Y$42,$D45)</f>
        <v>0</v>
      </c>
      <c r="AB45" s="450">
        <f t="shared" si="17"/>
        <v>0</v>
      </c>
      <c r="AC45" s="430">
        <f t="shared" si="18"/>
        <v>0</v>
      </c>
      <c r="AD45" s="451">
        <f t="shared" si="19"/>
        <v>0</v>
      </c>
      <c r="AV45" s="260"/>
      <c r="BA45" s="252"/>
    </row>
    <row r="46" spans="2:53" ht="15" customHeight="1">
      <c r="B46" s="227" t="str">
        <f>B6</f>
        <v>RHTUDNGAE1</v>
      </c>
      <c r="C46" s="227" t="str">
        <f t="shared" ref="C46:G46" si="34">C6</f>
        <v>Residential Heating Technology Urban Detached - Natural Gas - Existing 1</v>
      </c>
      <c r="D46" s="227" t="str">
        <f t="shared" si="34"/>
        <v>Urban</v>
      </c>
      <c r="E46" s="227" t="str">
        <f t="shared" si="34"/>
        <v>Detached</v>
      </c>
      <c r="F46" s="227" t="str">
        <f t="shared" si="34"/>
        <v>RESNGA,RESSNG,RESBGA</v>
      </c>
      <c r="G46" s="227" t="str">
        <f t="shared" si="34"/>
        <v>RESHUDB</v>
      </c>
      <c r="H46" s="230">
        <v>2015</v>
      </c>
      <c r="I46" s="250">
        <f>ROUNDUP(AB46/($O46*$P46)*$R46,1)</f>
        <v>67310.8</v>
      </c>
      <c r="J46" s="250">
        <f>ROUNDUP(AC46/($O46*$P46)*$R46,1)</f>
        <v>0</v>
      </c>
      <c r="K46" s="250">
        <f>ROUNDUP(AD46/($O46*$P46)*$R46,1)</f>
        <v>0</v>
      </c>
      <c r="L46" s="462">
        <v>0.72</v>
      </c>
      <c r="M46" s="462">
        <v>0.72</v>
      </c>
      <c r="N46" s="462">
        <v>0.72</v>
      </c>
      <c r="O46" s="244">
        <f>31.536/1000</f>
        <v>3.1536000000000002E-2</v>
      </c>
      <c r="P46" s="460">
        <v>0.2</v>
      </c>
      <c r="Q46" s="245">
        <v>22</v>
      </c>
      <c r="R46" s="227">
        <v>2</v>
      </c>
      <c r="T46" s="268">
        <f t="shared" si="5"/>
        <v>589.64260800000011</v>
      </c>
      <c r="U46" s="268"/>
      <c r="V46" s="602" t="str">
        <f>'Data manipulation'!$B$36</f>
        <v>Natural gas, biogas and LNG</v>
      </c>
      <c r="W46" s="246" t="s">
        <v>187</v>
      </c>
      <c r="X46" s="246">
        <v>2015</v>
      </c>
      <c r="Y46" s="434">
        <f>_xlfn.IFNA(INDEX('Data manipulation'!$C$23:$O$39,MATCH($V46,'Data manipulation'!$B$23:$B$39,0),MATCH($X46,'Data manipulation'!$C$22:$O$22,0))/1000,0)*SUMIFS('Regional split'!$F$4:$F$6,'Regional split'!$B$4:$B$6,Y$3)*SUMIFS('Data manipulation'!$V$39:$V$42,'Data manipulation'!$X$39:$X$42,$E46,'Data manipulation'!$Y$39:$Y$42,$D46)</f>
        <v>294.82094627999999</v>
      </c>
      <c r="Z46" s="270">
        <f>_xlfn.IFNA(INDEX('Data manipulation'!$C$23:$O$39,MATCH($V46,'Data manipulation'!$B$23:$B$39,0),MATCH($X46,'Data manipulation'!$C$22:$O$22,0))/1000,0)*SUMIFS('Regional split'!$F$4:$F$6,'Regional split'!$B$4:$B$6,Z$3)*SUMIFS('Data manipulation'!$V$39:$V$42,'Data manipulation'!$X$39:$X$42,$E46,'Data manipulation'!$Y$39:$Y$42,$D46)</f>
        <v>0</v>
      </c>
      <c r="AA46" s="456">
        <f>_xlfn.IFNA(INDEX('Data manipulation'!$C$23:$O$39,MATCH($V46,'Data manipulation'!$B$23:$B$39,0),MATCH($X46,'Data manipulation'!$C$22:$O$22,0))/1000,0)*SUMIFS('Regional split'!$F$4:$F$6,'Regional split'!$B$4:$B$6,AA$3)*SUMIFS('Data manipulation'!$V$39:$V$42,'Data manipulation'!$X$39:$X$42,$E46,'Data manipulation'!$Y$39:$Y$42,$D46)</f>
        <v>0</v>
      </c>
      <c r="AB46" s="445">
        <f>Y46*L46</f>
        <v>212.27108132159998</v>
      </c>
      <c r="AC46" s="251">
        <f t="shared" si="0"/>
        <v>0</v>
      </c>
      <c r="AD46" s="446">
        <f t="shared" si="1"/>
        <v>0</v>
      </c>
      <c r="AE46" s="262"/>
      <c r="AU46" s="260"/>
      <c r="AZ46" s="252"/>
    </row>
    <row r="47" spans="2:53" ht="15" customHeight="1">
      <c r="B47" s="227" t="str">
        <f t="shared" ref="B47:C66" si="35">B7</f>
        <v>RHTUDDSLE1</v>
      </c>
      <c r="C47" s="227" t="str">
        <f t="shared" si="35"/>
        <v>Residential Heating Technology Urban Detached - Diesel - Existing 1</v>
      </c>
      <c r="D47" s="227" t="str">
        <f t="shared" ref="D47:E47" si="36">D7</f>
        <v>Urban</v>
      </c>
      <c r="E47" s="227" t="str">
        <f t="shared" si="36"/>
        <v>Detached</v>
      </c>
      <c r="F47" s="227" t="str">
        <f t="shared" ref="F47:G47" si="37">F7</f>
        <v>RESDSL,RESDSB</v>
      </c>
      <c r="G47" s="227" t="str">
        <f t="shared" si="37"/>
        <v>RESHUDB</v>
      </c>
      <c r="H47" s="230">
        <v>2015</v>
      </c>
      <c r="I47" s="250">
        <f t="shared" ref="I47:I54" si="38">ROUNDUP(AB47/($O47*$P47)*$R47,1)</f>
        <v>37582.5</v>
      </c>
      <c r="J47" s="250">
        <f t="shared" ref="J47:J53" si="39">ROUNDUP(AC47/($O47*$P47)*$R47,1)</f>
        <v>0</v>
      </c>
      <c r="K47" s="250">
        <f t="shared" ref="K47:K53" si="40">ROUNDUP(AD47/($O47*$P47)*$R47,1)</f>
        <v>0</v>
      </c>
      <c r="L47" s="462">
        <v>0.71</v>
      </c>
      <c r="M47" s="462">
        <v>0.71</v>
      </c>
      <c r="N47" s="462">
        <v>0.71</v>
      </c>
      <c r="O47" s="244">
        <f>31.536/1000</f>
        <v>3.1536000000000002E-2</v>
      </c>
      <c r="P47" s="460">
        <v>0.2</v>
      </c>
      <c r="Q47" s="245">
        <v>20</v>
      </c>
      <c r="R47" s="227">
        <v>2</v>
      </c>
      <c r="T47" s="268">
        <f t="shared" si="5"/>
        <v>333.85963943661972</v>
      </c>
      <c r="V47" s="602" t="str">
        <f>'Data manipulation'!$B$35</f>
        <v>Oil products</v>
      </c>
      <c r="W47" s="254" t="s">
        <v>749</v>
      </c>
      <c r="X47" s="246">
        <v>2015</v>
      </c>
      <c r="Y47" s="434">
        <f>_xlfn.IFNA(INDEX('Data manipulation'!$C$23:$O$39,MATCH($V47,'Data manipulation'!$B$23:$B$39,0),MATCH($X47,'Data manipulation'!$C$22:$O$22,0))/1000,0)*SUMIFS('Regional split'!$F$4:$F$6,'Regional split'!$B$4:$B$6,Y$3)*SUMIFS('Data manipulation'!$V$39:$V$42,'Data manipulation'!$X$39:$X$42,$E47,'Data manipulation'!$Y$39:$Y$42,$D47)</f>
        <v>166.92947082000001</v>
      </c>
      <c r="Z47" s="270">
        <f>_xlfn.IFNA(INDEX('Data manipulation'!$C$23:$O$39,MATCH($V47,'Data manipulation'!$B$23:$B$39,0),MATCH($X47,'Data manipulation'!$C$22:$O$22,0))/1000,0)*SUMIFS('Regional split'!$F$4:$F$6,'Regional split'!$B$4:$B$6,Z$3)*SUMIFS('Data manipulation'!$V$39:$V$42,'Data manipulation'!$X$39:$X$42,$E47,'Data manipulation'!$Y$39:$Y$42,$D47)</f>
        <v>0</v>
      </c>
      <c r="AA47" s="456">
        <f>_xlfn.IFNA(INDEX('Data manipulation'!$C$23:$O$39,MATCH($V47,'Data manipulation'!$B$23:$B$39,0),MATCH($X47,'Data manipulation'!$C$22:$O$22,0))/1000,0)*SUMIFS('Regional split'!$F$4:$F$6,'Regional split'!$B$4:$B$6,AA$3)*SUMIFS('Data manipulation'!$V$39:$V$42,'Data manipulation'!$X$39:$X$42,$E47,'Data manipulation'!$Y$39:$Y$42,$D47)</f>
        <v>0</v>
      </c>
      <c r="AB47" s="445">
        <f t="shared" si="6"/>
        <v>118.51992428219999</v>
      </c>
      <c r="AC47" s="251">
        <f t="shared" si="0"/>
        <v>0</v>
      </c>
      <c r="AD47" s="446">
        <f t="shared" si="1"/>
        <v>0</v>
      </c>
      <c r="AE47" s="262"/>
      <c r="AU47" s="260"/>
      <c r="AZ47" s="252"/>
    </row>
    <row r="48" spans="2:53" ht="15" customHeight="1">
      <c r="B48" s="227" t="str">
        <f t="shared" si="35"/>
        <v>RHTUDWPEE1</v>
      </c>
      <c r="C48" s="227" t="str">
        <f t="shared" si="35"/>
        <v>Residential Heating Technology Urban Detached - Wood pellets - Existing 1</v>
      </c>
      <c r="D48" s="227" t="str">
        <f t="shared" ref="D48:E48" si="41">D8</f>
        <v>Urban</v>
      </c>
      <c r="E48" s="227" t="str">
        <f t="shared" si="41"/>
        <v>Detached</v>
      </c>
      <c r="F48" s="227" t="str">
        <f t="shared" ref="F48:G48" si="42">F8</f>
        <v>RESWPE</v>
      </c>
      <c r="G48" s="227" t="str">
        <f t="shared" si="42"/>
        <v>RESHUDB</v>
      </c>
      <c r="H48" s="230">
        <v>2015</v>
      </c>
      <c r="I48" s="250">
        <f t="shared" si="38"/>
        <v>0</v>
      </c>
      <c r="J48" s="250">
        <f t="shared" si="39"/>
        <v>0</v>
      </c>
      <c r="K48" s="250">
        <f t="shared" si="40"/>
        <v>0</v>
      </c>
      <c r="L48" s="462">
        <v>0.61</v>
      </c>
      <c r="M48" s="462">
        <v>0.61</v>
      </c>
      <c r="N48" s="462">
        <v>0.61</v>
      </c>
      <c r="O48" s="244">
        <f t="shared" ref="O48:O65" si="43">31.536/1000</f>
        <v>3.1536000000000002E-2</v>
      </c>
      <c r="P48" s="460">
        <v>0.2</v>
      </c>
      <c r="Q48" s="245">
        <v>20</v>
      </c>
      <c r="R48" s="227">
        <v>2</v>
      </c>
      <c r="T48" s="268">
        <f t="shared" si="5"/>
        <v>0</v>
      </c>
      <c r="U48" s="268"/>
      <c r="V48" s="602" t="s">
        <v>206</v>
      </c>
      <c r="W48" s="254" t="s">
        <v>896</v>
      </c>
      <c r="X48" s="246">
        <v>2015</v>
      </c>
      <c r="Y48" s="434">
        <f>_xlfn.IFNA(INDEX('Data manipulation'!$C$23:$O$39,MATCH($V48,'Data manipulation'!$B$23:$B$39,0),MATCH($X48,'Data manipulation'!$C$22:$O$22,0))/1000,0)*SUMIFS('Regional split'!$F$4:$F$6,'Regional split'!$B$4:$B$6,Y$3)*SUMIFS('Data manipulation'!$V$39:$V$42,'Data manipulation'!$X$39:$X$42,$E48,'Data manipulation'!$Y$39:$Y$42,$D48)</f>
        <v>0</v>
      </c>
      <c r="Z48" s="270">
        <f>_xlfn.IFNA(INDEX('Data manipulation'!$C$23:$O$39,MATCH($V48,'Data manipulation'!$B$23:$B$39,0),MATCH($X48,'Data manipulation'!$C$22:$O$22,0))/1000,0)*SUMIFS('Regional split'!$F$4:$F$6,'Regional split'!$B$4:$B$6,Z$3)*SUMIFS('Data manipulation'!$V$39:$V$42,'Data manipulation'!$X$39:$X$42,$E48,'Data manipulation'!$Y$39:$Y$42,$D48)</f>
        <v>0</v>
      </c>
      <c r="AA48" s="456">
        <f>_xlfn.IFNA(INDEX('Data manipulation'!$C$23:$O$39,MATCH($V48,'Data manipulation'!$B$23:$B$39,0),MATCH($X48,'Data manipulation'!$C$22:$O$22,0))/1000,0)*SUMIFS('Regional split'!$F$4:$F$6,'Regional split'!$B$4:$B$6,AA$3)*SUMIFS('Data manipulation'!$V$39:$V$42,'Data manipulation'!$X$39:$X$42,$E48,'Data manipulation'!$Y$39:$Y$42,$D48)</f>
        <v>0</v>
      </c>
      <c r="AB48" s="445">
        <f t="shared" si="6"/>
        <v>0</v>
      </c>
      <c r="AC48" s="251">
        <f t="shared" si="0"/>
        <v>0</v>
      </c>
      <c r="AD48" s="446">
        <f t="shared" si="1"/>
        <v>0</v>
      </c>
      <c r="AE48" s="262"/>
      <c r="AU48" s="260"/>
      <c r="AZ48" s="252"/>
    </row>
    <row r="49" spans="2:52" ht="15" customHeight="1">
      <c r="B49" s="227" t="str">
        <f t="shared" si="35"/>
        <v>RHTUDFIWE1</v>
      </c>
      <c r="C49" s="227" t="str">
        <f t="shared" si="35"/>
        <v>Residential Heating Technology Urban Detached - Fire wood - Existing 1</v>
      </c>
      <c r="D49" s="227" t="str">
        <f t="shared" ref="D49:E49" si="44">D9</f>
        <v>Urban</v>
      </c>
      <c r="E49" s="227" t="str">
        <f t="shared" si="44"/>
        <v>Detached</v>
      </c>
      <c r="F49" s="227" t="str">
        <f t="shared" ref="F49:G49" si="45">F9</f>
        <v>RESFIW</v>
      </c>
      <c r="G49" s="227" t="str">
        <f t="shared" si="45"/>
        <v>RESHUDB</v>
      </c>
      <c r="H49" s="230">
        <v>2015</v>
      </c>
      <c r="I49" s="250">
        <f t="shared" si="38"/>
        <v>18009.3</v>
      </c>
      <c r="J49" s="250">
        <f t="shared" si="39"/>
        <v>0</v>
      </c>
      <c r="K49" s="250">
        <f t="shared" si="40"/>
        <v>0</v>
      </c>
      <c r="L49" s="462">
        <v>0.65000022993955098</v>
      </c>
      <c r="M49" s="462">
        <v>0.65000022993955098</v>
      </c>
      <c r="N49" s="462">
        <v>0.65000022993955098</v>
      </c>
      <c r="O49" s="244">
        <f t="shared" si="43"/>
        <v>3.1536000000000002E-2</v>
      </c>
      <c r="P49" s="460">
        <v>0.2</v>
      </c>
      <c r="Q49" s="245">
        <v>20</v>
      </c>
      <c r="R49" s="227">
        <v>2</v>
      </c>
      <c r="T49" s="268">
        <f t="shared" si="5"/>
        <v>174.75110273509216</v>
      </c>
      <c r="U49" s="268"/>
      <c r="V49" s="602" t="str">
        <f>'Data manipulation'!$B$31</f>
        <v>Primary solid biofuels</v>
      </c>
      <c r="W49" s="254" t="s">
        <v>196</v>
      </c>
      <c r="X49" s="246">
        <v>2015</v>
      </c>
      <c r="Y49" s="434">
        <f>_xlfn.IFNA(INDEX('Data manipulation'!$C$23:$O$39,MATCH($V49,'Data manipulation'!$B$23:$B$39,0),MATCH($X49,'Data manipulation'!$C$22:$O$22,0))/1000,0)*SUMIFS('Regional split'!$F$4:$F$6,'Regional split'!$B$4:$B$6,Y$3)*SUMIFS('Data manipulation'!$V$39:$V$42,'Data manipulation'!$X$39:$X$42,$E49,'Data manipulation'!$Y$39:$Y$42,$D49)</f>
        <v>87.37509227999999</v>
      </c>
      <c r="Z49" s="270">
        <f>_xlfn.IFNA(INDEX('Data manipulation'!$C$23:$O$39,MATCH($V49,'Data manipulation'!$B$23:$B$39,0),MATCH($X49,'Data manipulation'!$C$22:$O$22,0))/1000,0)*SUMIFS('Regional split'!$F$4:$F$6,'Regional split'!$B$4:$B$6,Z$3)*SUMIFS('Data manipulation'!$V$39:$V$42,'Data manipulation'!$X$39:$X$42,$E49,'Data manipulation'!$Y$39:$Y$42,$D49)</f>
        <v>0</v>
      </c>
      <c r="AA49" s="456">
        <f>_xlfn.IFNA(INDEX('Data manipulation'!$C$23:$O$39,MATCH($V49,'Data manipulation'!$B$23:$B$39,0),MATCH($X49,'Data manipulation'!$C$22:$O$22,0))/1000,0)*SUMIFS('Regional split'!$F$4:$F$6,'Regional split'!$B$4:$B$6,AA$3)*SUMIFS('Data manipulation'!$V$39:$V$42,'Data manipulation'!$X$39:$X$42,$E49,'Data manipulation'!$Y$39:$Y$42,$D49)</f>
        <v>0</v>
      </c>
      <c r="AB49" s="445">
        <f t="shared" si="6"/>
        <v>56.793830072989479</v>
      </c>
      <c r="AC49" s="251">
        <f t="shared" si="0"/>
        <v>0</v>
      </c>
      <c r="AD49" s="446">
        <f t="shared" si="1"/>
        <v>0</v>
      </c>
      <c r="AE49" s="262"/>
      <c r="AU49" s="260"/>
      <c r="AZ49" s="252"/>
    </row>
    <row r="50" spans="2:52" ht="15" customHeight="1">
      <c r="B50" s="233" t="str">
        <f t="shared" si="35"/>
        <v>RHTUDCOAE1</v>
      </c>
      <c r="C50" s="233" t="str">
        <f t="shared" si="35"/>
        <v>Residential Heating Technology Urban Detached - Coal - Existing 1</v>
      </c>
      <c r="D50" s="233" t="str">
        <f t="shared" ref="D50:E50" si="46">D10</f>
        <v>Urban</v>
      </c>
      <c r="E50" s="233" t="str">
        <f t="shared" si="46"/>
        <v>Detached</v>
      </c>
      <c r="F50" s="233" t="str">
        <f t="shared" ref="F50:G50" si="47">F10</f>
        <v>RESCOA</v>
      </c>
      <c r="G50" s="233" t="str">
        <f t="shared" si="47"/>
        <v>RESHUDB</v>
      </c>
      <c r="H50" s="230">
        <v>2015</v>
      </c>
      <c r="I50" s="250">
        <f t="shared" si="38"/>
        <v>2213.2999999999997</v>
      </c>
      <c r="J50" s="250">
        <f t="shared" si="39"/>
        <v>0</v>
      </c>
      <c r="K50" s="250">
        <f t="shared" si="40"/>
        <v>0</v>
      </c>
      <c r="L50" s="462">
        <v>0.7</v>
      </c>
      <c r="M50" s="462">
        <v>0.7</v>
      </c>
      <c r="N50" s="462">
        <v>0.7</v>
      </c>
      <c r="O50" s="244">
        <f t="shared" si="43"/>
        <v>3.1536000000000002E-2</v>
      </c>
      <c r="P50" s="460">
        <v>0.2</v>
      </c>
      <c r="Q50" s="245">
        <v>20</v>
      </c>
      <c r="R50" s="227">
        <v>2</v>
      </c>
      <c r="T50" s="268">
        <f t="shared" si="5"/>
        <v>19.942465371428568</v>
      </c>
      <c r="U50" s="268"/>
      <c r="V50" s="602" t="str">
        <f>'Data manipulation'!$B$23</f>
        <v>Solid fossil fuels, peat, peat products, oil shale and oil sands</v>
      </c>
      <c r="W50" s="254" t="s">
        <v>893</v>
      </c>
      <c r="X50" s="246">
        <v>2015</v>
      </c>
      <c r="Y50" s="434">
        <f>_xlfn.IFNA(INDEX('Data manipulation'!$C$23:$O$39,MATCH($V50,'Data manipulation'!$B$23:$B$39,0),MATCH($X50,'Data manipulation'!$C$22:$O$22,0))/1000,0)*SUMIFS('Regional split'!$F$4:$F$6,'Regional split'!$B$4:$B$6,Y$3)*SUMIFS('Data manipulation'!$V$39:$V$42,'Data manipulation'!$X$39:$X$42,$E50,'Data manipulation'!$Y$39:$Y$42,$D50)</f>
        <v>9.9711078599999983</v>
      </c>
      <c r="Z50" s="270">
        <f>_xlfn.IFNA(INDEX('Data manipulation'!$C$23:$O$39,MATCH($V50,'Data manipulation'!$B$23:$B$39,0),MATCH($X50,'Data manipulation'!$C$22:$O$22,0))/1000,0)*SUMIFS('Regional split'!$F$4:$F$6,'Regional split'!$B$4:$B$6,Z$3)*SUMIFS('Data manipulation'!$V$39:$V$42,'Data manipulation'!$X$39:$X$42,$E50,'Data manipulation'!$Y$39:$Y$42,$D50)</f>
        <v>0</v>
      </c>
      <c r="AA50" s="456">
        <f>_xlfn.IFNA(INDEX('Data manipulation'!$C$23:$O$39,MATCH($V50,'Data manipulation'!$B$23:$B$39,0),MATCH($X50,'Data manipulation'!$C$22:$O$22,0))/1000,0)*SUMIFS('Regional split'!$F$4:$F$6,'Regional split'!$B$4:$B$6,AA$3)*SUMIFS('Data manipulation'!$V$39:$V$42,'Data manipulation'!$X$39:$X$42,$E50,'Data manipulation'!$Y$39:$Y$42,$D50)</f>
        <v>0</v>
      </c>
      <c r="AB50" s="445">
        <f t="shared" si="6"/>
        <v>6.9797755019999981</v>
      </c>
      <c r="AC50" s="251">
        <f t="shared" si="0"/>
        <v>0</v>
      </c>
      <c r="AD50" s="446">
        <f t="shared" si="1"/>
        <v>0</v>
      </c>
      <c r="AE50" s="262"/>
      <c r="AU50" s="260"/>
      <c r="AZ50" s="252"/>
    </row>
    <row r="51" spans="2:52" ht="15" customHeight="1">
      <c r="B51" s="233" t="str">
        <f t="shared" si="35"/>
        <v>RHTUDSOLE1</v>
      </c>
      <c r="C51" s="233" t="str">
        <f t="shared" si="35"/>
        <v>Residential Heating Technology Urban Detached - Solar - Existing 1</v>
      </c>
      <c r="D51" s="233" t="str">
        <f t="shared" ref="D51:E51" si="48">D11</f>
        <v>Urban</v>
      </c>
      <c r="E51" s="233" t="str">
        <f t="shared" si="48"/>
        <v>Detached</v>
      </c>
      <c r="F51" s="233" t="str">
        <f t="shared" ref="F51:G51" si="49">F11</f>
        <v>RESSOL</v>
      </c>
      <c r="G51" s="233" t="str">
        <f t="shared" si="49"/>
        <v>RESHUDB</v>
      </c>
      <c r="H51" s="230">
        <v>2015</v>
      </c>
      <c r="I51" s="250">
        <f t="shared" si="38"/>
        <v>462.1</v>
      </c>
      <c r="J51" s="250">
        <f t="shared" si="39"/>
        <v>0</v>
      </c>
      <c r="K51" s="250">
        <f t="shared" si="40"/>
        <v>0</v>
      </c>
      <c r="L51" s="462">
        <v>1</v>
      </c>
      <c r="M51" s="462">
        <v>1</v>
      </c>
      <c r="N51" s="462">
        <v>1</v>
      </c>
      <c r="O51" s="244">
        <f t="shared" si="43"/>
        <v>3.1536000000000002E-2</v>
      </c>
      <c r="P51" s="460">
        <v>0.2</v>
      </c>
      <c r="Q51" s="245">
        <v>20</v>
      </c>
      <c r="R51" s="227">
        <v>2</v>
      </c>
      <c r="T51" s="268">
        <f t="shared" si="5"/>
        <v>2.9145571200000004</v>
      </c>
      <c r="U51" s="268"/>
      <c r="V51" s="602" t="str">
        <f>'Data manipulation'!$B$29</f>
        <v>Solar thermal</v>
      </c>
      <c r="W51" s="254" t="s">
        <v>188</v>
      </c>
      <c r="X51" s="246">
        <v>2015</v>
      </c>
      <c r="Y51" s="434">
        <f>_xlfn.IFNA(INDEX('Data manipulation'!$C$23:$O$39,MATCH($V51,'Data manipulation'!$B$23:$B$39,0),MATCH($X51,'Data manipulation'!$C$22:$O$22,0))/1000,0)*SUMIFS('Regional split'!$F$4:$F$6,'Regional split'!$B$4:$B$6,Y$3)*SUMIFS('Data manipulation'!$V$39:$V$42,'Data manipulation'!$X$39:$X$42,$E51,'Data manipulation'!$Y$39:$Y$42,$D51)</f>
        <v>1.4570396399999999</v>
      </c>
      <c r="Z51" s="270">
        <f>_xlfn.IFNA(INDEX('Data manipulation'!$C$23:$O$39,MATCH($V51,'Data manipulation'!$B$23:$B$39,0),MATCH($X51,'Data manipulation'!$C$22:$O$22,0))/1000,0)*SUMIFS('Regional split'!$F$4:$F$6,'Regional split'!$B$4:$B$6,Z$3)*SUMIFS('Data manipulation'!$V$39:$V$42,'Data manipulation'!$X$39:$X$42,$E51,'Data manipulation'!$Y$39:$Y$42,$D51)</f>
        <v>0</v>
      </c>
      <c r="AA51" s="456">
        <f>_xlfn.IFNA(INDEX('Data manipulation'!$C$23:$O$39,MATCH($V51,'Data manipulation'!$B$23:$B$39,0),MATCH($X51,'Data manipulation'!$C$22:$O$22,0))/1000,0)*SUMIFS('Regional split'!$F$4:$F$6,'Regional split'!$B$4:$B$6,AA$3)*SUMIFS('Data manipulation'!$V$39:$V$42,'Data manipulation'!$X$39:$X$42,$E51,'Data manipulation'!$Y$39:$Y$42,$D51)</f>
        <v>0</v>
      </c>
      <c r="AB51" s="445">
        <f t="shared" si="6"/>
        <v>1.4570396399999999</v>
      </c>
      <c r="AC51" s="251">
        <f t="shared" si="0"/>
        <v>0</v>
      </c>
      <c r="AD51" s="446">
        <f t="shared" si="1"/>
        <v>0</v>
      </c>
      <c r="AE51" s="262"/>
      <c r="AU51" s="260"/>
      <c r="AZ51" s="252"/>
    </row>
    <row r="52" spans="2:52" ht="15" customHeight="1">
      <c r="B52" s="233" t="str">
        <f t="shared" si="35"/>
        <v>RHTUDELCHE1</v>
      </c>
      <c r="C52" s="233" t="str">
        <f t="shared" si="35"/>
        <v>Residential Heating Technology Urban Detached - Electricity Heating - Existing 1</v>
      </c>
      <c r="D52" s="233" t="str">
        <f t="shared" ref="D52:E52" si="50">D12</f>
        <v>Urban</v>
      </c>
      <c r="E52" s="233" t="str">
        <f t="shared" si="50"/>
        <v>Detached</v>
      </c>
      <c r="F52" s="233" t="str">
        <f t="shared" ref="F52:G52" si="51">F12</f>
        <v>RESELCH</v>
      </c>
      <c r="G52" s="233" t="str">
        <f t="shared" si="51"/>
        <v>RESHUDB</v>
      </c>
      <c r="H52" s="230">
        <v>2015</v>
      </c>
      <c r="I52" s="250">
        <f t="shared" si="38"/>
        <v>4292.9000000000005</v>
      </c>
      <c r="J52" s="250">
        <f t="shared" si="39"/>
        <v>0</v>
      </c>
      <c r="K52" s="250">
        <f t="shared" si="40"/>
        <v>0</v>
      </c>
      <c r="L52" s="462">
        <v>1</v>
      </c>
      <c r="M52" s="462">
        <v>1</v>
      </c>
      <c r="N52" s="462">
        <v>1</v>
      </c>
      <c r="O52" s="244">
        <f t="shared" si="43"/>
        <v>3.1536000000000002E-2</v>
      </c>
      <c r="P52" s="460">
        <v>0.2</v>
      </c>
      <c r="Q52" s="245">
        <v>30</v>
      </c>
      <c r="R52" s="227">
        <v>2</v>
      </c>
      <c r="T52" s="268">
        <f t="shared" si="5"/>
        <v>27.076178880000004</v>
      </c>
      <c r="U52" s="268"/>
      <c r="V52" s="602" t="str">
        <f>'Data manipulation'!$B$33</f>
        <v>Electricity</v>
      </c>
      <c r="W52" s="254" t="s">
        <v>189</v>
      </c>
      <c r="X52" s="246">
        <v>2015</v>
      </c>
      <c r="Y52" s="434">
        <f>_xlfn.IFNA(INDEX('Data manipulation'!$C$23:$O$39,MATCH($V52,'Data manipulation'!$B$23:$B$39,0),MATCH($X52,'Data manipulation'!$C$22:$O$22,0))/1000,0)*SUMIFS('Regional split'!$F$4:$F$6,'Regional split'!$B$4:$B$6,Y$3)*SUMIFS('Data manipulation'!$V$39:$V$42,'Data manipulation'!$X$39:$X$42,$E52,'Data manipulation'!$Y$39:$Y$42,$D52)</f>
        <v>13.538030520000001</v>
      </c>
      <c r="Z52" s="270">
        <f>_xlfn.IFNA(INDEX('Data manipulation'!$C$23:$O$39,MATCH($V52,'Data manipulation'!$B$23:$B$39,0),MATCH($X52,'Data manipulation'!$C$22:$O$22,0))/1000,0)*SUMIFS('Regional split'!$F$4:$F$6,'Regional split'!$B$4:$B$6,Z$3)*SUMIFS('Data manipulation'!$V$39:$V$42,'Data manipulation'!$X$39:$X$42,$E52,'Data manipulation'!$Y$39:$Y$42,$D52)</f>
        <v>0</v>
      </c>
      <c r="AA52" s="456">
        <f>_xlfn.IFNA(INDEX('Data manipulation'!$C$23:$O$39,MATCH($V52,'Data manipulation'!$B$23:$B$39,0),MATCH($X52,'Data manipulation'!$C$22:$O$22,0))/1000,0)*SUMIFS('Regional split'!$F$4:$F$6,'Regional split'!$B$4:$B$6,AA$3)*SUMIFS('Data manipulation'!$V$39:$V$42,'Data manipulation'!$X$39:$X$42,$E52,'Data manipulation'!$Y$39:$Y$42,$D52)</f>
        <v>0</v>
      </c>
      <c r="AB52" s="445">
        <f t="shared" si="6"/>
        <v>13.538030520000001</v>
      </c>
      <c r="AC52" s="251">
        <f t="shared" si="0"/>
        <v>0</v>
      </c>
      <c r="AD52" s="446">
        <f t="shared" si="1"/>
        <v>0</v>
      </c>
      <c r="AU52" s="260"/>
      <c r="AZ52" s="252"/>
    </row>
    <row r="53" spans="2:52" ht="15" customHeight="1">
      <c r="B53" s="233" t="str">
        <f t="shared" si="35"/>
        <v>RHTUDELCHE2</v>
      </c>
      <c r="C53" s="233" t="str">
        <f t="shared" si="35"/>
        <v>Residential Heating Technology Urban Detached - Electricity Heating - Existing 2</v>
      </c>
      <c r="D53" s="233" t="str">
        <f t="shared" ref="D53:E53" si="52">D13</f>
        <v>Urban</v>
      </c>
      <c r="E53" s="233" t="str">
        <f t="shared" si="52"/>
        <v>Detached</v>
      </c>
      <c r="F53" s="233" t="str">
        <f t="shared" ref="F53:G53" si="53">F13</f>
        <v>RESELCH</v>
      </c>
      <c r="G53" s="233" t="str">
        <f t="shared" si="53"/>
        <v>RESHUDB</v>
      </c>
      <c r="H53" s="230">
        <v>2015</v>
      </c>
      <c r="I53" s="250">
        <f t="shared" si="38"/>
        <v>9920.3000000000011</v>
      </c>
      <c r="J53" s="250">
        <f t="shared" si="39"/>
        <v>0</v>
      </c>
      <c r="K53" s="250">
        <f t="shared" si="40"/>
        <v>0</v>
      </c>
      <c r="L53" s="462">
        <v>2.3149999999999999</v>
      </c>
      <c r="M53" s="462">
        <v>2.3149999999999999</v>
      </c>
      <c r="N53" s="462">
        <v>2.3149999999999999</v>
      </c>
      <c r="O53" s="244">
        <f t="shared" si="43"/>
        <v>3.1536000000000002E-2</v>
      </c>
      <c r="P53" s="460">
        <v>0.2</v>
      </c>
      <c r="Q53" s="245">
        <v>30</v>
      </c>
      <c r="R53" s="227">
        <v>2</v>
      </c>
      <c r="T53" s="268">
        <f t="shared" si="5"/>
        <v>27.027782358531322</v>
      </c>
      <c r="U53" s="268"/>
      <c r="V53" s="602" t="str">
        <f>'Data manipulation'!$B$30</f>
        <v>Ambient heat (heat pumps)</v>
      </c>
      <c r="W53" s="254" t="s">
        <v>190</v>
      </c>
      <c r="X53" s="246">
        <v>2015</v>
      </c>
      <c r="Y53" s="434">
        <f>_xlfn.IFNA(INDEX('Data manipulation'!$C$23:$O$39,MATCH($V53,'Data manipulation'!$B$23:$B$39,0),MATCH($X53,'Data manipulation'!$C$22:$O$22,0))/1000,0)*SUMIFS('Regional split'!$F$4:$F$6,'Regional split'!$B$4:$B$6,Y$3)*SUMIFS('Data manipulation'!$V$39:$V$42,'Data manipulation'!$X$39:$X$42,$E53,'Data manipulation'!$Y$39:$Y$42,$D53)</f>
        <v>13.513827599999997</v>
      </c>
      <c r="Z53" s="270">
        <f>_xlfn.IFNA(INDEX('Data manipulation'!$C$23:$O$39,MATCH($V53,'Data manipulation'!$B$23:$B$39,0),MATCH($X53,'Data manipulation'!$C$22:$O$22,0))/1000,0)*SUMIFS('Regional split'!$F$4:$F$6,'Regional split'!$B$4:$B$6,Z$3)*SUMIFS('Data manipulation'!$V$39:$V$42,'Data manipulation'!$X$39:$X$42,$E53,'Data manipulation'!$Y$39:$Y$42,$D53)</f>
        <v>0</v>
      </c>
      <c r="AA53" s="456">
        <f>_xlfn.IFNA(INDEX('Data manipulation'!$C$23:$O$39,MATCH($V53,'Data manipulation'!$B$23:$B$39,0),MATCH($X53,'Data manipulation'!$C$22:$O$22,0))/1000,0)*SUMIFS('Regional split'!$F$4:$F$6,'Regional split'!$B$4:$B$6,AA$3)*SUMIFS('Data manipulation'!$V$39:$V$42,'Data manipulation'!$X$39:$X$42,$E53,'Data manipulation'!$Y$39:$Y$42,$D53)</f>
        <v>0</v>
      </c>
      <c r="AB53" s="445">
        <f t="shared" si="6"/>
        <v>31.284510893999993</v>
      </c>
      <c r="AC53" s="251">
        <f t="shared" si="0"/>
        <v>0</v>
      </c>
      <c r="AD53" s="446">
        <f t="shared" si="1"/>
        <v>0</v>
      </c>
      <c r="AU53" s="260"/>
      <c r="AZ53" s="252"/>
    </row>
    <row r="54" spans="2:52" ht="15" customHeight="1">
      <c r="B54" s="233" t="str">
        <f t="shared" si="35"/>
        <v>RHTUDHCEE1</v>
      </c>
      <c r="C54" s="233" t="str">
        <f t="shared" si="35"/>
        <v>Residential Heating Technology Urban Detached - District heating Central - Existing 1</v>
      </c>
      <c r="D54" s="233" t="str">
        <f t="shared" ref="D54:E54" si="54">D14</f>
        <v>Urban</v>
      </c>
      <c r="E54" s="233" t="str">
        <f t="shared" si="54"/>
        <v>Detached</v>
      </c>
      <c r="F54" s="233" t="str">
        <f t="shared" ref="F54:G54" si="55">F14</f>
        <v>RESHCE</v>
      </c>
      <c r="G54" s="233" t="str">
        <f t="shared" si="55"/>
        <v>RESHUDX</v>
      </c>
      <c r="H54" s="230">
        <v>2015</v>
      </c>
      <c r="I54" s="250">
        <f t="shared" si="38"/>
        <v>19752.8</v>
      </c>
      <c r="J54" s="572">
        <v>0</v>
      </c>
      <c r="K54" s="572">
        <v>0</v>
      </c>
      <c r="L54" s="462">
        <v>0.95</v>
      </c>
      <c r="M54" s="462">
        <v>0.95</v>
      </c>
      <c r="N54" s="462">
        <v>0.95</v>
      </c>
      <c r="O54" s="244">
        <f t="shared" si="43"/>
        <v>3.1536000000000002E-2</v>
      </c>
      <c r="P54" s="460">
        <v>0.2</v>
      </c>
      <c r="Q54" s="245">
        <v>30</v>
      </c>
      <c r="R54" s="227">
        <v>2</v>
      </c>
      <c r="T54" s="268">
        <f t="shared" si="5"/>
        <v>131.14195806315792</v>
      </c>
      <c r="U54" s="268"/>
      <c r="V54" s="602" t="str">
        <f>'Data manipulation'!$B$34</f>
        <v>Heat</v>
      </c>
      <c r="W54" s="254" t="s">
        <v>191</v>
      </c>
      <c r="X54" s="246">
        <v>2015</v>
      </c>
      <c r="Y54" s="434">
        <f>_xlfn.IFNA(INDEX('Data manipulation'!$C$23:$O$39,MATCH($V54,'Data manipulation'!$B$23:$B$39,0),MATCH($X54,'Data manipulation'!$C$22:$O$22,0))/1000,0)*SUMIFS('Regional split'!$F$4:$F$6,'Regional split'!$B$4:$B$6,Y$3)*SUMIFS('Data manipulation'!$V$39:$V$42,'Data manipulation'!$X$39:$X$42,$E54,'Data manipulation'!$Y$39:$Y$42,$D54)</f>
        <v>65.570859900000002</v>
      </c>
      <c r="Z54" s="270">
        <f>_xlfn.IFNA(INDEX('Data manipulation'!$C$23:$O$39,MATCH($V54,'Data manipulation'!$B$23:$B$39,0),MATCH($X54,'Data manipulation'!$C$22:$O$22,0))/1000,0)*SUMIFS('Regional split'!$F$4:$F$6,'Regional split'!$B$4:$B$6,Z$3)*SUMIFS('Data manipulation'!$V$39:$V$42,'Data manipulation'!$X$39:$X$42,$E54,'Data manipulation'!$Y$39:$Y$42,$D54)</f>
        <v>0</v>
      </c>
      <c r="AA54" s="456">
        <f>_xlfn.IFNA(INDEX('Data manipulation'!$C$23:$O$39,MATCH($V54,'Data manipulation'!$B$23:$B$39,0),MATCH($X54,'Data manipulation'!$C$22:$O$22,0))/1000,0)*SUMIFS('Regional split'!$F$4:$F$6,'Regional split'!$B$4:$B$6,AA$3)*SUMIFS('Data manipulation'!$V$39:$V$42,'Data manipulation'!$X$39:$X$42,$E54,'Data manipulation'!$Y$39:$Y$42,$D54)</f>
        <v>0</v>
      </c>
      <c r="AB54" s="445">
        <f t="shared" si="6"/>
        <v>62.292316905</v>
      </c>
      <c r="AC54" s="251">
        <f t="shared" si="0"/>
        <v>0</v>
      </c>
      <c r="AD54" s="446">
        <f t="shared" si="1"/>
        <v>0</v>
      </c>
      <c r="AU54" s="260"/>
      <c r="AZ54" s="252"/>
    </row>
    <row r="55" spans="2:52" ht="15" customHeight="1" thickBot="1">
      <c r="B55" s="255" t="str">
        <f t="shared" si="35"/>
        <v>RHTUDLPGE1</v>
      </c>
      <c r="C55" s="255" t="str">
        <f t="shared" si="35"/>
        <v>Residential Heating Technology Urban Detached - LPG - Existing 1</v>
      </c>
      <c r="D55" s="535" t="str">
        <f t="shared" ref="D55:E55" si="56">D15</f>
        <v>Urban</v>
      </c>
      <c r="E55" s="535" t="str">
        <f t="shared" si="56"/>
        <v>Detached</v>
      </c>
      <c r="F55" s="255" t="str">
        <f t="shared" ref="F55:G55" si="57">F15</f>
        <v>RESLPG</v>
      </c>
      <c r="G55" s="255" t="str">
        <f t="shared" si="57"/>
        <v>RESHUDB</v>
      </c>
      <c r="H55" s="423">
        <v>2015</v>
      </c>
      <c r="I55" s="297">
        <f t="shared" ref="I55" si="58">ROUNDUP(AB55/($O55*$P55)*$R55,1)</f>
        <v>0</v>
      </c>
      <c r="J55" s="297">
        <f t="shared" ref="J55" si="59">ROUNDUP(AC55/($O55*$P55)*$R55,1)</f>
        <v>0</v>
      </c>
      <c r="K55" s="297">
        <f t="shared" ref="K55" si="60">ROUNDUP(AD55/($O55*$P55)*$R55,1)</f>
        <v>0</v>
      </c>
      <c r="L55" s="463">
        <v>0.95</v>
      </c>
      <c r="M55" s="463">
        <v>0.95</v>
      </c>
      <c r="N55" s="463">
        <v>0.95</v>
      </c>
      <c r="O55" s="257">
        <f t="shared" si="43"/>
        <v>3.1536000000000002E-2</v>
      </c>
      <c r="P55" s="460">
        <v>0.2</v>
      </c>
      <c r="Q55" s="258">
        <v>30</v>
      </c>
      <c r="R55" s="227">
        <v>2</v>
      </c>
      <c r="T55" s="268">
        <f t="shared" si="5"/>
        <v>0</v>
      </c>
      <c r="U55" s="268"/>
      <c r="V55" s="602" t="s">
        <v>790</v>
      </c>
      <c r="W55" s="428" t="s">
        <v>790</v>
      </c>
      <c r="X55" s="246">
        <v>2015</v>
      </c>
      <c r="Y55" s="435">
        <f>_xlfn.IFNA(INDEX('Data manipulation'!$C$23:$O$39,MATCH($V55,'Data manipulation'!$B$23:$B$39,0),MATCH($X55,'Data manipulation'!$C$22:$O$22,0))/1000,0)*SUMIFS('Regional split'!$F$4:$F$6,'Regional split'!$B$4:$B$6,Y$3)*SUMIFS('Data manipulation'!$V$39:$V$42,'Data manipulation'!$X$39:$X$42,$E55,'Data manipulation'!$Y$39:$Y$42,$D55)</f>
        <v>0</v>
      </c>
      <c r="Z55" s="432">
        <f>_xlfn.IFNA(INDEX('Data manipulation'!$C$23:$O$39,MATCH($V55,'Data manipulation'!$B$23:$B$39,0),MATCH($X55,'Data manipulation'!$C$22:$O$22,0))/1000,0)*SUMIFS('Regional split'!$F$4:$F$6,'Regional split'!$B$4:$B$6,Z$3)*SUMIFS('Data manipulation'!$V$39:$V$42,'Data manipulation'!$X$39:$X$42,$E55,'Data manipulation'!$Y$39:$Y$42,$D55)</f>
        <v>0</v>
      </c>
      <c r="AA55" s="457">
        <f>_xlfn.IFNA(INDEX('Data manipulation'!$C$23:$O$39,MATCH($V55,'Data manipulation'!$B$23:$B$39,0),MATCH($X55,'Data manipulation'!$C$22:$O$22,0))/1000,0)*SUMIFS('Regional split'!$F$4:$F$6,'Regional split'!$B$4:$B$6,AA$3)*SUMIFS('Data manipulation'!$V$39:$V$42,'Data manipulation'!$X$39:$X$42,$E55,'Data manipulation'!$Y$39:$Y$42,$D55)</f>
        <v>0</v>
      </c>
      <c r="AB55" s="452">
        <f t="shared" si="6"/>
        <v>0</v>
      </c>
      <c r="AC55" s="277">
        <f t="shared" si="0"/>
        <v>0</v>
      </c>
      <c r="AD55" s="448">
        <f t="shared" si="1"/>
        <v>0</v>
      </c>
      <c r="AU55" s="260"/>
      <c r="AZ55" s="252"/>
    </row>
    <row r="56" spans="2:52" ht="15" customHeight="1">
      <c r="B56" s="233" t="str">
        <f t="shared" si="35"/>
        <v>RHTRDNGAE1</v>
      </c>
      <c r="C56" s="233" t="str">
        <f t="shared" si="35"/>
        <v>Residential Heating Technology Rural Detached - Natural Gas - Existing 1</v>
      </c>
      <c r="D56" s="233" t="str">
        <f t="shared" ref="D56:E56" si="61">D16</f>
        <v>Rural</v>
      </c>
      <c r="E56" s="233" t="str">
        <f t="shared" si="61"/>
        <v>Detached</v>
      </c>
      <c r="F56" s="233" t="str">
        <f t="shared" ref="F56:G56" si="62">F16</f>
        <v>RESNGA,RESSNG</v>
      </c>
      <c r="G56" s="233" t="str">
        <f t="shared" si="62"/>
        <v>RESHRDB</v>
      </c>
      <c r="H56" s="259">
        <v>2015</v>
      </c>
      <c r="I56" s="250">
        <f>ROUNDUP(AB56/($O56*$P56)*$R56,1)</f>
        <v>56094.5</v>
      </c>
      <c r="J56" s="250">
        <f>ROUNDUP(AC56/($O56*$P56)*$R56,1)</f>
        <v>0</v>
      </c>
      <c r="K56" s="250">
        <f>ROUNDUP(AD56/($O56*$P56)*$R56,1)</f>
        <v>0</v>
      </c>
      <c r="L56" s="462">
        <v>0.79</v>
      </c>
      <c r="M56" s="462">
        <v>0.79</v>
      </c>
      <c r="N56" s="462">
        <v>0.79</v>
      </c>
      <c r="O56" s="244">
        <f t="shared" si="43"/>
        <v>3.1536000000000002E-2</v>
      </c>
      <c r="P56" s="460">
        <v>0.2</v>
      </c>
      <c r="Q56" s="245">
        <v>25</v>
      </c>
      <c r="R56" s="227">
        <v>2</v>
      </c>
      <c r="T56" s="268">
        <f t="shared" si="5"/>
        <v>447.84712708860764</v>
      </c>
      <c r="U56" s="268"/>
      <c r="V56" s="602" t="str">
        <f>'Data manipulation'!$B$36</f>
        <v>Natural gas, biogas and LNG</v>
      </c>
      <c r="W56" s="246" t="s">
        <v>187</v>
      </c>
      <c r="X56" s="246">
        <v>2015</v>
      </c>
      <c r="Y56" s="434">
        <f>_xlfn.IFNA(INDEX('Data manipulation'!$C$23:$O$39,MATCH($V56,'Data manipulation'!$B$23:$B$39,0),MATCH($X56,'Data manipulation'!$C$22:$O$22,0))/1000,0)*SUMIFS('Regional split'!$F$4:$F$6,'Regional split'!$B$4:$B$6,Y$3)*SUMIFS('Data manipulation'!$V$39:$V$42,'Data manipulation'!$X$39:$X$42,$E56,'Data manipulation'!$Y$39:$Y$42,$D56)</f>
        <v>223.92352824599999</v>
      </c>
      <c r="Z56" s="270">
        <f>_xlfn.IFNA(INDEX('Data manipulation'!$C$23:$O$39,MATCH($V56,'Data manipulation'!$B$23:$B$39,0),MATCH($X56,'Data manipulation'!$C$22:$O$22,0))/1000,0)*SUMIFS('Regional split'!$F$4:$F$6,'Regional split'!$B$4:$B$6,Z$3)*SUMIFS('Data manipulation'!$V$39:$V$42,'Data manipulation'!$X$39:$X$42,$E56,'Data manipulation'!$Y$39:$Y$42,$D56)</f>
        <v>0</v>
      </c>
      <c r="AA56" s="456">
        <f>_xlfn.IFNA(INDEX('Data manipulation'!$C$23:$O$39,MATCH($V56,'Data manipulation'!$B$23:$B$39,0),MATCH($X56,'Data manipulation'!$C$22:$O$22,0))/1000,0)*SUMIFS('Regional split'!$F$4:$F$6,'Regional split'!$B$4:$B$6,AA$3)*SUMIFS('Data manipulation'!$V$39:$V$42,'Data manipulation'!$X$39:$X$42,$E56,'Data manipulation'!$Y$39:$Y$42,$D56)</f>
        <v>0</v>
      </c>
      <c r="AB56" s="453">
        <f t="shared" si="6"/>
        <v>176.89958731434001</v>
      </c>
      <c r="AC56" s="278">
        <f t="shared" si="0"/>
        <v>0</v>
      </c>
      <c r="AD56" s="449">
        <f t="shared" si="1"/>
        <v>0</v>
      </c>
      <c r="AU56" s="260"/>
      <c r="AZ56" s="252"/>
    </row>
    <row r="57" spans="2:52" ht="15" customHeight="1">
      <c r="B57" s="233" t="str">
        <f t="shared" si="35"/>
        <v>RHTRDDSLE1</v>
      </c>
      <c r="C57" s="233" t="str">
        <f t="shared" si="35"/>
        <v>Residential Heating Technology Rural Detached - Diesel - Existing 1</v>
      </c>
      <c r="D57" s="233" t="str">
        <f t="shared" ref="D57:E57" si="63">D17</f>
        <v>Rural</v>
      </c>
      <c r="E57" s="233" t="str">
        <f t="shared" si="63"/>
        <v>Detached</v>
      </c>
      <c r="F57" s="233" t="str">
        <f t="shared" ref="F57:G57" si="64">F17</f>
        <v>RESDSL,RESDSB</v>
      </c>
      <c r="G57" s="233" t="str">
        <f t="shared" si="64"/>
        <v>RESHRDB</v>
      </c>
      <c r="H57" s="259">
        <v>2015</v>
      </c>
      <c r="I57" s="250">
        <f>ROUNDUP(AB57/($O57*$P57)*$R57,1)</f>
        <v>31761.1</v>
      </c>
      <c r="J57" s="250">
        <f t="shared" ref="J57:J63" si="65">ROUNDUP(AC57/($O57*$P57)*$R57,1)</f>
        <v>0</v>
      </c>
      <c r="K57" s="250">
        <f t="shared" ref="K57:K63" si="66">ROUNDUP(AD57/($O57*$P57)*$R57,1)</f>
        <v>0</v>
      </c>
      <c r="L57" s="462">
        <v>0.79</v>
      </c>
      <c r="M57" s="462">
        <v>0.79</v>
      </c>
      <c r="N57" s="462">
        <v>0.79</v>
      </c>
      <c r="O57" s="244">
        <f t="shared" si="43"/>
        <v>3.1536000000000002E-2</v>
      </c>
      <c r="P57" s="460">
        <v>0.2</v>
      </c>
      <c r="Q57" s="245">
        <v>20</v>
      </c>
      <c r="R57" s="227">
        <v>2</v>
      </c>
      <c r="T57" s="268">
        <f t="shared" si="5"/>
        <v>253.57418977215187</v>
      </c>
      <c r="V57" s="602" t="str">
        <f>'Data manipulation'!$B$35</f>
        <v>Oil products</v>
      </c>
      <c r="W57" s="254" t="s">
        <v>749</v>
      </c>
      <c r="X57" s="246">
        <v>2015</v>
      </c>
      <c r="Y57" s="434">
        <f>_xlfn.IFNA(INDEX('Data manipulation'!$C$23:$O$39,MATCH($V57,'Data manipulation'!$B$23:$B$39,0),MATCH($X57,'Data manipulation'!$C$22:$O$22,0))/1000,0)*SUMIFS('Regional split'!$F$4:$F$6,'Regional split'!$B$4:$B$6,Y$3)*SUMIFS('Data manipulation'!$V$39:$V$42,'Data manipulation'!$X$39:$X$42,$E57,'Data manipulation'!$Y$39:$Y$42,$D57)</f>
        <v>126.786907599</v>
      </c>
      <c r="Z57" s="270">
        <f>_xlfn.IFNA(INDEX('Data manipulation'!$C$23:$O$39,MATCH($V57,'Data manipulation'!$B$23:$B$39,0),MATCH($X57,'Data manipulation'!$C$22:$O$22,0))/1000,0)*SUMIFS('Regional split'!$F$4:$F$6,'Regional split'!$B$4:$B$6,Z$3)*SUMIFS('Data manipulation'!$V$39:$V$42,'Data manipulation'!$X$39:$X$42,$E57,'Data manipulation'!$Y$39:$Y$42,$D57)</f>
        <v>0</v>
      </c>
      <c r="AA57" s="456">
        <f>_xlfn.IFNA(INDEX('Data manipulation'!$C$23:$O$39,MATCH($V57,'Data manipulation'!$B$23:$B$39,0),MATCH($X57,'Data manipulation'!$C$22:$O$22,0))/1000,0)*SUMIFS('Regional split'!$F$4:$F$6,'Regional split'!$B$4:$B$6,AA$3)*SUMIFS('Data manipulation'!$V$39:$V$42,'Data manipulation'!$X$39:$X$42,$E57,'Data manipulation'!$Y$39:$Y$42,$D57)</f>
        <v>0</v>
      </c>
      <c r="AB57" s="445">
        <f t="shared" si="6"/>
        <v>100.16165700321001</v>
      </c>
      <c r="AC57" s="251">
        <f t="shared" si="0"/>
        <v>0</v>
      </c>
      <c r="AD57" s="446">
        <f t="shared" si="1"/>
        <v>0</v>
      </c>
      <c r="AU57" s="260"/>
      <c r="AZ57" s="252"/>
    </row>
    <row r="58" spans="2:52" ht="15" customHeight="1">
      <c r="B58" s="233" t="str">
        <f t="shared" si="35"/>
        <v>RHTRDWPEE1</v>
      </c>
      <c r="C58" s="233" t="str">
        <f t="shared" si="35"/>
        <v>Residential Heating Technology Rural Detached - Wood pellets - Existing 1</v>
      </c>
      <c r="D58" s="233" t="str">
        <f t="shared" ref="D58:E58" si="67">D18</f>
        <v>Rural</v>
      </c>
      <c r="E58" s="233" t="str">
        <f t="shared" si="67"/>
        <v>Detached</v>
      </c>
      <c r="F58" s="233" t="str">
        <f t="shared" ref="F58:G58" si="68">F18</f>
        <v>RESWPE</v>
      </c>
      <c r="G58" s="233" t="str">
        <f t="shared" si="68"/>
        <v>RESHRDB</v>
      </c>
      <c r="H58" s="259">
        <v>2015</v>
      </c>
      <c r="I58" s="250">
        <f t="shared" ref="I58:I63" si="69">ROUNDUP(AB58/($O58*$P58)*$R58,1)</f>
        <v>0</v>
      </c>
      <c r="J58" s="250">
        <f t="shared" si="65"/>
        <v>0</v>
      </c>
      <c r="K58" s="250">
        <f t="shared" si="66"/>
        <v>0</v>
      </c>
      <c r="L58" s="462">
        <v>0.67</v>
      </c>
      <c r="M58" s="462">
        <v>0.67</v>
      </c>
      <c r="N58" s="462">
        <v>0.67</v>
      </c>
      <c r="O58" s="244">
        <f>31.536/1000</f>
        <v>3.1536000000000002E-2</v>
      </c>
      <c r="P58" s="460">
        <v>0.2</v>
      </c>
      <c r="Q58" s="245">
        <v>20</v>
      </c>
      <c r="R58" s="227">
        <v>2</v>
      </c>
      <c r="T58" s="268">
        <f t="shared" si="5"/>
        <v>0</v>
      </c>
      <c r="U58" s="268"/>
      <c r="V58" s="602" t="s">
        <v>206</v>
      </c>
      <c r="W58" s="254" t="s">
        <v>896</v>
      </c>
      <c r="X58" s="246">
        <v>2015</v>
      </c>
      <c r="Y58" s="434">
        <f>_xlfn.IFNA(INDEX('Data manipulation'!$C$23:$O$39,MATCH($V58,'Data manipulation'!$B$23:$B$39,0),MATCH($X58,'Data manipulation'!$C$22:$O$22,0))/1000,0)*SUMIFS('Regional split'!$F$4:$F$6,'Regional split'!$B$4:$B$6,Y$3)*SUMIFS('Data manipulation'!$V$39:$V$42,'Data manipulation'!$X$39:$X$42,$E58,'Data manipulation'!$Y$39:$Y$42,$D58)</f>
        <v>0</v>
      </c>
      <c r="Z58" s="270">
        <f>_xlfn.IFNA(INDEX('Data manipulation'!$C$23:$O$39,MATCH($V58,'Data manipulation'!$B$23:$B$39,0),MATCH($X58,'Data manipulation'!$C$22:$O$22,0))/1000,0)*SUMIFS('Regional split'!$F$4:$F$6,'Regional split'!$B$4:$B$6,Z$3)*SUMIFS('Data manipulation'!$V$39:$V$42,'Data manipulation'!$X$39:$X$42,$E58,'Data manipulation'!$Y$39:$Y$42,$D58)</f>
        <v>0</v>
      </c>
      <c r="AA58" s="456">
        <f>_xlfn.IFNA(INDEX('Data manipulation'!$C$23:$O$39,MATCH($V58,'Data manipulation'!$B$23:$B$39,0),MATCH($X58,'Data manipulation'!$C$22:$O$22,0))/1000,0)*SUMIFS('Regional split'!$F$4:$F$6,'Regional split'!$B$4:$B$6,AA$3)*SUMIFS('Data manipulation'!$V$39:$V$42,'Data manipulation'!$X$39:$X$42,$E58,'Data manipulation'!$Y$39:$Y$42,$D58)</f>
        <v>0</v>
      </c>
      <c r="AB58" s="445">
        <f t="shared" si="6"/>
        <v>0</v>
      </c>
      <c r="AC58" s="251">
        <f t="shared" si="0"/>
        <v>0</v>
      </c>
      <c r="AD58" s="446">
        <f t="shared" si="1"/>
        <v>0</v>
      </c>
      <c r="AU58" s="260"/>
      <c r="AZ58" s="252"/>
    </row>
    <row r="59" spans="2:52" ht="15" customHeight="1">
      <c r="B59" s="233" t="str">
        <f t="shared" si="35"/>
        <v>RHTRDFIWE1</v>
      </c>
      <c r="C59" s="233" t="str">
        <f t="shared" si="35"/>
        <v>Residential Heating Technology Rural Detached - Fire wood - Existing 1</v>
      </c>
      <c r="D59" s="233" t="str">
        <f t="shared" ref="D59:E59" si="70">D19</f>
        <v>Rural</v>
      </c>
      <c r="E59" s="233" t="str">
        <f t="shared" si="70"/>
        <v>Detached</v>
      </c>
      <c r="F59" s="233" t="str">
        <f t="shared" ref="F59:G59" si="71">F19</f>
        <v>RESFIW</v>
      </c>
      <c r="G59" s="233" t="str">
        <f t="shared" si="71"/>
        <v>RESHRDB</v>
      </c>
      <c r="H59" s="259">
        <v>2015</v>
      </c>
      <c r="I59" s="250">
        <f t="shared" si="69"/>
        <v>14099.300000000001</v>
      </c>
      <c r="J59" s="250">
        <f t="shared" si="65"/>
        <v>0</v>
      </c>
      <c r="K59" s="250">
        <f t="shared" si="66"/>
        <v>0</v>
      </c>
      <c r="L59" s="462">
        <v>0.67</v>
      </c>
      <c r="M59" s="462">
        <v>0.67</v>
      </c>
      <c r="N59" s="462">
        <v>0.67</v>
      </c>
      <c r="O59" s="244">
        <f>31.536/1000</f>
        <v>3.1536000000000002E-2</v>
      </c>
      <c r="P59" s="460">
        <v>0.2</v>
      </c>
      <c r="Q59" s="245">
        <v>20</v>
      </c>
      <c r="R59" s="227">
        <v>2</v>
      </c>
      <c r="T59" s="268">
        <f t="shared" si="5"/>
        <v>132.7270223283582</v>
      </c>
      <c r="U59" s="268"/>
      <c r="V59" s="602" t="str">
        <f>'Data manipulation'!$B$31</f>
        <v>Primary solid biofuels</v>
      </c>
      <c r="W59" s="254" t="s">
        <v>196</v>
      </c>
      <c r="X59" s="246">
        <v>2015</v>
      </c>
      <c r="Y59" s="434">
        <f>_xlfn.IFNA(INDEX('Data manipulation'!$C$23:$O$39,MATCH($V59,'Data manipulation'!$B$23:$B$39,0),MATCH($X59,'Data manipulation'!$C$22:$O$22,0))/1000,0)*SUMIFS('Regional split'!$F$4:$F$6,'Regional split'!$B$4:$B$6,Y$3)*SUMIFS('Data manipulation'!$V$39:$V$42,'Data manipulation'!$X$39:$X$42,$E59,'Data manipulation'!$Y$39:$Y$42,$D59)</f>
        <v>66.363462945999999</v>
      </c>
      <c r="Z59" s="270">
        <f>_xlfn.IFNA(INDEX('Data manipulation'!$C$23:$O$39,MATCH($V59,'Data manipulation'!$B$23:$B$39,0),MATCH($X59,'Data manipulation'!$C$22:$O$22,0))/1000,0)*SUMIFS('Regional split'!$F$4:$F$6,'Regional split'!$B$4:$B$6,Z$3)*SUMIFS('Data manipulation'!$V$39:$V$42,'Data manipulation'!$X$39:$X$42,$E59,'Data manipulation'!$Y$39:$Y$42,$D59)</f>
        <v>0</v>
      </c>
      <c r="AA59" s="456">
        <f>_xlfn.IFNA(INDEX('Data manipulation'!$C$23:$O$39,MATCH($V59,'Data manipulation'!$B$23:$B$39,0),MATCH($X59,'Data manipulation'!$C$22:$O$22,0))/1000,0)*SUMIFS('Regional split'!$F$4:$F$6,'Regional split'!$B$4:$B$6,AA$3)*SUMIFS('Data manipulation'!$V$39:$V$42,'Data manipulation'!$X$39:$X$42,$E59,'Data manipulation'!$Y$39:$Y$42,$D59)</f>
        <v>0</v>
      </c>
      <c r="AB59" s="445">
        <f t="shared" si="6"/>
        <v>44.463520173820001</v>
      </c>
      <c r="AC59" s="251">
        <f t="shared" si="0"/>
        <v>0</v>
      </c>
      <c r="AD59" s="446">
        <f t="shared" si="1"/>
        <v>0</v>
      </c>
      <c r="AU59" s="260"/>
      <c r="AZ59" s="252"/>
    </row>
    <row r="60" spans="2:52" ht="15" customHeight="1">
      <c r="B60" s="233" t="str">
        <f t="shared" si="35"/>
        <v>RHTRDCOAE1</v>
      </c>
      <c r="C60" s="233" t="str">
        <f t="shared" si="35"/>
        <v>Residential Heating Technology Rural Detached - Coal - Existing 1</v>
      </c>
      <c r="D60" s="233" t="str">
        <f t="shared" ref="D60:E60" si="72">D20</f>
        <v>Rural</v>
      </c>
      <c r="E60" s="233" t="str">
        <f t="shared" si="72"/>
        <v>Detached</v>
      </c>
      <c r="F60" s="233" t="str">
        <f t="shared" ref="F60:G60" si="73">F20</f>
        <v>RESCOA</v>
      </c>
      <c r="G60" s="233" t="str">
        <f t="shared" si="73"/>
        <v>RESHRDB</v>
      </c>
      <c r="H60" s="259">
        <v>2015</v>
      </c>
      <c r="I60" s="250">
        <f t="shared" si="69"/>
        <v>1729.1</v>
      </c>
      <c r="J60" s="250">
        <f t="shared" si="65"/>
        <v>0</v>
      </c>
      <c r="K60" s="250">
        <f t="shared" si="66"/>
        <v>0</v>
      </c>
      <c r="L60" s="462">
        <v>0.72</v>
      </c>
      <c r="M60" s="462">
        <v>0.72</v>
      </c>
      <c r="N60" s="462">
        <v>0.72</v>
      </c>
      <c r="O60" s="244">
        <f t="shared" si="43"/>
        <v>3.1536000000000002E-2</v>
      </c>
      <c r="P60" s="460">
        <v>0.2</v>
      </c>
      <c r="Q60" s="245">
        <v>20</v>
      </c>
      <c r="R60" s="227">
        <v>2</v>
      </c>
      <c r="T60" s="268">
        <f t="shared" si="5"/>
        <v>15.146916000000003</v>
      </c>
      <c r="U60" s="268"/>
      <c r="V60" s="602" t="str">
        <f>'Data manipulation'!$B$23</f>
        <v>Solid fossil fuels, peat, peat products, oil shale and oil sands</v>
      </c>
      <c r="W60" s="254" t="s">
        <v>893</v>
      </c>
      <c r="X60" s="246">
        <v>2015</v>
      </c>
      <c r="Y60" s="434">
        <f>_xlfn.IFNA(INDEX('Data manipulation'!$C$23:$O$39,MATCH($V60,'Data manipulation'!$B$23:$B$39,0),MATCH($X60,'Data manipulation'!$C$22:$O$22,0))/1000,0)*SUMIFS('Regional split'!$F$4:$F$6,'Regional split'!$B$4:$B$6,Y$3)*SUMIFS('Data manipulation'!$V$39:$V$42,'Data manipulation'!$X$39:$X$42,$E60,'Data manipulation'!$Y$39:$Y$42,$D60)</f>
        <v>7.5732938269999996</v>
      </c>
      <c r="Z60" s="270">
        <f>_xlfn.IFNA(INDEX('Data manipulation'!$C$23:$O$39,MATCH($V60,'Data manipulation'!$B$23:$B$39,0),MATCH($X60,'Data manipulation'!$C$22:$O$22,0))/1000,0)*SUMIFS('Regional split'!$F$4:$F$6,'Regional split'!$B$4:$B$6,Z$3)*SUMIFS('Data manipulation'!$V$39:$V$42,'Data manipulation'!$X$39:$X$42,$E60,'Data manipulation'!$Y$39:$Y$42,$D60)</f>
        <v>0</v>
      </c>
      <c r="AA60" s="456">
        <f>_xlfn.IFNA(INDEX('Data manipulation'!$C$23:$O$39,MATCH($V60,'Data manipulation'!$B$23:$B$39,0),MATCH($X60,'Data manipulation'!$C$22:$O$22,0))/1000,0)*SUMIFS('Regional split'!$F$4:$F$6,'Regional split'!$B$4:$B$6,AA$3)*SUMIFS('Data manipulation'!$V$39:$V$42,'Data manipulation'!$X$39:$X$42,$E60,'Data manipulation'!$Y$39:$Y$42,$D60)</f>
        <v>0</v>
      </c>
      <c r="AB60" s="445">
        <f t="shared" si="6"/>
        <v>5.4527715554399991</v>
      </c>
      <c r="AC60" s="251">
        <f t="shared" si="0"/>
        <v>0</v>
      </c>
      <c r="AD60" s="446">
        <f t="shared" si="1"/>
        <v>0</v>
      </c>
      <c r="AU60" s="260"/>
      <c r="AZ60" s="252"/>
    </row>
    <row r="61" spans="2:52" ht="15" customHeight="1">
      <c r="B61" s="233" t="str">
        <f t="shared" si="35"/>
        <v>RHTRDSOLE1</v>
      </c>
      <c r="C61" s="233" t="str">
        <f t="shared" si="35"/>
        <v>Residential Heating Technology Rural Detached - Solar - Existing 1</v>
      </c>
      <c r="D61" s="233" t="str">
        <f t="shared" ref="D61:E61" si="74">D21</f>
        <v>Rural</v>
      </c>
      <c r="E61" s="233" t="str">
        <f t="shared" si="74"/>
        <v>Detached</v>
      </c>
      <c r="F61" s="233" t="str">
        <f t="shared" ref="F61:G61" si="75">F21</f>
        <v>RESSOL</v>
      </c>
      <c r="G61" s="233" t="str">
        <f t="shared" si="75"/>
        <v>RESHRDB</v>
      </c>
      <c r="H61" s="259">
        <v>2015</v>
      </c>
      <c r="I61" s="250">
        <f t="shared" si="69"/>
        <v>351</v>
      </c>
      <c r="J61" s="250">
        <f t="shared" si="65"/>
        <v>0</v>
      </c>
      <c r="K61" s="250">
        <f t="shared" si="66"/>
        <v>0</v>
      </c>
      <c r="L61" s="462">
        <v>1</v>
      </c>
      <c r="M61" s="462">
        <v>1</v>
      </c>
      <c r="N61" s="462">
        <v>1</v>
      </c>
      <c r="O61" s="244">
        <f t="shared" si="43"/>
        <v>3.1536000000000002E-2</v>
      </c>
      <c r="P61" s="460">
        <v>0.2</v>
      </c>
      <c r="Q61" s="245">
        <v>20</v>
      </c>
      <c r="R61" s="227">
        <v>2</v>
      </c>
      <c r="T61" s="268">
        <f t="shared" si="5"/>
        <v>2.2138272000000003</v>
      </c>
      <c r="U61" s="268"/>
      <c r="V61" s="602" t="str">
        <f>'Data manipulation'!$B$29</f>
        <v>Solar thermal</v>
      </c>
      <c r="W61" s="254" t="s">
        <v>188</v>
      </c>
      <c r="X61" s="246">
        <v>2015</v>
      </c>
      <c r="Y61" s="434">
        <f>_xlfn.IFNA(INDEX('Data manipulation'!$C$23:$O$39,MATCH($V61,'Data manipulation'!$B$23:$B$39,0),MATCH($X61,'Data manipulation'!$C$22:$O$22,0))/1000,0)*SUMIFS('Regional split'!$F$4:$F$6,'Regional split'!$B$4:$B$6,Y$3)*SUMIFS('Data manipulation'!$V$39:$V$42,'Data manipulation'!$X$39:$X$42,$E61,'Data manipulation'!$Y$39:$Y$42,$D61)</f>
        <v>1.1066562979999999</v>
      </c>
      <c r="Z61" s="270">
        <f>_xlfn.IFNA(INDEX('Data manipulation'!$C$23:$O$39,MATCH($V61,'Data manipulation'!$B$23:$B$39,0),MATCH($X61,'Data manipulation'!$C$22:$O$22,0))/1000,0)*SUMIFS('Regional split'!$F$4:$F$6,'Regional split'!$B$4:$B$6,Z$3)*SUMIFS('Data manipulation'!$V$39:$V$42,'Data manipulation'!$X$39:$X$42,$E61,'Data manipulation'!$Y$39:$Y$42,$D61)</f>
        <v>0</v>
      </c>
      <c r="AA61" s="456">
        <f>_xlfn.IFNA(INDEX('Data manipulation'!$C$23:$O$39,MATCH($V61,'Data manipulation'!$B$23:$B$39,0),MATCH($X61,'Data manipulation'!$C$22:$O$22,0))/1000,0)*SUMIFS('Regional split'!$F$4:$F$6,'Regional split'!$B$4:$B$6,AA$3)*SUMIFS('Data manipulation'!$V$39:$V$42,'Data manipulation'!$X$39:$X$42,$E61,'Data manipulation'!$Y$39:$Y$42,$D61)</f>
        <v>0</v>
      </c>
      <c r="AB61" s="445">
        <f t="shared" si="6"/>
        <v>1.1066562979999999</v>
      </c>
      <c r="AC61" s="251">
        <f t="shared" si="0"/>
        <v>0</v>
      </c>
      <c r="AD61" s="446">
        <f t="shared" si="1"/>
        <v>0</v>
      </c>
      <c r="AU61" s="260"/>
      <c r="AZ61" s="252"/>
    </row>
    <row r="62" spans="2:52" ht="15" customHeight="1">
      <c r="B62" s="233" t="str">
        <f t="shared" si="35"/>
        <v>RHTRDELCHE1</v>
      </c>
      <c r="C62" s="233" t="str">
        <f t="shared" si="35"/>
        <v>Residential Heating Technology Rural Detached - Electricity Heating - Existing 1</v>
      </c>
      <c r="D62" s="233" t="str">
        <f t="shared" ref="D62:E62" si="76">D22</f>
        <v>Rural</v>
      </c>
      <c r="E62" s="233" t="str">
        <f t="shared" si="76"/>
        <v>Detached</v>
      </c>
      <c r="F62" s="233" t="str">
        <f t="shared" ref="F62:G62" si="77">F22</f>
        <v>RESELCH</v>
      </c>
      <c r="G62" s="233" t="str">
        <f t="shared" si="77"/>
        <v>RESHRDB</v>
      </c>
      <c r="H62" s="259">
        <v>2015</v>
      </c>
      <c r="I62" s="250">
        <f t="shared" si="69"/>
        <v>3260.6</v>
      </c>
      <c r="J62" s="250">
        <f t="shared" si="65"/>
        <v>0</v>
      </c>
      <c r="K62" s="250">
        <f t="shared" si="66"/>
        <v>0</v>
      </c>
      <c r="L62" s="462">
        <v>1</v>
      </c>
      <c r="M62" s="462">
        <v>1</v>
      </c>
      <c r="N62" s="462">
        <v>1</v>
      </c>
      <c r="O62" s="244">
        <f t="shared" si="43"/>
        <v>3.1536000000000002E-2</v>
      </c>
      <c r="P62" s="460">
        <v>0.2</v>
      </c>
      <c r="Q62" s="245">
        <v>30</v>
      </c>
      <c r="R62" s="227">
        <v>2</v>
      </c>
      <c r="T62" s="268">
        <f t="shared" si="5"/>
        <v>20.565256320000003</v>
      </c>
      <c r="U62" s="268"/>
      <c r="V62" s="602" t="str">
        <f>'Data manipulation'!$B$33</f>
        <v>Electricity</v>
      </c>
      <c r="W62" s="254" t="s">
        <v>189</v>
      </c>
      <c r="X62" s="246">
        <v>2015</v>
      </c>
      <c r="Y62" s="434">
        <f>_xlfn.IFNA(INDEX('Data manipulation'!$C$23:$O$39,MATCH($V62,'Data manipulation'!$B$23:$B$39,0),MATCH($X62,'Data manipulation'!$C$22:$O$22,0))/1000,0)*SUMIFS('Regional split'!$F$4:$F$6,'Regional split'!$B$4:$B$6,Y$3)*SUMIFS('Data manipulation'!$V$39:$V$42,'Data manipulation'!$X$39:$X$42,$E62,'Data manipulation'!$Y$39:$Y$42,$D62)</f>
        <v>10.282456514000001</v>
      </c>
      <c r="Z62" s="270">
        <f>_xlfn.IFNA(INDEX('Data manipulation'!$C$23:$O$39,MATCH($V62,'Data manipulation'!$B$23:$B$39,0),MATCH($X62,'Data manipulation'!$C$22:$O$22,0))/1000,0)*SUMIFS('Regional split'!$F$4:$F$6,'Regional split'!$B$4:$B$6,Z$3)*SUMIFS('Data manipulation'!$V$39:$V$42,'Data manipulation'!$X$39:$X$42,$E62,'Data manipulation'!$Y$39:$Y$42,$D62)</f>
        <v>0</v>
      </c>
      <c r="AA62" s="456">
        <f>_xlfn.IFNA(INDEX('Data manipulation'!$C$23:$O$39,MATCH($V62,'Data manipulation'!$B$23:$B$39,0),MATCH($X62,'Data manipulation'!$C$22:$O$22,0))/1000,0)*SUMIFS('Regional split'!$F$4:$F$6,'Regional split'!$B$4:$B$6,AA$3)*SUMIFS('Data manipulation'!$V$39:$V$42,'Data manipulation'!$X$39:$X$42,$E62,'Data manipulation'!$Y$39:$Y$42,$D62)</f>
        <v>0</v>
      </c>
      <c r="AB62" s="445">
        <f t="shared" si="6"/>
        <v>10.282456514000001</v>
      </c>
      <c r="AC62" s="251">
        <f t="shared" si="0"/>
        <v>0</v>
      </c>
      <c r="AD62" s="446">
        <f t="shared" si="1"/>
        <v>0</v>
      </c>
      <c r="AU62" s="260"/>
      <c r="AZ62" s="252"/>
    </row>
    <row r="63" spans="2:52" ht="15" customHeight="1">
      <c r="B63" s="233" t="str">
        <f t="shared" si="35"/>
        <v>RHTRDELCHE2</v>
      </c>
      <c r="C63" s="233" t="str">
        <f t="shared" si="35"/>
        <v>Residential Heating Technology Rural Detached - Electricity Heating - Existing 2</v>
      </c>
      <c r="D63" s="233" t="str">
        <f t="shared" ref="D63:E63" si="78">D23</f>
        <v>Rural</v>
      </c>
      <c r="E63" s="233" t="str">
        <f t="shared" si="78"/>
        <v>Detached</v>
      </c>
      <c r="F63" s="233" t="str">
        <f t="shared" ref="F63:G63" si="79">F23</f>
        <v>RESELCH</v>
      </c>
      <c r="G63" s="233" t="str">
        <f t="shared" si="79"/>
        <v>RESHRDB</v>
      </c>
      <c r="H63" s="259">
        <v>2015</v>
      </c>
      <c r="I63" s="250">
        <f t="shared" si="69"/>
        <v>7534.7000000000007</v>
      </c>
      <c r="J63" s="250">
        <f t="shared" si="65"/>
        <v>0</v>
      </c>
      <c r="K63" s="250">
        <f t="shared" si="66"/>
        <v>0</v>
      </c>
      <c r="L63" s="462">
        <v>2.3149999999999999</v>
      </c>
      <c r="M63" s="462">
        <v>2.3149999999999999</v>
      </c>
      <c r="N63" s="462">
        <v>2.3149999999999999</v>
      </c>
      <c r="O63" s="244">
        <f t="shared" si="43"/>
        <v>3.1536000000000002E-2</v>
      </c>
      <c r="P63" s="460">
        <v>0.2</v>
      </c>
      <c r="Q63" s="245">
        <v>30</v>
      </c>
      <c r="R63" s="227">
        <v>2</v>
      </c>
      <c r="T63" s="268">
        <f t="shared" si="5"/>
        <v>20.528233192224626</v>
      </c>
      <c r="U63" s="268"/>
      <c r="V63" s="602" t="str">
        <f>'Data manipulation'!$B$30</f>
        <v>Ambient heat (heat pumps)</v>
      </c>
      <c r="W63" s="254" t="s">
        <v>190</v>
      </c>
      <c r="X63" s="246">
        <v>2015</v>
      </c>
      <c r="Y63" s="434">
        <f>_xlfn.IFNA(INDEX('Data manipulation'!$C$23:$O$39,MATCH($V63,'Data manipulation'!$B$23:$B$39,0),MATCH($X63,'Data manipulation'!$C$22:$O$22,0))/1000,0)*SUMIFS('Regional split'!$F$4:$F$6,'Regional split'!$B$4:$B$6,Y$3)*SUMIFS('Data manipulation'!$V$39:$V$42,'Data manipulation'!$X$39:$X$42,$E63,'Data manipulation'!$Y$39:$Y$42,$D63)</f>
        <v>10.264073819999998</v>
      </c>
      <c r="Z63" s="270">
        <f>_xlfn.IFNA(INDEX('Data manipulation'!$C$23:$O$39,MATCH($V63,'Data manipulation'!$B$23:$B$39,0),MATCH($X63,'Data manipulation'!$C$22:$O$22,0))/1000,0)*SUMIFS('Regional split'!$F$4:$F$6,'Regional split'!$B$4:$B$6,Z$3)*SUMIFS('Data manipulation'!$V$39:$V$42,'Data manipulation'!$X$39:$X$42,$E63,'Data manipulation'!$Y$39:$Y$42,$D63)</f>
        <v>0</v>
      </c>
      <c r="AA63" s="456">
        <f>_xlfn.IFNA(INDEX('Data manipulation'!$C$23:$O$39,MATCH($V63,'Data manipulation'!$B$23:$B$39,0),MATCH($X63,'Data manipulation'!$C$22:$O$22,0))/1000,0)*SUMIFS('Regional split'!$F$4:$F$6,'Regional split'!$B$4:$B$6,AA$3)*SUMIFS('Data manipulation'!$V$39:$V$42,'Data manipulation'!$X$39:$X$42,$E63,'Data manipulation'!$Y$39:$Y$42,$D63)</f>
        <v>0</v>
      </c>
      <c r="AB63" s="445">
        <f t="shared" si="6"/>
        <v>23.761330893299995</v>
      </c>
      <c r="AC63" s="251">
        <f t="shared" si="0"/>
        <v>0</v>
      </c>
      <c r="AD63" s="446">
        <f t="shared" si="1"/>
        <v>0</v>
      </c>
      <c r="AU63" s="260"/>
      <c r="AZ63" s="252"/>
    </row>
    <row r="64" spans="2:52" ht="15" customHeight="1">
      <c r="B64" s="233" t="str">
        <f t="shared" si="35"/>
        <v>RHTRDHCEE1</v>
      </c>
      <c r="C64" s="233" t="str">
        <f t="shared" si="35"/>
        <v>Residential Heating Technology Rural Detached - District heating Central - Existing 1</v>
      </c>
      <c r="D64" s="233" t="str">
        <f t="shared" ref="D64:E64" si="80">D24</f>
        <v>Rural</v>
      </c>
      <c r="E64" s="233" t="str">
        <f t="shared" si="80"/>
        <v>Detached</v>
      </c>
      <c r="F64" s="233" t="str">
        <f t="shared" ref="F64:G64" si="81">F24</f>
        <v>RESHDE</v>
      </c>
      <c r="G64" s="233" t="str">
        <f t="shared" si="81"/>
        <v>RESHRDX</v>
      </c>
      <c r="H64" s="261">
        <v>2015</v>
      </c>
      <c r="I64" s="572">
        <v>0</v>
      </c>
      <c r="J64" s="572">
        <v>0</v>
      </c>
      <c r="K64" s="572">
        <v>0</v>
      </c>
      <c r="L64" s="462">
        <v>0.98</v>
      </c>
      <c r="M64" s="462">
        <v>0.98</v>
      </c>
      <c r="N64" s="462">
        <v>0.98</v>
      </c>
      <c r="O64" s="244">
        <f t="shared" si="43"/>
        <v>3.1536000000000002E-2</v>
      </c>
      <c r="P64" s="460">
        <v>0.2</v>
      </c>
      <c r="Q64" s="245">
        <v>30</v>
      </c>
      <c r="R64" s="227">
        <v>2</v>
      </c>
      <c r="T64" s="268">
        <f t="shared" si="5"/>
        <v>0</v>
      </c>
      <c r="U64" s="268"/>
      <c r="V64" s="602" t="str">
        <f>'Data manipulation'!$B$34</f>
        <v>Heat</v>
      </c>
      <c r="W64" s="254" t="s">
        <v>191</v>
      </c>
      <c r="X64" s="246">
        <v>2015</v>
      </c>
      <c r="Y64" s="434">
        <f>_xlfn.IFNA(INDEX('Data manipulation'!$C$23:$O$39,MATCH($V64,'Data manipulation'!$B$23:$B$39,0),MATCH($X64,'Data manipulation'!$C$22:$O$22,0))/1000,0)*SUMIFS('Regional split'!$F$4:$F$6,'Regional split'!$B$4:$B$6,Y$3)*SUMIFS('Data manipulation'!$V$39:$V$42,'Data manipulation'!$X$39:$X$42,$E64,'Data manipulation'!$Y$39:$Y$42,$D64)</f>
        <v>49.802629304999996</v>
      </c>
      <c r="Z64" s="270">
        <f>_xlfn.IFNA(INDEX('Data manipulation'!$C$23:$O$39,MATCH($V64,'Data manipulation'!$B$23:$B$39,0),MATCH($X64,'Data manipulation'!$C$22:$O$22,0))/1000,0)*SUMIFS('Regional split'!$F$4:$F$6,'Regional split'!$B$4:$B$6,Z$3)*SUMIFS('Data manipulation'!$V$39:$V$42,'Data manipulation'!$X$39:$X$42,$E64,'Data manipulation'!$Y$39:$Y$42,$D64)</f>
        <v>0</v>
      </c>
      <c r="AA64" s="456">
        <f>_xlfn.IFNA(INDEX('Data manipulation'!$C$23:$O$39,MATCH($V64,'Data manipulation'!$B$23:$B$39,0),MATCH($X64,'Data manipulation'!$C$22:$O$22,0))/1000,0)*SUMIFS('Regional split'!$F$4:$F$6,'Regional split'!$B$4:$B$6,AA$3)*SUMIFS('Data manipulation'!$V$39:$V$42,'Data manipulation'!$X$39:$X$42,$E64,'Data manipulation'!$Y$39:$Y$42,$D64)</f>
        <v>0</v>
      </c>
      <c r="AB64" s="445">
        <f t="shared" si="6"/>
        <v>48.806576718899997</v>
      </c>
      <c r="AC64" s="251">
        <f t="shared" si="0"/>
        <v>0</v>
      </c>
      <c r="AD64" s="446">
        <f t="shared" si="1"/>
        <v>0</v>
      </c>
      <c r="AU64" s="260"/>
      <c r="AZ64" s="252"/>
    </row>
    <row r="65" spans="2:52" ht="15" customHeight="1" thickBot="1">
      <c r="B65" s="233" t="str">
        <f t="shared" si="35"/>
        <v>RHTRDLPGE1</v>
      </c>
      <c r="C65" s="233" t="str">
        <f t="shared" si="35"/>
        <v>Residential Heating Technology Rural Detached - LPG - Existing 1</v>
      </c>
      <c r="D65" s="233" t="str">
        <f t="shared" ref="D65:E65" si="82">D25</f>
        <v>Rural</v>
      </c>
      <c r="E65" s="233" t="str">
        <f t="shared" si="82"/>
        <v>Detached</v>
      </c>
      <c r="F65" s="233" t="str">
        <f t="shared" ref="F65:G65" si="83">F25</f>
        <v>RESLPG</v>
      </c>
      <c r="G65" s="233" t="str">
        <f t="shared" si="83"/>
        <v>RESHRDB</v>
      </c>
      <c r="H65" s="261">
        <v>2015</v>
      </c>
      <c r="I65" s="297">
        <f t="shared" ref="I65" si="84">ROUNDUP(AB65/($O65*$P65)*$R65,1)</f>
        <v>0</v>
      </c>
      <c r="J65" s="297">
        <f t="shared" ref="J65" si="85">ROUNDUP(AC65/($O65*$P65)*$R65,1)</f>
        <v>0</v>
      </c>
      <c r="K65" s="297">
        <f t="shared" ref="K65" si="86">ROUNDUP(AD65/($O65*$P65)*$R65,1)</f>
        <v>0</v>
      </c>
      <c r="L65" s="462">
        <v>0.98</v>
      </c>
      <c r="M65" s="462">
        <v>0.98</v>
      </c>
      <c r="N65" s="462">
        <v>0.98</v>
      </c>
      <c r="O65" s="244">
        <f t="shared" si="43"/>
        <v>3.1536000000000002E-2</v>
      </c>
      <c r="P65" s="460">
        <v>0.2</v>
      </c>
      <c r="Q65" s="245">
        <v>30</v>
      </c>
      <c r="R65" s="227">
        <v>2</v>
      </c>
      <c r="T65" s="268">
        <f t="shared" si="5"/>
        <v>0</v>
      </c>
      <c r="U65" s="268"/>
      <c r="V65" s="602" t="s">
        <v>790</v>
      </c>
      <c r="W65" s="428" t="s">
        <v>790</v>
      </c>
      <c r="X65" s="246">
        <v>2015</v>
      </c>
      <c r="Y65" s="435">
        <f>_xlfn.IFNA(INDEX('Data manipulation'!$C$23:$O$39,MATCH($V65,'Data manipulation'!$B$23:$B$39,0),MATCH($X65,'Data manipulation'!$C$22:$O$22,0))/1000,0)*SUMIFS('Regional split'!$F$4:$F$6,'Regional split'!$B$4:$B$6,Y$3)*SUMIFS('Data manipulation'!$V$39:$V$42,'Data manipulation'!$X$39:$X$42,$E65,'Data manipulation'!$Y$39:$Y$42,$D65)</f>
        <v>0</v>
      </c>
      <c r="Z65" s="432">
        <f>_xlfn.IFNA(INDEX('Data manipulation'!$C$23:$O$39,MATCH($V65,'Data manipulation'!$B$23:$B$39,0),MATCH($X65,'Data manipulation'!$C$22:$O$22,0))/1000,0)*SUMIFS('Regional split'!$F$4:$F$6,'Regional split'!$B$4:$B$6,Z$3)*SUMIFS('Data manipulation'!$V$39:$V$42,'Data manipulation'!$X$39:$X$42,$E65,'Data manipulation'!$Y$39:$Y$42,$D65)</f>
        <v>0</v>
      </c>
      <c r="AA65" s="457">
        <f>_xlfn.IFNA(INDEX('Data manipulation'!$C$23:$O$39,MATCH($V65,'Data manipulation'!$B$23:$B$39,0),MATCH($X65,'Data manipulation'!$C$22:$O$22,0))/1000,0)*SUMIFS('Regional split'!$F$4:$F$6,'Regional split'!$B$4:$B$6,AA$3)*SUMIFS('Data manipulation'!$V$39:$V$42,'Data manipulation'!$X$39:$X$42,$E65,'Data manipulation'!$Y$39:$Y$42,$D65)</f>
        <v>0</v>
      </c>
      <c r="AB65" s="447">
        <f t="shared" si="6"/>
        <v>0</v>
      </c>
      <c r="AC65" s="433">
        <f t="shared" si="0"/>
        <v>0</v>
      </c>
      <c r="AD65" s="454">
        <f t="shared" si="1"/>
        <v>0</v>
      </c>
      <c r="AU65" s="260"/>
      <c r="AZ65" s="252"/>
    </row>
    <row r="66" spans="2:52" ht="15" customHeight="1">
      <c r="B66" s="227" t="str">
        <f t="shared" si="35"/>
        <v>RHTUMNGAE1</v>
      </c>
      <c r="C66" s="227" t="str">
        <f t="shared" si="35"/>
        <v>Residential Heating Technology Urban Multi - Natural Gas - Existing 1</v>
      </c>
      <c r="D66" s="227" t="str">
        <f t="shared" ref="D66:E66" si="87">D26</f>
        <v>Urban</v>
      </c>
      <c r="E66" s="227" t="str">
        <f t="shared" si="87"/>
        <v>Multi storey</v>
      </c>
      <c r="F66" s="227" t="str">
        <f>F26</f>
        <v>RESNGA,RESSNG</v>
      </c>
      <c r="G66" s="227" t="str">
        <f>G26</f>
        <v>RESHUMB</v>
      </c>
      <c r="H66" s="230">
        <v>2015</v>
      </c>
      <c r="I66" s="250">
        <f>ROUNDUP(AB66/($O66*$P66)*$R66,1)</f>
        <v>39585.199999999997</v>
      </c>
      <c r="J66" s="250">
        <f>ROUNDUP(AC66/($O66*$P66)*$R66,1)</f>
        <v>0</v>
      </c>
      <c r="K66" s="250">
        <f>ROUNDUP(AD66/($O66*$P66)*$R66,1)</f>
        <v>0</v>
      </c>
      <c r="L66" s="462">
        <v>0.72</v>
      </c>
      <c r="M66" s="462">
        <v>0.72</v>
      </c>
      <c r="N66" s="462">
        <v>0.72</v>
      </c>
      <c r="O66" s="244">
        <f>31.536/1000</f>
        <v>3.1536000000000002E-2</v>
      </c>
      <c r="P66" s="460">
        <v>0.2</v>
      </c>
      <c r="Q66" s="245">
        <v>22</v>
      </c>
      <c r="R66" s="227">
        <v>2</v>
      </c>
      <c r="T66" s="268">
        <f t="shared" si="5"/>
        <v>346.76635200000004</v>
      </c>
      <c r="U66" s="268"/>
      <c r="V66" s="602" t="str">
        <f>'Data manipulation'!$B$36</f>
        <v>Natural gas, biogas and LNG</v>
      </c>
      <c r="W66" s="246" t="s">
        <v>187</v>
      </c>
      <c r="X66" s="246">
        <v>2015</v>
      </c>
      <c r="Y66" s="434">
        <f>_xlfn.IFNA(INDEX('Data manipulation'!$C$23:$O$39,MATCH($V66,'Data manipulation'!$B$23:$B$39,0),MATCH($X66,'Data manipulation'!$C$22:$O$22,0))/1000,0)*SUMIFS('Regional split'!$F$4:$F$6,'Regional split'!$B$4:$B$6,Y$3)*SUMIFS('Data manipulation'!$V$39:$V$42,'Data manipulation'!$X$39:$X$42,$E66,'Data manipulation'!$Y$39:$Y$42,$D66)</f>
        <v>173.38279459799998</v>
      </c>
      <c r="Z66" s="270">
        <f>_xlfn.IFNA(INDEX('Data manipulation'!$C$23:$O$39,MATCH($V66,'Data manipulation'!$B$23:$B$39,0),MATCH($X66,'Data manipulation'!$C$22:$O$22,0))/1000,0)*SUMIFS('Regional split'!$F$4:$F$6,'Regional split'!$B$4:$B$6,Z$3)*SUMIFS('Data manipulation'!$V$39:$V$42,'Data manipulation'!$X$39:$X$42,$E66,'Data manipulation'!$Y$39:$Y$42,$D66)</f>
        <v>0</v>
      </c>
      <c r="AA66" s="456">
        <f>_xlfn.IFNA(INDEX('Data manipulation'!$C$23:$O$39,MATCH($V66,'Data manipulation'!$B$23:$B$39,0),MATCH($X66,'Data manipulation'!$C$22:$O$22,0))/1000,0)*SUMIFS('Regional split'!$F$4:$F$6,'Regional split'!$B$4:$B$6,AA$3)*SUMIFS('Data manipulation'!$V$39:$V$42,'Data manipulation'!$X$39:$X$42,$E66,'Data manipulation'!$Y$39:$Y$42,$D66)</f>
        <v>0</v>
      </c>
      <c r="AB66" s="445">
        <f t="shared" ref="AB66:AB105" si="88">Y66*L66</f>
        <v>124.83561211055998</v>
      </c>
      <c r="AC66" s="251">
        <f t="shared" ref="AC66:AC105" si="89">Z66*M66</f>
        <v>0</v>
      </c>
      <c r="AD66" s="446">
        <f t="shared" ref="AD66:AD105" si="90">AA66*N66</f>
        <v>0</v>
      </c>
      <c r="AE66" s="262"/>
      <c r="AU66" s="260"/>
      <c r="AZ66" s="252"/>
    </row>
    <row r="67" spans="2:52" ht="15" customHeight="1">
      <c r="B67" s="227" t="str">
        <f t="shared" ref="B67:C85" si="91">B27</f>
        <v>RHTUMDSLE1</v>
      </c>
      <c r="C67" s="227" t="str">
        <f t="shared" si="91"/>
        <v>Residential Heating Technology Urban Multi - Diesel - Existing 1</v>
      </c>
      <c r="D67" s="227" t="str">
        <f t="shared" ref="D67:E67" si="92">D27</f>
        <v>Urban</v>
      </c>
      <c r="E67" s="227" t="str">
        <f t="shared" si="92"/>
        <v>Multi storey</v>
      </c>
      <c r="F67" s="227" t="str">
        <f t="shared" ref="F67:G67" si="93">F27</f>
        <v>RESDSL,RESDSB</v>
      </c>
      <c r="G67" s="227" t="str">
        <f t="shared" si="93"/>
        <v>RESHUMB</v>
      </c>
      <c r="H67" s="230">
        <v>2015</v>
      </c>
      <c r="I67" s="250">
        <f t="shared" ref="I67:I74" si="94">ROUNDUP(AB67/($O67*$P67)*$R67,1)</f>
        <v>22102.1</v>
      </c>
      <c r="J67" s="250">
        <f t="shared" ref="J67:J73" si="95">ROUNDUP(AC67/($O67*$P67)*$R67,1)</f>
        <v>0</v>
      </c>
      <c r="K67" s="250">
        <f t="shared" ref="K67:K73" si="96">ROUNDUP(AD67/($O67*$P67)*$R67,1)</f>
        <v>0</v>
      </c>
      <c r="L67" s="462">
        <v>0.71</v>
      </c>
      <c r="M67" s="462">
        <v>0.71</v>
      </c>
      <c r="N67" s="462">
        <v>0.71</v>
      </c>
      <c r="O67" s="244">
        <f>31.536/1000</f>
        <v>3.1536000000000002E-2</v>
      </c>
      <c r="P67" s="460">
        <v>0.2</v>
      </c>
      <c r="Q67" s="245">
        <v>20</v>
      </c>
      <c r="R67" s="227">
        <v>2</v>
      </c>
      <c r="T67" s="268">
        <f t="shared" si="5"/>
        <v>196.34135932394366</v>
      </c>
      <c r="V67" s="602" t="str">
        <f>'Data manipulation'!$B$35</f>
        <v>Oil products</v>
      </c>
      <c r="W67" s="254" t="s">
        <v>749</v>
      </c>
      <c r="X67" s="246">
        <v>2015</v>
      </c>
      <c r="Y67" s="434">
        <f>_xlfn.IFNA(INDEX('Data manipulation'!$C$23:$O$39,MATCH($V67,'Data manipulation'!$B$23:$B$39,0),MATCH($X67,'Data manipulation'!$C$22:$O$22,0))/1000,0)*SUMIFS('Regional split'!$F$4:$F$6,'Regional split'!$B$4:$B$6,Y$3)*SUMIFS('Data manipulation'!$V$39:$V$42,'Data manipulation'!$X$39:$X$42,$E67,'Data manipulation'!$Y$39:$Y$42,$D67)</f>
        <v>98.170426887000005</v>
      </c>
      <c r="Z67" s="270">
        <f>_xlfn.IFNA(INDEX('Data manipulation'!$C$23:$O$39,MATCH($V67,'Data manipulation'!$B$23:$B$39,0),MATCH($X67,'Data manipulation'!$C$22:$O$22,0))/1000,0)*SUMIFS('Regional split'!$F$4:$F$6,'Regional split'!$B$4:$B$6,Z$3)*SUMIFS('Data manipulation'!$V$39:$V$42,'Data manipulation'!$X$39:$X$42,$E67,'Data manipulation'!$Y$39:$Y$42,$D67)</f>
        <v>0</v>
      </c>
      <c r="AA67" s="456">
        <f>_xlfn.IFNA(INDEX('Data manipulation'!$C$23:$O$39,MATCH($V67,'Data manipulation'!$B$23:$B$39,0),MATCH($X67,'Data manipulation'!$C$22:$O$22,0))/1000,0)*SUMIFS('Regional split'!$F$4:$F$6,'Regional split'!$B$4:$B$6,AA$3)*SUMIFS('Data manipulation'!$V$39:$V$42,'Data manipulation'!$X$39:$X$42,$E67,'Data manipulation'!$Y$39:$Y$42,$D67)</f>
        <v>0</v>
      </c>
      <c r="AB67" s="445">
        <f t="shared" si="88"/>
        <v>69.701003089769998</v>
      </c>
      <c r="AC67" s="251">
        <f t="shared" si="89"/>
        <v>0</v>
      </c>
      <c r="AD67" s="446">
        <f t="shared" si="90"/>
        <v>0</v>
      </c>
      <c r="AE67" s="262"/>
      <c r="AU67" s="260"/>
      <c r="AZ67" s="252"/>
    </row>
    <row r="68" spans="2:52" ht="15" customHeight="1">
      <c r="B68" s="227" t="str">
        <f t="shared" si="91"/>
        <v>RHTUMWPEE1</v>
      </c>
      <c r="C68" s="227" t="str">
        <f t="shared" si="91"/>
        <v>Residential Heating Technology Urban Multi - Wood pellets - Existing 1</v>
      </c>
      <c r="D68" s="227" t="str">
        <f t="shared" ref="D68:E68" si="97">D28</f>
        <v>Urban</v>
      </c>
      <c r="E68" s="227" t="str">
        <f t="shared" si="97"/>
        <v>Multi storey</v>
      </c>
      <c r="F68" s="227" t="str">
        <f t="shared" ref="F68:G68" si="98">F28</f>
        <v>RESWPE</v>
      </c>
      <c r="G68" s="227" t="str">
        <f t="shared" si="98"/>
        <v>RESHUMB</v>
      </c>
      <c r="H68" s="230">
        <v>2015</v>
      </c>
      <c r="I68" s="250">
        <f t="shared" si="94"/>
        <v>0</v>
      </c>
      <c r="J68" s="250">
        <f t="shared" si="95"/>
        <v>0</v>
      </c>
      <c r="K68" s="250">
        <f t="shared" si="96"/>
        <v>0</v>
      </c>
      <c r="L68" s="462">
        <v>0.61</v>
      </c>
      <c r="M68" s="462">
        <v>0.61</v>
      </c>
      <c r="N68" s="462">
        <v>0.61</v>
      </c>
      <c r="O68" s="244">
        <f t="shared" ref="O68:O85" si="99">31.536/1000</f>
        <v>3.1536000000000002E-2</v>
      </c>
      <c r="P68" s="460">
        <v>0.2</v>
      </c>
      <c r="Q68" s="245">
        <v>20</v>
      </c>
      <c r="R68" s="227">
        <v>2</v>
      </c>
      <c r="T68" s="268">
        <f t="shared" si="5"/>
        <v>0</v>
      </c>
      <c r="U68" s="268"/>
      <c r="V68" s="602" t="s">
        <v>206</v>
      </c>
      <c r="W68" s="254" t="s">
        <v>896</v>
      </c>
      <c r="X68" s="246">
        <v>2015</v>
      </c>
      <c r="Y68" s="434">
        <f>_xlfn.IFNA(INDEX('Data manipulation'!$C$23:$O$39,MATCH($V68,'Data manipulation'!$B$23:$B$39,0),MATCH($X68,'Data manipulation'!$C$22:$O$22,0))/1000,0)*SUMIFS('Regional split'!$F$4:$F$6,'Regional split'!$B$4:$B$6,Y$3)*SUMIFS('Data manipulation'!$V$39:$V$42,'Data manipulation'!$X$39:$X$42,$E68,'Data manipulation'!$Y$39:$Y$42,$D68)</f>
        <v>0</v>
      </c>
      <c r="Z68" s="270">
        <f>_xlfn.IFNA(INDEX('Data manipulation'!$C$23:$O$39,MATCH($V68,'Data manipulation'!$B$23:$B$39,0),MATCH($X68,'Data manipulation'!$C$22:$O$22,0))/1000,0)*SUMIFS('Regional split'!$F$4:$F$6,'Regional split'!$B$4:$B$6,Z$3)*SUMIFS('Data manipulation'!$V$39:$V$42,'Data manipulation'!$X$39:$X$42,$E68,'Data manipulation'!$Y$39:$Y$42,$D68)</f>
        <v>0</v>
      </c>
      <c r="AA68" s="456">
        <f>_xlfn.IFNA(INDEX('Data manipulation'!$C$23:$O$39,MATCH($V68,'Data manipulation'!$B$23:$B$39,0),MATCH($X68,'Data manipulation'!$C$22:$O$22,0))/1000,0)*SUMIFS('Regional split'!$F$4:$F$6,'Regional split'!$B$4:$B$6,AA$3)*SUMIFS('Data manipulation'!$V$39:$V$42,'Data manipulation'!$X$39:$X$42,$E68,'Data manipulation'!$Y$39:$Y$42,$D68)</f>
        <v>0</v>
      </c>
      <c r="AB68" s="445">
        <f t="shared" si="88"/>
        <v>0</v>
      </c>
      <c r="AC68" s="251">
        <f t="shared" si="89"/>
        <v>0</v>
      </c>
      <c r="AD68" s="446">
        <f t="shared" si="90"/>
        <v>0</v>
      </c>
      <c r="AE68" s="262"/>
      <c r="AU68" s="260"/>
      <c r="AZ68" s="252"/>
    </row>
    <row r="69" spans="2:52" ht="15" customHeight="1">
      <c r="B69" s="227" t="str">
        <f t="shared" si="91"/>
        <v>RHTUMFIWE1</v>
      </c>
      <c r="C69" s="227" t="str">
        <f t="shared" si="91"/>
        <v>Residential Heating Technology Urban Multi - Fire wood - Existing 1</v>
      </c>
      <c r="D69" s="227" t="str">
        <f t="shared" ref="D69:E69" si="100">D29</f>
        <v>Urban</v>
      </c>
      <c r="E69" s="227" t="str">
        <f t="shared" si="100"/>
        <v>Multi storey</v>
      </c>
      <c r="F69" s="227" t="str">
        <f t="shared" ref="F69:G69" si="101">F29</f>
        <v>RESFIW</v>
      </c>
      <c r="G69" s="227" t="str">
        <f t="shared" si="101"/>
        <v>RESHUMB</v>
      </c>
      <c r="H69" s="230">
        <v>2015</v>
      </c>
      <c r="I69" s="250">
        <f t="shared" si="94"/>
        <v>10591.2</v>
      </c>
      <c r="J69" s="250">
        <f t="shared" si="95"/>
        <v>0</v>
      </c>
      <c r="K69" s="250">
        <f t="shared" si="96"/>
        <v>0</v>
      </c>
      <c r="L69" s="462">
        <v>0.65000022993955098</v>
      </c>
      <c r="M69" s="462">
        <v>0.65000022993955098</v>
      </c>
      <c r="N69" s="462">
        <v>0.65000022993955098</v>
      </c>
      <c r="O69" s="244">
        <f t="shared" si="99"/>
        <v>3.1536000000000002E-2</v>
      </c>
      <c r="P69" s="460">
        <v>0.2</v>
      </c>
      <c r="Q69" s="245">
        <v>20</v>
      </c>
      <c r="R69" s="227">
        <v>2</v>
      </c>
      <c r="T69" s="268">
        <f t="shared" si="5"/>
        <v>102.77045078309031</v>
      </c>
      <c r="U69" s="268"/>
      <c r="V69" s="602" t="str">
        <f>'Data manipulation'!$B$31</f>
        <v>Primary solid biofuels</v>
      </c>
      <c r="W69" s="254" t="s">
        <v>196</v>
      </c>
      <c r="X69" s="246">
        <v>2015</v>
      </c>
      <c r="Y69" s="434">
        <f>_xlfn.IFNA(INDEX('Data manipulation'!$C$23:$O$39,MATCH($V69,'Data manipulation'!$B$23:$B$39,0),MATCH($X69,'Data manipulation'!$C$22:$O$22,0))/1000,0)*SUMIFS('Regional split'!$F$4:$F$6,'Regional split'!$B$4:$B$6,Y$3)*SUMIFS('Data manipulation'!$V$39:$V$42,'Data manipulation'!$X$39:$X$42,$E69,'Data manipulation'!$Y$39:$Y$42,$D69)</f>
        <v>51.384875698000002</v>
      </c>
      <c r="Z69" s="270">
        <f>_xlfn.IFNA(INDEX('Data manipulation'!$C$23:$O$39,MATCH($V69,'Data manipulation'!$B$23:$B$39,0),MATCH($X69,'Data manipulation'!$C$22:$O$22,0))/1000,0)*SUMIFS('Regional split'!$F$4:$F$6,'Regional split'!$B$4:$B$6,Z$3)*SUMIFS('Data manipulation'!$V$39:$V$42,'Data manipulation'!$X$39:$X$42,$E69,'Data manipulation'!$Y$39:$Y$42,$D69)</f>
        <v>0</v>
      </c>
      <c r="AA69" s="456">
        <f>_xlfn.IFNA(INDEX('Data manipulation'!$C$23:$O$39,MATCH($V69,'Data manipulation'!$B$23:$B$39,0),MATCH($X69,'Data manipulation'!$C$22:$O$22,0))/1000,0)*SUMIFS('Regional split'!$F$4:$F$6,'Regional split'!$B$4:$B$6,AA$3)*SUMIFS('Data manipulation'!$V$39:$V$42,'Data manipulation'!$X$39:$X$42,$E69,'Data manipulation'!$Y$39:$Y$42,$D69)</f>
        <v>0</v>
      </c>
      <c r="AB69" s="445">
        <f t="shared" si="88"/>
        <v>33.400181019115244</v>
      </c>
      <c r="AC69" s="251">
        <f t="shared" si="89"/>
        <v>0</v>
      </c>
      <c r="AD69" s="446">
        <f t="shared" si="90"/>
        <v>0</v>
      </c>
      <c r="AE69" s="262"/>
      <c r="AU69" s="260"/>
      <c r="AZ69" s="252"/>
    </row>
    <row r="70" spans="2:52" ht="15" customHeight="1">
      <c r="B70" s="233" t="str">
        <f t="shared" si="91"/>
        <v>RHTUMCOAE1</v>
      </c>
      <c r="C70" s="233" t="str">
        <f t="shared" si="91"/>
        <v>Residential Heating Technology Urban Multi - Coal - Existing 1</v>
      </c>
      <c r="D70" s="233" t="str">
        <f t="shared" ref="D70:E70" si="102">D30</f>
        <v>Urban</v>
      </c>
      <c r="E70" s="233" t="str">
        <f t="shared" si="102"/>
        <v>Multi storey</v>
      </c>
      <c r="F70" s="233" t="str">
        <f t="shared" ref="F70:G70" si="103">F30</f>
        <v>RESCOA</v>
      </c>
      <c r="G70" s="233" t="str">
        <f t="shared" si="103"/>
        <v>RESHUMB</v>
      </c>
      <c r="H70" s="230">
        <v>2015</v>
      </c>
      <c r="I70" s="250">
        <f t="shared" si="94"/>
        <v>1301.6999999999998</v>
      </c>
      <c r="J70" s="250">
        <f t="shared" si="95"/>
        <v>0</v>
      </c>
      <c r="K70" s="250">
        <f t="shared" si="96"/>
        <v>0</v>
      </c>
      <c r="L70" s="462">
        <v>0.7</v>
      </c>
      <c r="M70" s="462">
        <v>0.7</v>
      </c>
      <c r="N70" s="462">
        <v>0.7</v>
      </c>
      <c r="O70" s="244">
        <f t="shared" si="99"/>
        <v>3.1536000000000002E-2</v>
      </c>
      <c r="P70" s="460">
        <v>0.2</v>
      </c>
      <c r="Q70" s="245">
        <v>20</v>
      </c>
      <c r="R70" s="227">
        <v>2</v>
      </c>
      <c r="T70" s="268">
        <f t="shared" si="5"/>
        <v>11.728688914285716</v>
      </c>
      <c r="U70" s="268"/>
      <c r="V70" s="602" t="str">
        <f>'Data manipulation'!$B$23</f>
        <v>Solid fossil fuels, peat, peat products, oil shale and oil sands</v>
      </c>
      <c r="W70" s="254" t="s">
        <v>893</v>
      </c>
      <c r="X70" s="246">
        <v>2015</v>
      </c>
      <c r="Y70" s="434">
        <f>_xlfn.IFNA(INDEX('Data manipulation'!$C$23:$O$39,MATCH($V70,'Data manipulation'!$B$23:$B$39,0),MATCH($X70,'Data manipulation'!$C$22:$O$22,0))/1000,0)*SUMIFS('Regional split'!$F$4:$F$6,'Regional split'!$B$4:$B$6,Y$3)*SUMIFS('Data manipulation'!$V$39:$V$42,'Data manipulation'!$X$39:$X$42,$E70,'Data manipulation'!$Y$39:$Y$42,$D70)</f>
        <v>5.8639610509999995</v>
      </c>
      <c r="Z70" s="270">
        <f>_xlfn.IFNA(INDEX('Data manipulation'!$C$23:$O$39,MATCH($V70,'Data manipulation'!$B$23:$B$39,0),MATCH($X70,'Data manipulation'!$C$22:$O$22,0))/1000,0)*SUMIFS('Regional split'!$F$4:$F$6,'Regional split'!$B$4:$B$6,Z$3)*SUMIFS('Data manipulation'!$V$39:$V$42,'Data manipulation'!$X$39:$X$42,$E70,'Data manipulation'!$Y$39:$Y$42,$D70)</f>
        <v>0</v>
      </c>
      <c r="AA70" s="456">
        <f>_xlfn.IFNA(INDEX('Data manipulation'!$C$23:$O$39,MATCH($V70,'Data manipulation'!$B$23:$B$39,0),MATCH($X70,'Data manipulation'!$C$22:$O$22,0))/1000,0)*SUMIFS('Regional split'!$F$4:$F$6,'Regional split'!$B$4:$B$6,AA$3)*SUMIFS('Data manipulation'!$V$39:$V$42,'Data manipulation'!$X$39:$X$42,$E70,'Data manipulation'!$Y$39:$Y$42,$D70)</f>
        <v>0</v>
      </c>
      <c r="AB70" s="445">
        <f t="shared" si="88"/>
        <v>4.1047727356999992</v>
      </c>
      <c r="AC70" s="251">
        <f t="shared" si="89"/>
        <v>0</v>
      </c>
      <c r="AD70" s="446">
        <f t="shared" si="90"/>
        <v>0</v>
      </c>
      <c r="AE70" s="262"/>
      <c r="AU70" s="260"/>
      <c r="AZ70" s="252"/>
    </row>
    <row r="71" spans="2:52" ht="15" customHeight="1">
      <c r="B71" s="233" t="str">
        <f t="shared" si="91"/>
        <v>RHTUMSOLE1</v>
      </c>
      <c r="C71" s="233" t="str">
        <f t="shared" si="91"/>
        <v>Residential Heating Technology Urban Multi - Solar - Existing 1</v>
      </c>
      <c r="D71" s="233" t="str">
        <f t="shared" ref="D71:E71" si="104">D31</f>
        <v>Urban</v>
      </c>
      <c r="E71" s="233" t="str">
        <f t="shared" si="104"/>
        <v>Multi storey</v>
      </c>
      <c r="F71" s="233" t="str">
        <f t="shared" ref="F71:G71" si="105">F31</f>
        <v>RESSOL</v>
      </c>
      <c r="G71" s="233" t="str">
        <f t="shared" si="105"/>
        <v>RESHUMB</v>
      </c>
      <c r="H71" s="230">
        <v>2015</v>
      </c>
      <c r="I71" s="250">
        <f t="shared" si="94"/>
        <v>271.8</v>
      </c>
      <c r="J71" s="250">
        <f t="shared" si="95"/>
        <v>0</v>
      </c>
      <c r="K71" s="250">
        <f t="shared" si="96"/>
        <v>0</v>
      </c>
      <c r="L71" s="462">
        <v>1</v>
      </c>
      <c r="M71" s="462">
        <v>1</v>
      </c>
      <c r="N71" s="462">
        <v>1</v>
      </c>
      <c r="O71" s="244">
        <f t="shared" si="99"/>
        <v>3.1536000000000002E-2</v>
      </c>
      <c r="P71" s="460">
        <v>0.2</v>
      </c>
      <c r="Q71" s="245">
        <v>20</v>
      </c>
      <c r="R71" s="227">
        <v>2</v>
      </c>
      <c r="T71" s="268">
        <f t="shared" ref="T71:T174" si="106">SUM(I71:K71)*O71*P71/L71</f>
        <v>1.7142969600000002</v>
      </c>
      <c r="U71" s="268"/>
      <c r="V71" s="602" t="str">
        <f>'Data manipulation'!$B$29</f>
        <v>Solar thermal</v>
      </c>
      <c r="W71" s="254" t="s">
        <v>188</v>
      </c>
      <c r="X71" s="246">
        <v>2015</v>
      </c>
      <c r="Y71" s="434">
        <f>_xlfn.IFNA(INDEX('Data manipulation'!$C$23:$O$39,MATCH($V71,'Data manipulation'!$B$23:$B$39,0),MATCH($X71,'Data manipulation'!$C$22:$O$22,0))/1000,0)*SUMIFS('Regional split'!$F$4:$F$6,'Regional split'!$B$4:$B$6,Y$3)*SUMIFS('Data manipulation'!$V$39:$V$42,'Data manipulation'!$X$39:$X$42,$E71,'Data manipulation'!$Y$39:$Y$42,$D71)</f>
        <v>0.85687807399999993</v>
      </c>
      <c r="Z71" s="270">
        <f>_xlfn.IFNA(INDEX('Data manipulation'!$C$23:$O$39,MATCH($V71,'Data manipulation'!$B$23:$B$39,0),MATCH($X71,'Data manipulation'!$C$22:$O$22,0))/1000,0)*SUMIFS('Regional split'!$F$4:$F$6,'Regional split'!$B$4:$B$6,Z$3)*SUMIFS('Data manipulation'!$V$39:$V$42,'Data manipulation'!$X$39:$X$42,$E71,'Data manipulation'!$Y$39:$Y$42,$D71)</f>
        <v>0</v>
      </c>
      <c r="AA71" s="456">
        <f>_xlfn.IFNA(INDEX('Data manipulation'!$C$23:$O$39,MATCH($V71,'Data manipulation'!$B$23:$B$39,0),MATCH($X71,'Data manipulation'!$C$22:$O$22,0))/1000,0)*SUMIFS('Regional split'!$F$4:$F$6,'Regional split'!$B$4:$B$6,AA$3)*SUMIFS('Data manipulation'!$V$39:$V$42,'Data manipulation'!$X$39:$X$42,$E71,'Data manipulation'!$Y$39:$Y$42,$D71)</f>
        <v>0</v>
      </c>
      <c r="AB71" s="445">
        <f t="shared" si="88"/>
        <v>0.85687807399999993</v>
      </c>
      <c r="AC71" s="251">
        <f t="shared" si="89"/>
        <v>0</v>
      </c>
      <c r="AD71" s="446">
        <f t="shared" si="90"/>
        <v>0</v>
      </c>
      <c r="AE71" s="262"/>
      <c r="AU71" s="260"/>
      <c r="AZ71" s="252"/>
    </row>
    <row r="72" spans="2:52" ht="15" customHeight="1">
      <c r="B72" s="233" t="str">
        <f t="shared" si="91"/>
        <v>RHTUMELCHE1</v>
      </c>
      <c r="C72" s="233" t="str">
        <f t="shared" si="91"/>
        <v>Residential Heating Technology Urban Multi - Electricity Heating - Existing 1</v>
      </c>
      <c r="D72" s="233" t="str">
        <f t="shared" ref="D72:E72" si="107">D32</f>
        <v>Urban</v>
      </c>
      <c r="E72" s="233" t="str">
        <f t="shared" si="107"/>
        <v>Multi storey</v>
      </c>
      <c r="F72" s="233" t="str">
        <f t="shared" ref="F72:G72" si="108">F32</f>
        <v>RESELCH</v>
      </c>
      <c r="G72" s="233" t="str">
        <f t="shared" si="108"/>
        <v>RESHUMB</v>
      </c>
      <c r="H72" s="230">
        <v>2015</v>
      </c>
      <c r="I72" s="250">
        <f t="shared" si="94"/>
        <v>2524.6999999999998</v>
      </c>
      <c r="J72" s="250">
        <f t="shared" si="95"/>
        <v>0</v>
      </c>
      <c r="K72" s="250">
        <f t="shared" si="96"/>
        <v>0</v>
      </c>
      <c r="L72" s="462">
        <v>1</v>
      </c>
      <c r="M72" s="462">
        <v>1</v>
      </c>
      <c r="N72" s="462">
        <v>1</v>
      </c>
      <c r="O72" s="244">
        <f t="shared" si="99"/>
        <v>3.1536000000000002E-2</v>
      </c>
      <c r="P72" s="460">
        <v>0.2</v>
      </c>
      <c r="Q72" s="245">
        <v>30</v>
      </c>
      <c r="R72" s="227">
        <v>2</v>
      </c>
      <c r="T72" s="268">
        <f t="shared" si="106"/>
        <v>15.923787840000001</v>
      </c>
      <c r="U72" s="268"/>
      <c r="V72" s="602" t="str">
        <f>'Data manipulation'!$B$33</f>
        <v>Electricity</v>
      </c>
      <c r="W72" s="254" t="s">
        <v>189</v>
      </c>
      <c r="X72" s="246">
        <v>2015</v>
      </c>
      <c r="Y72" s="434">
        <f>_xlfn.IFNA(INDEX('Data manipulation'!$C$23:$O$39,MATCH($V72,'Data manipulation'!$B$23:$B$39,0),MATCH($X72,'Data manipulation'!$C$22:$O$22,0))/1000,0)*SUMIFS('Regional split'!$F$4:$F$6,'Regional split'!$B$4:$B$6,Y$3)*SUMIFS('Data manipulation'!$V$39:$V$42,'Data manipulation'!$X$39:$X$42,$E72,'Data manipulation'!$Y$39:$Y$42,$D72)</f>
        <v>7.9616512820000001</v>
      </c>
      <c r="Z72" s="270">
        <f>_xlfn.IFNA(INDEX('Data manipulation'!$C$23:$O$39,MATCH($V72,'Data manipulation'!$B$23:$B$39,0),MATCH($X72,'Data manipulation'!$C$22:$O$22,0))/1000,0)*SUMIFS('Regional split'!$F$4:$F$6,'Regional split'!$B$4:$B$6,Z$3)*SUMIFS('Data manipulation'!$V$39:$V$42,'Data manipulation'!$X$39:$X$42,$E72,'Data manipulation'!$Y$39:$Y$42,$D72)</f>
        <v>0</v>
      </c>
      <c r="AA72" s="456">
        <f>_xlfn.IFNA(INDEX('Data manipulation'!$C$23:$O$39,MATCH($V72,'Data manipulation'!$B$23:$B$39,0),MATCH($X72,'Data manipulation'!$C$22:$O$22,0))/1000,0)*SUMIFS('Regional split'!$F$4:$F$6,'Regional split'!$B$4:$B$6,AA$3)*SUMIFS('Data manipulation'!$V$39:$V$42,'Data manipulation'!$X$39:$X$42,$E72,'Data manipulation'!$Y$39:$Y$42,$D72)</f>
        <v>0</v>
      </c>
      <c r="AB72" s="445">
        <f t="shared" si="88"/>
        <v>7.9616512820000001</v>
      </c>
      <c r="AC72" s="251">
        <f t="shared" si="89"/>
        <v>0</v>
      </c>
      <c r="AD72" s="446">
        <f t="shared" si="90"/>
        <v>0</v>
      </c>
      <c r="AU72" s="260"/>
      <c r="AZ72" s="252"/>
    </row>
    <row r="73" spans="2:52" ht="15" customHeight="1">
      <c r="B73" s="233" t="str">
        <f t="shared" si="91"/>
        <v>RHTUMELCHE2</v>
      </c>
      <c r="C73" s="233" t="str">
        <f t="shared" si="91"/>
        <v>Residential Heating Technology Urban Multi - Electricity Heating - Existing 2</v>
      </c>
      <c r="D73" s="233" t="str">
        <f t="shared" ref="D73:E73" si="109">D33</f>
        <v>Urban</v>
      </c>
      <c r="E73" s="233" t="str">
        <f t="shared" si="109"/>
        <v>Multi storey</v>
      </c>
      <c r="F73" s="233" t="str">
        <f t="shared" ref="F73:G73" si="110">F33</f>
        <v>RESELCH</v>
      </c>
      <c r="G73" s="233" t="str">
        <f t="shared" si="110"/>
        <v>RESHUMB</v>
      </c>
      <c r="H73" s="230">
        <v>2015</v>
      </c>
      <c r="I73" s="250">
        <f t="shared" si="94"/>
        <v>5834.1</v>
      </c>
      <c r="J73" s="250">
        <f t="shared" si="95"/>
        <v>0</v>
      </c>
      <c r="K73" s="250">
        <f t="shared" si="96"/>
        <v>0</v>
      </c>
      <c r="L73" s="462">
        <v>2.3149999999999999</v>
      </c>
      <c r="M73" s="462">
        <v>2.3149999999999999</v>
      </c>
      <c r="N73" s="462">
        <v>2.3149999999999999</v>
      </c>
      <c r="O73" s="244">
        <f t="shared" si="99"/>
        <v>3.1536000000000002E-2</v>
      </c>
      <c r="P73" s="460">
        <v>0.2</v>
      </c>
      <c r="Q73" s="245">
        <v>30</v>
      </c>
      <c r="R73" s="227">
        <v>2</v>
      </c>
      <c r="T73" s="268">
        <f t="shared" si="106"/>
        <v>15.894961347732183</v>
      </c>
      <c r="U73" s="268"/>
      <c r="V73" s="602" t="str">
        <f>'Data manipulation'!$B$30</f>
        <v>Ambient heat (heat pumps)</v>
      </c>
      <c r="W73" s="254" t="s">
        <v>190</v>
      </c>
      <c r="X73" s="246">
        <v>2015</v>
      </c>
      <c r="Y73" s="434">
        <f>_xlfn.IFNA(INDEX('Data manipulation'!$C$23:$O$39,MATCH($V73,'Data manipulation'!$B$23:$B$39,0),MATCH($X73,'Data manipulation'!$C$22:$O$22,0))/1000,0)*SUMIFS('Regional split'!$F$4:$F$6,'Regional split'!$B$4:$B$6,Y$3)*SUMIFS('Data manipulation'!$V$39:$V$42,'Data manipulation'!$X$39:$X$42,$E73,'Data manipulation'!$Y$39:$Y$42,$D73)</f>
        <v>7.9474176599999993</v>
      </c>
      <c r="Z73" s="270">
        <f>_xlfn.IFNA(INDEX('Data manipulation'!$C$23:$O$39,MATCH($V73,'Data manipulation'!$B$23:$B$39,0),MATCH($X73,'Data manipulation'!$C$22:$O$22,0))/1000,0)*SUMIFS('Regional split'!$F$4:$F$6,'Regional split'!$B$4:$B$6,Z$3)*SUMIFS('Data manipulation'!$V$39:$V$42,'Data manipulation'!$X$39:$X$42,$E73,'Data manipulation'!$Y$39:$Y$42,$D73)</f>
        <v>0</v>
      </c>
      <c r="AA73" s="456">
        <f>_xlfn.IFNA(INDEX('Data manipulation'!$C$23:$O$39,MATCH($V73,'Data manipulation'!$B$23:$B$39,0),MATCH($X73,'Data manipulation'!$C$22:$O$22,0))/1000,0)*SUMIFS('Regional split'!$F$4:$F$6,'Regional split'!$B$4:$B$6,AA$3)*SUMIFS('Data manipulation'!$V$39:$V$42,'Data manipulation'!$X$39:$X$42,$E73,'Data manipulation'!$Y$39:$Y$42,$D73)</f>
        <v>0</v>
      </c>
      <c r="AB73" s="445">
        <f t="shared" si="88"/>
        <v>18.398271882899998</v>
      </c>
      <c r="AC73" s="251">
        <f t="shared" si="89"/>
        <v>0</v>
      </c>
      <c r="AD73" s="446">
        <f t="shared" si="90"/>
        <v>0</v>
      </c>
      <c r="AU73" s="260"/>
      <c r="AZ73" s="252"/>
    </row>
    <row r="74" spans="2:52" ht="15" customHeight="1">
      <c r="B74" s="233" t="str">
        <f t="shared" si="91"/>
        <v>RHTUMHCEE1</v>
      </c>
      <c r="C74" s="233" t="str">
        <f t="shared" si="91"/>
        <v>Residential Heating Technology Urban Multi - District heating Central - Existing 1</v>
      </c>
      <c r="D74" s="233" t="str">
        <f t="shared" ref="D74:E74" si="111">D34</f>
        <v>Urban</v>
      </c>
      <c r="E74" s="233" t="str">
        <f t="shared" si="111"/>
        <v>Multi storey</v>
      </c>
      <c r="F74" s="233" t="str">
        <f t="shared" ref="F74:G74" si="112">F34</f>
        <v>RESHCE</v>
      </c>
      <c r="G74" s="233" t="str">
        <f t="shared" si="112"/>
        <v>RESHUMX</v>
      </c>
      <c r="H74" s="230">
        <v>2015</v>
      </c>
      <c r="I74" s="250">
        <f t="shared" si="94"/>
        <v>11616.6</v>
      </c>
      <c r="J74" s="572">
        <v>0</v>
      </c>
      <c r="K74" s="572">
        <v>0</v>
      </c>
      <c r="L74" s="462">
        <v>0.95</v>
      </c>
      <c r="M74" s="462">
        <v>0.95</v>
      </c>
      <c r="N74" s="462">
        <v>0.95</v>
      </c>
      <c r="O74" s="244">
        <f t="shared" si="99"/>
        <v>3.1536000000000002E-2</v>
      </c>
      <c r="P74" s="460">
        <v>0.2</v>
      </c>
      <c r="Q74" s="245">
        <v>30</v>
      </c>
      <c r="R74" s="227">
        <v>2</v>
      </c>
      <c r="T74" s="268">
        <f t="shared" si="106"/>
        <v>77.124441600000011</v>
      </c>
      <c r="U74" s="268"/>
      <c r="V74" s="602" t="str">
        <f>'Data manipulation'!$B$34</f>
        <v>Heat</v>
      </c>
      <c r="W74" s="254" t="s">
        <v>191</v>
      </c>
      <c r="X74" s="246">
        <v>2015</v>
      </c>
      <c r="Y74" s="434">
        <f>_xlfn.IFNA(INDEX('Data manipulation'!$C$23:$O$39,MATCH($V74,'Data manipulation'!$B$23:$B$39,0),MATCH($X74,'Data manipulation'!$C$22:$O$22,0))/1000,0)*SUMIFS('Regional split'!$F$4:$F$6,'Regional split'!$B$4:$B$6,Y$3)*SUMIFS('Data manipulation'!$V$39:$V$42,'Data manipulation'!$X$39:$X$42,$E74,'Data manipulation'!$Y$39:$Y$42,$D74)</f>
        <v>38.561910464999997</v>
      </c>
      <c r="Z74" s="270">
        <f>_xlfn.IFNA(INDEX('Data manipulation'!$C$23:$O$39,MATCH($V74,'Data manipulation'!$B$23:$B$39,0),MATCH($X74,'Data manipulation'!$C$22:$O$22,0))/1000,0)*SUMIFS('Regional split'!$F$4:$F$6,'Regional split'!$B$4:$B$6,Z$3)*SUMIFS('Data manipulation'!$V$39:$V$42,'Data manipulation'!$X$39:$X$42,$E74,'Data manipulation'!$Y$39:$Y$42,$D74)</f>
        <v>0</v>
      </c>
      <c r="AA74" s="456">
        <f>_xlfn.IFNA(INDEX('Data manipulation'!$C$23:$O$39,MATCH($V74,'Data manipulation'!$B$23:$B$39,0),MATCH($X74,'Data manipulation'!$C$22:$O$22,0))/1000,0)*SUMIFS('Regional split'!$F$4:$F$6,'Regional split'!$B$4:$B$6,AA$3)*SUMIFS('Data manipulation'!$V$39:$V$42,'Data manipulation'!$X$39:$X$42,$E74,'Data manipulation'!$Y$39:$Y$42,$D74)</f>
        <v>0</v>
      </c>
      <c r="AB74" s="445">
        <f t="shared" si="88"/>
        <v>36.633814941749996</v>
      </c>
      <c r="AC74" s="251">
        <f t="shared" si="89"/>
        <v>0</v>
      </c>
      <c r="AD74" s="446">
        <f t="shared" si="90"/>
        <v>0</v>
      </c>
      <c r="AU74" s="260"/>
      <c r="AZ74" s="252"/>
    </row>
    <row r="75" spans="2:52" ht="15" customHeight="1" thickBot="1">
      <c r="B75" s="255" t="str">
        <f t="shared" si="91"/>
        <v>RHTUMLPGE1</v>
      </c>
      <c r="C75" s="255" t="str">
        <f t="shared" si="91"/>
        <v>Residential Heating Technology Urban Multi - LPG - Existing 1</v>
      </c>
      <c r="D75" s="535" t="str">
        <f t="shared" ref="D75:E75" si="113">D35</f>
        <v>Urban</v>
      </c>
      <c r="E75" s="535" t="str">
        <f t="shared" si="113"/>
        <v>Multi storey</v>
      </c>
      <c r="F75" s="255" t="str">
        <f t="shared" ref="F75:G75" si="114">F35</f>
        <v>RESLPG</v>
      </c>
      <c r="G75" s="255" t="str">
        <f t="shared" si="114"/>
        <v>RESHUMB</v>
      </c>
      <c r="H75" s="423">
        <v>2015</v>
      </c>
      <c r="I75" s="297">
        <f t="shared" ref="I75" si="115">ROUNDUP(AB75/($O75*$P75)*$R75,1)</f>
        <v>0</v>
      </c>
      <c r="J75" s="297">
        <f t="shared" ref="J75" si="116">ROUNDUP(AC75/($O75*$P75)*$R75,1)</f>
        <v>0</v>
      </c>
      <c r="K75" s="297">
        <f t="shared" ref="K75" si="117">ROUNDUP(AD75/($O75*$P75)*$R75,1)</f>
        <v>0</v>
      </c>
      <c r="L75" s="463">
        <v>0.95</v>
      </c>
      <c r="M75" s="463">
        <v>0.95</v>
      </c>
      <c r="N75" s="463">
        <v>0.95</v>
      </c>
      <c r="O75" s="257">
        <f t="shared" si="99"/>
        <v>3.1536000000000002E-2</v>
      </c>
      <c r="P75" s="460">
        <v>0.2</v>
      </c>
      <c r="Q75" s="258">
        <v>30</v>
      </c>
      <c r="R75" s="227">
        <v>2</v>
      </c>
      <c r="T75" s="268">
        <f t="shared" si="106"/>
        <v>0</v>
      </c>
      <c r="U75" s="268"/>
      <c r="V75" s="602" t="s">
        <v>790</v>
      </c>
      <c r="W75" s="428" t="s">
        <v>790</v>
      </c>
      <c r="X75" s="246">
        <v>2015</v>
      </c>
      <c r="Y75" s="435">
        <f>_xlfn.IFNA(INDEX('Data manipulation'!$C$23:$O$39,MATCH($V75,'Data manipulation'!$B$23:$B$39,0),MATCH($X75,'Data manipulation'!$C$22:$O$22,0))/1000,0)*SUMIFS('Regional split'!$F$4:$F$6,'Regional split'!$B$4:$B$6,Y$3)*SUMIFS('Data manipulation'!$V$39:$V$42,'Data manipulation'!$X$39:$X$42,$E75,'Data manipulation'!$Y$39:$Y$42,$D75)</f>
        <v>0</v>
      </c>
      <c r="Z75" s="432">
        <f>_xlfn.IFNA(INDEX('Data manipulation'!$C$23:$O$39,MATCH($V75,'Data manipulation'!$B$23:$B$39,0),MATCH($X75,'Data manipulation'!$C$22:$O$22,0))/1000,0)*SUMIFS('Regional split'!$F$4:$F$6,'Regional split'!$B$4:$B$6,Z$3)*SUMIFS('Data manipulation'!$V$39:$V$42,'Data manipulation'!$X$39:$X$42,$E75,'Data manipulation'!$Y$39:$Y$42,$D75)</f>
        <v>0</v>
      </c>
      <c r="AA75" s="457">
        <f>_xlfn.IFNA(INDEX('Data manipulation'!$C$23:$O$39,MATCH($V75,'Data manipulation'!$B$23:$B$39,0),MATCH($X75,'Data manipulation'!$C$22:$O$22,0))/1000,0)*SUMIFS('Regional split'!$F$4:$F$6,'Regional split'!$B$4:$B$6,AA$3)*SUMIFS('Data manipulation'!$V$39:$V$42,'Data manipulation'!$X$39:$X$42,$E75,'Data manipulation'!$Y$39:$Y$42,$D75)</f>
        <v>0</v>
      </c>
      <c r="AB75" s="452">
        <f t="shared" si="88"/>
        <v>0</v>
      </c>
      <c r="AC75" s="277">
        <f t="shared" si="89"/>
        <v>0</v>
      </c>
      <c r="AD75" s="448">
        <f t="shared" si="90"/>
        <v>0</v>
      </c>
      <c r="AU75" s="260"/>
      <c r="AZ75" s="252"/>
    </row>
    <row r="76" spans="2:52" ht="15" customHeight="1">
      <c r="B76" s="233" t="str">
        <f t="shared" si="91"/>
        <v>RHTRMNGAE1</v>
      </c>
      <c r="C76" s="233" t="str">
        <f t="shared" si="91"/>
        <v>Residential Heating Technology Rural Multi - Natural Gas - Existing 1</v>
      </c>
      <c r="D76" s="233" t="str">
        <f t="shared" ref="D76:E76" si="118">D36</f>
        <v>Rural</v>
      </c>
      <c r="E76" s="233" t="str">
        <f t="shared" si="118"/>
        <v>Multi storey</v>
      </c>
      <c r="F76" s="233" t="str">
        <f t="shared" ref="F76:G76" si="119">F36</f>
        <v>RESNGA,RESSNG</v>
      </c>
      <c r="G76" s="233" t="str">
        <f t="shared" si="119"/>
        <v>RESHRMB</v>
      </c>
      <c r="H76" s="259">
        <v>2015</v>
      </c>
      <c r="I76" s="250">
        <f>ROUNDUP(AB76/($O76*$P76)*$R76,1)</f>
        <v>2461.9</v>
      </c>
      <c r="J76" s="250">
        <f>ROUNDUP(AC76/($O76*$P76)*$R76,1)</f>
        <v>0</v>
      </c>
      <c r="K76" s="250">
        <f>ROUNDUP(AD76/($O76*$P76)*$R76,1)</f>
        <v>0</v>
      </c>
      <c r="L76" s="462">
        <v>0.79</v>
      </c>
      <c r="M76" s="462">
        <v>0.79</v>
      </c>
      <c r="N76" s="462">
        <v>0.79</v>
      </c>
      <c r="O76" s="244">
        <f t="shared" si="99"/>
        <v>3.1536000000000002E-2</v>
      </c>
      <c r="P76" s="460">
        <v>0.2</v>
      </c>
      <c r="Q76" s="245">
        <v>25</v>
      </c>
      <c r="R76" s="227">
        <v>2</v>
      </c>
      <c r="T76" s="268">
        <f t="shared" si="106"/>
        <v>19.655310987341775</v>
      </c>
      <c r="U76" s="268"/>
      <c r="V76" s="602" t="str">
        <f>'Data manipulation'!$B$36</f>
        <v>Natural gas, biogas and LNG</v>
      </c>
      <c r="W76" s="246" t="s">
        <v>187</v>
      </c>
      <c r="X76" s="246">
        <v>2015</v>
      </c>
      <c r="Y76" s="434">
        <f>_xlfn.IFNA(INDEX('Data manipulation'!$C$23:$O$39,MATCH($V76,'Data manipulation'!$B$23:$B$39,0),MATCH($X76,'Data manipulation'!$C$22:$O$22,0))/1000,0)*SUMIFS('Regional split'!$F$4:$F$6,'Regional split'!$B$4:$B$6,Y$3)*SUMIFS('Data manipulation'!$V$39:$V$42,'Data manipulation'!$X$39:$X$42,$E76,'Data manipulation'!$Y$39:$Y$42,$D76)</f>
        <v>9.827364875999999</v>
      </c>
      <c r="Z76" s="270">
        <f>_xlfn.IFNA(INDEX('Data manipulation'!$C$23:$O$39,MATCH($V76,'Data manipulation'!$B$23:$B$39,0),MATCH($X76,'Data manipulation'!$C$22:$O$22,0))/1000,0)*SUMIFS('Regional split'!$F$4:$F$6,'Regional split'!$B$4:$B$6,Z$3)*SUMIFS('Data manipulation'!$V$39:$V$42,'Data manipulation'!$X$39:$X$42,$E76,'Data manipulation'!$Y$39:$Y$42,$D76)</f>
        <v>0</v>
      </c>
      <c r="AA76" s="456">
        <f>_xlfn.IFNA(INDEX('Data manipulation'!$C$23:$O$39,MATCH($V76,'Data manipulation'!$B$23:$B$39,0),MATCH($X76,'Data manipulation'!$C$22:$O$22,0))/1000,0)*SUMIFS('Regional split'!$F$4:$F$6,'Regional split'!$B$4:$B$6,AA$3)*SUMIFS('Data manipulation'!$V$39:$V$42,'Data manipulation'!$X$39:$X$42,$E76,'Data manipulation'!$Y$39:$Y$42,$D76)</f>
        <v>0</v>
      </c>
      <c r="AB76" s="453">
        <f t="shared" si="88"/>
        <v>7.7636182520399997</v>
      </c>
      <c r="AC76" s="278">
        <f t="shared" si="89"/>
        <v>0</v>
      </c>
      <c r="AD76" s="449">
        <f t="shared" si="90"/>
        <v>0</v>
      </c>
      <c r="AU76" s="260"/>
      <c r="AZ76" s="252"/>
    </row>
    <row r="77" spans="2:52" ht="15" customHeight="1">
      <c r="B77" s="233" t="str">
        <f t="shared" si="91"/>
        <v>RHTRMDSLE1</v>
      </c>
      <c r="C77" s="233" t="str">
        <f t="shared" si="91"/>
        <v>Residential Heating Technology Rural Multi - Diesel - Existing 1</v>
      </c>
      <c r="D77" s="233" t="str">
        <f t="shared" ref="D77:E77" si="120">D37</f>
        <v>Rural</v>
      </c>
      <c r="E77" s="233" t="str">
        <f t="shared" si="120"/>
        <v>Multi storey</v>
      </c>
      <c r="F77" s="233" t="str">
        <f t="shared" ref="F77:G77" si="121">F37</f>
        <v>RESDSL,RESDSB</v>
      </c>
      <c r="G77" s="233" t="str">
        <f t="shared" si="121"/>
        <v>RESHRMB</v>
      </c>
      <c r="H77" s="259">
        <v>2015</v>
      </c>
      <c r="I77" s="250">
        <f t="shared" ref="I77:I83" si="122">ROUNDUP(AB77/($O77*$P77)*$R77,1)</f>
        <v>1394</v>
      </c>
      <c r="J77" s="250">
        <f t="shared" ref="J77:J83" si="123">ROUNDUP(AC77/($O77*$P77)*$R77,1)</f>
        <v>0</v>
      </c>
      <c r="K77" s="250">
        <f t="shared" ref="K77:K83" si="124">ROUNDUP(AD77/($O77*$P77)*$R77,1)</f>
        <v>0</v>
      </c>
      <c r="L77" s="462">
        <v>0.79</v>
      </c>
      <c r="M77" s="462">
        <v>0.79</v>
      </c>
      <c r="N77" s="462">
        <v>0.79</v>
      </c>
      <c r="O77" s="244">
        <f t="shared" si="99"/>
        <v>3.1536000000000002E-2</v>
      </c>
      <c r="P77" s="460">
        <v>0.2</v>
      </c>
      <c r="Q77" s="245">
        <v>20</v>
      </c>
      <c r="R77" s="227">
        <v>2</v>
      </c>
      <c r="T77" s="268">
        <f t="shared" si="106"/>
        <v>11.129413670886077</v>
      </c>
      <c r="V77" s="602" t="str">
        <f>'Data manipulation'!$B$35</f>
        <v>Oil products</v>
      </c>
      <c r="W77" s="254" t="s">
        <v>749</v>
      </c>
      <c r="X77" s="246">
        <v>2015</v>
      </c>
      <c r="Y77" s="434">
        <f>_xlfn.IFNA(INDEX('Data manipulation'!$C$23:$O$39,MATCH($V77,'Data manipulation'!$B$23:$B$39,0),MATCH($X77,'Data manipulation'!$C$22:$O$22,0))/1000,0)*SUMIFS('Regional split'!$F$4:$F$6,'Regional split'!$B$4:$B$6,Y$3)*SUMIFS('Data manipulation'!$V$39:$V$42,'Data manipulation'!$X$39:$X$42,$E77,'Data manipulation'!$Y$39:$Y$42,$D77)</f>
        <v>5.5643156940000003</v>
      </c>
      <c r="Z77" s="270">
        <f>_xlfn.IFNA(INDEX('Data manipulation'!$C$23:$O$39,MATCH($V77,'Data manipulation'!$B$23:$B$39,0),MATCH($X77,'Data manipulation'!$C$22:$O$22,0))/1000,0)*SUMIFS('Regional split'!$F$4:$F$6,'Regional split'!$B$4:$B$6,Z$3)*SUMIFS('Data manipulation'!$V$39:$V$42,'Data manipulation'!$X$39:$X$42,$E77,'Data manipulation'!$Y$39:$Y$42,$D77)</f>
        <v>0</v>
      </c>
      <c r="AA77" s="456">
        <f>_xlfn.IFNA(INDEX('Data manipulation'!$C$23:$O$39,MATCH($V77,'Data manipulation'!$B$23:$B$39,0),MATCH($X77,'Data manipulation'!$C$22:$O$22,0))/1000,0)*SUMIFS('Regional split'!$F$4:$F$6,'Regional split'!$B$4:$B$6,AA$3)*SUMIFS('Data manipulation'!$V$39:$V$42,'Data manipulation'!$X$39:$X$42,$E77,'Data manipulation'!$Y$39:$Y$42,$D77)</f>
        <v>0</v>
      </c>
      <c r="AB77" s="445">
        <f t="shared" si="88"/>
        <v>4.3958093982600008</v>
      </c>
      <c r="AC77" s="251">
        <f t="shared" si="89"/>
        <v>0</v>
      </c>
      <c r="AD77" s="446">
        <f t="shared" si="90"/>
        <v>0</v>
      </c>
      <c r="AU77" s="260"/>
      <c r="AZ77" s="252"/>
    </row>
    <row r="78" spans="2:52" ht="15" customHeight="1">
      <c r="B78" s="233" t="str">
        <f t="shared" si="91"/>
        <v>RHTRMWPEE1</v>
      </c>
      <c r="C78" s="233" t="str">
        <f t="shared" si="91"/>
        <v>Residential Heating Technology Rural Multi - Wood pellets - Existing 1</v>
      </c>
      <c r="D78" s="233" t="str">
        <f t="shared" ref="D78:E78" si="125">D38</f>
        <v>Rural</v>
      </c>
      <c r="E78" s="233" t="str">
        <f t="shared" si="125"/>
        <v>Multi storey</v>
      </c>
      <c r="F78" s="233" t="str">
        <f t="shared" ref="F78:G78" si="126">F38</f>
        <v>RESWPE</v>
      </c>
      <c r="G78" s="233" t="str">
        <f t="shared" si="126"/>
        <v>RESHRMB</v>
      </c>
      <c r="H78" s="259">
        <v>2015</v>
      </c>
      <c r="I78" s="250">
        <f t="shared" si="122"/>
        <v>0</v>
      </c>
      <c r="J78" s="250">
        <f t="shared" si="123"/>
        <v>0</v>
      </c>
      <c r="K78" s="250">
        <f t="shared" si="124"/>
        <v>0</v>
      </c>
      <c r="L78" s="462">
        <v>0.67</v>
      </c>
      <c r="M78" s="462">
        <v>0.67</v>
      </c>
      <c r="N78" s="462">
        <v>0.67</v>
      </c>
      <c r="O78" s="244">
        <f>31.536/1000</f>
        <v>3.1536000000000002E-2</v>
      </c>
      <c r="P78" s="460">
        <v>0.2</v>
      </c>
      <c r="Q78" s="245">
        <v>20</v>
      </c>
      <c r="R78" s="227">
        <v>2</v>
      </c>
      <c r="T78" s="268">
        <f t="shared" si="106"/>
        <v>0</v>
      </c>
      <c r="U78" s="268"/>
      <c r="V78" s="602" t="s">
        <v>206</v>
      </c>
      <c r="W78" s="254" t="s">
        <v>896</v>
      </c>
      <c r="X78" s="246">
        <v>2015</v>
      </c>
      <c r="Y78" s="434">
        <f>_xlfn.IFNA(INDEX('Data manipulation'!$C$23:$O$39,MATCH($V78,'Data manipulation'!$B$23:$B$39,0),MATCH($X78,'Data manipulation'!$C$22:$O$22,0))/1000,0)*SUMIFS('Regional split'!$F$4:$F$6,'Regional split'!$B$4:$B$6,Y$3)*SUMIFS('Data manipulation'!$V$39:$V$42,'Data manipulation'!$X$39:$X$42,$E78,'Data manipulation'!$Y$39:$Y$42,$D78)</f>
        <v>0</v>
      </c>
      <c r="Z78" s="270">
        <f>_xlfn.IFNA(INDEX('Data manipulation'!$C$23:$O$39,MATCH($V78,'Data manipulation'!$B$23:$B$39,0),MATCH($X78,'Data manipulation'!$C$22:$O$22,0))/1000,0)*SUMIFS('Regional split'!$F$4:$F$6,'Regional split'!$B$4:$B$6,Z$3)*SUMIFS('Data manipulation'!$V$39:$V$42,'Data manipulation'!$X$39:$X$42,$E78,'Data manipulation'!$Y$39:$Y$42,$D78)</f>
        <v>0</v>
      </c>
      <c r="AA78" s="456">
        <f>_xlfn.IFNA(INDEX('Data manipulation'!$C$23:$O$39,MATCH($V78,'Data manipulation'!$B$23:$B$39,0),MATCH($X78,'Data manipulation'!$C$22:$O$22,0))/1000,0)*SUMIFS('Regional split'!$F$4:$F$6,'Regional split'!$B$4:$B$6,AA$3)*SUMIFS('Data manipulation'!$V$39:$V$42,'Data manipulation'!$X$39:$X$42,$E78,'Data manipulation'!$Y$39:$Y$42,$D78)</f>
        <v>0</v>
      </c>
      <c r="AB78" s="445">
        <f t="shared" si="88"/>
        <v>0</v>
      </c>
      <c r="AC78" s="251">
        <f t="shared" si="89"/>
        <v>0</v>
      </c>
      <c r="AD78" s="446">
        <f t="shared" si="90"/>
        <v>0</v>
      </c>
      <c r="AU78" s="260"/>
      <c r="AZ78" s="252"/>
    </row>
    <row r="79" spans="2:52" ht="15" customHeight="1">
      <c r="B79" s="233" t="str">
        <f t="shared" si="91"/>
        <v>RHTRMFIWE1</v>
      </c>
      <c r="C79" s="233" t="str">
        <f t="shared" si="91"/>
        <v>Residential Heating Technology Rural Multi - Fire wood - Existing 1</v>
      </c>
      <c r="D79" s="233" t="str">
        <f t="shared" ref="D79:E79" si="127">D39</f>
        <v>Rural</v>
      </c>
      <c r="E79" s="233" t="str">
        <f t="shared" si="127"/>
        <v>Multi storey</v>
      </c>
      <c r="F79" s="233" t="str">
        <f t="shared" ref="F79:G79" si="128">F39</f>
        <v>RESFIW</v>
      </c>
      <c r="G79" s="233" t="str">
        <f t="shared" si="128"/>
        <v>RESHRMB</v>
      </c>
      <c r="H79" s="259">
        <v>2015</v>
      </c>
      <c r="I79" s="250">
        <f t="shared" si="122"/>
        <v>618.80000000000007</v>
      </c>
      <c r="J79" s="250">
        <f t="shared" si="123"/>
        <v>0</v>
      </c>
      <c r="K79" s="250">
        <f t="shared" si="124"/>
        <v>0</v>
      </c>
      <c r="L79" s="462">
        <v>0.67</v>
      </c>
      <c r="M79" s="462">
        <v>0.67</v>
      </c>
      <c r="N79" s="462">
        <v>0.67</v>
      </c>
      <c r="O79" s="244">
        <f>31.536/1000</f>
        <v>3.1536000000000002E-2</v>
      </c>
      <c r="P79" s="460">
        <v>0.2</v>
      </c>
      <c r="Q79" s="245">
        <v>20</v>
      </c>
      <c r="R79" s="227">
        <v>2</v>
      </c>
      <c r="T79" s="268">
        <f t="shared" si="106"/>
        <v>5.8252169552238815</v>
      </c>
      <c r="U79" s="268"/>
      <c r="V79" s="602" t="str">
        <f>'Data manipulation'!$B$31</f>
        <v>Primary solid biofuels</v>
      </c>
      <c r="W79" s="254" t="s">
        <v>196</v>
      </c>
      <c r="X79" s="246">
        <v>2015</v>
      </c>
      <c r="Y79" s="434">
        <f>_xlfn.IFNA(INDEX('Data manipulation'!$C$23:$O$39,MATCH($V79,'Data manipulation'!$B$23:$B$39,0),MATCH($X79,'Data manipulation'!$C$22:$O$22,0))/1000,0)*SUMIFS('Regional split'!$F$4:$F$6,'Regional split'!$B$4:$B$6,Y$3)*SUMIFS('Data manipulation'!$V$39:$V$42,'Data manipulation'!$X$39:$X$42,$E79,'Data manipulation'!$Y$39:$Y$42,$D79)</f>
        <v>2.9125030760000001</v>
      </c>
      <c r="Z79" s="270">
        <f>_xlfn.IFNA(INDEX('Data manipulation'!$C$23:$O$39,MATCH($V79,'Data manipulation'!$B$23:$B$39,0),MATCH($X79,'Data manipulation'!$C$22:$O$22,0))/1000,0)*SUMIFS('Regional split'!$F$4:$F$6,'Regional split'!$B$4:$B$6,Z$3)*SUMIFS('Data manipulation'!$V$39:$V$42,'Data manipulation'!$X$39:$X$42,$E79,'Data manipulation'!$Y$39:$Y$42,$D79)</f>
        <v>0</v>
      </c>
      <c r="AA79" s="456">
        <f>_xlfn.IFNA(INDEX('Data manipulation'!$C$23:$O$39,MATCH($V79,'Data manipulation'!$B$23:$B$39,0),MATCH($X79,'Data manipulation'!$C$22:$O$22,0))/1000,0)*SUMIFS('Regional split'!$F$4:$F$6,'Regional split'!$B$4:$B$6,AA$3)*SUMIFS('Data manipulation'!$V$39:$V$42,'Data manipulation'!$X$39:$X$42,$E79,'Data manipulation'!$Y$39:$Y$42,$D79)</f>
        <v>0</v>
      </c>
      <c r="AB79" s="445">
        <f t="shared" si="88"/>
        <v>1.9513770609200003</v>
      </c>
      <c r="AC79" s="251">
        <f t="shared" si="89"/>
        <v>0</v>
      </c>
      <c r="AD79" s="446">
        <f t="shared" si="90"/>
        <v>0</v>
      </c>
      <c r="AU79" s="260"/>
      <c r="AZ79" s="252"/>
    </row>
    <row r="80" spans="2:52" ht="15" customHeight="1">
      <c r="B80" s="233" t="str">
        <f t="shared" si="91"/>
        <v>RHTRMCOAE1</v>
      </c>
      <c r="C80" s="233" t="str">
        <f t="shared" si="91"/>
        <v>Residential Heating Technology Rural Multi - Coal - Existing 1</v>
      </c>
      <c r="D80" s="233" t="str">
        <f t="shared" ref="D80:E80" si="129">D40</f>
        <v>Rural</v>
      </c>
      <c r="E80" s="233" t="str">
        <f t="shared" si="129"/>
        <v>Multi storey</v>
      </c>
      <c r="F80" s="233" t="str">
        <f t="shared" ref="F80:G80" si="130">F40</f>
        <v>RESCOA</v>
      </c>
      <c r="G80" s="233" t="str">
        <f t="shared" si="130"/>
        <v>RESHRMB</v>
      </c>
      <c r="H80" s="259">
        <v>2015</v>
      </c>
      <c r="I80" s="250">
        <f t="shared" si="122"/>
        <v>75.899999999999991</v>
      </c>
      <c r="J80" s="250">
        <f t="shared" si="123"/>
        <v>0</v>
      </c>
      <c r="K80" s="250">
        <f t="shared" si="124"/>
        <v>0</v>
      </c>
      <c r="L80" s="462">
        <v>0.72</v>
      </c>
      <c r="M80" s="462">
        <v>0.72</v>
      </c>
      <c r="N80" s="462">
        <v>0.72</v>
      </c>
      <c r="O80" s="244">
        <f t="shared" si="99"/>
        <v>3.1536000000000002E-2</v>
      </c>
      <c r="P80" s="460">
        <v>0.2</v>
      </c>
      <c r="Q80" s="245">
        <v>20</v>
      </c>
      <c r="R80" s="227">
        <v>2</v>
      </c>
      <c r="T80" s="268">
        <f t="shared" si="106"/>
        <v>0.66488399999999992</v>
      </c>
      <c r="U80" s="268"/>
      <c r="V80" s="602" t="str">
        <f>'Data manipulation'!$B$23</f>
        <v>Solid fossil fuels, peat, peat products, oil shale and oil sands</v>
      </c>
      <c r="W80" s="254" t="s">
        <v>893</v>
      </c>
      <c r="X80" s="246">
        <v>2015</v>
      </c>
      <c r="Y80" s="434">
        <f>_xlfn.IFNA(INDEX('Data manipulation'!$C$23:$O$39,MATCH($V80,'Data manipulation'!$B$23:$B$39,0),MATCH($X80,'Data manipulation'!$C$22:$O$22,0))/1000,0)*SUMIFS('Regional split'!$F$4:$F$6,'Regional split'!$B$4:$B$6,Y$3)*SUMIFS('Data manipulation'!$V$39:$V$42,'Data manipulation'!$X$39:$X$42,$E80,'Data manipulation'!$Y$39:$Y$42,$D80)</f>
        <v>0.33237026199999997</v>
      </c>
      <c r="Z80" s="270">
        <f>_xlfn.IFNA(INDEX('Data manipulation'!$C$23:$O$39,MATCH($V80,'Data manipulation'!$B$23:$B$39,0),MATCH($X80,'Data manipulation'!$C$22:$O$22,0))/1000,0)*SUMIFS('Regional split'!$F$4:$F$6,'Regional split'!$B$4:$B$6,Z$3)*SUMIFS('Data manipulation'!$V$39:$V$42,'Data manipulation'!$X$39:$X$42,$E80,'Data manipulation'!$Y$39:$Y$42,$D80)</f>
        <v>0</v>
      </c>
      <c r="AA80" s="456">
        <f>_xlfn.IFNA(INDEX('Data manipulation'!$C$23:$O$39,MATCH($V80,'Data manipulation'!$B$23:$B$39,0),MATCH($X80,'Data manipulation'!$C$22:$O$22,0))/1000,0)*SUMIFS('Regional split'!$F$4:$F$6,'Regional split'!$B$4:$B$6,AA$3)*SUMIFS('Data manipulation'!$V$39:$V$42,'Data manipulation'!$X$39:$X$42,$E80,'Data manipulation'!$Y$39:$Y$42,$D80)</f>
        <v>0</v>
      </c>
      <c r="AB80" s="445">
        <f t="shared" si="88"/>
        <v>0.23930658863999998</v>
      </c>
      <c r="AC80" s="251">
        <f t="shared" si="89"/>
        <v>0</v>
      </c>
      <c r="AD80" s="446">
        <f t="shared" si="90"/>
        <v>0</v>
      </c>
      <c r="AU80" s="260"/>
      <c r="AZ80" s="252"/>
    </row>
    <row r="81" spans="2:52" ht="15" customHeight="1">
      <c r="B81" s="233" t="str">
        <f t="shared" si="91"/>
        <v>RHTRMSOLE1</v>
      </c>
      <c r="C81" s="233" t="str">
        <f t="shared" si="91"/>
        <v>Residential Heating Technology Rural Multi - Solar - Existing 1</v>
      </c>
      <c r="D81" s="233" t="str">
        <f t="shared" ref="D81:E81" si="131">D41</f>
        <v>Rural</v>
      </c>
      <c r="E81" s="233" t="str">
        <f t="shared" si="131"/>
        <v>Multi storey</v>
      </c>
      <c r="F81" s="233" t="str">
        <f t="shared" ref="F81:G81" si="132">F41</f>
        <v>RESSOL</v>
      </c>
      <c r="G81" s="233" t="str">
        <f t="shared" si="132"/>
        <v>RESHRMB</v>
      </c>
      <c r="H81" s="259">
        <v>2015</v>
      </c>
      <c r="I81" s="250">
        <f t="shared" si="122"/>
        <v>15.5</v>
      </c>
      <c r="J81" s="250">
        <f t="shared" si="123"/>
        <v>0</v>
      </c>
      <c r="K81" s="250">
        <f t="shared" si="124"/>
        <v>0</v>
      </c>
      <c r="L81" s="462">
        <v>1</v>
      </c>
      <c r="M81" s="462">
        <v>1</v>
      </c>
      <c r="N81" s="462">
        <v>1</v>
      </c>
      <c r="O81" s="244">
        <f t="shared" si="99"/>
        <v>3.1536000000000002E-2</v>
      </c>
      <c r="P81" s="460">
        <v>0.2</v>
      </c>
      <c r="Q81" s="245">
        <v>20</v>
      </c>
      <c r="R81" s="227">
        <v>2</v>
      </c>
      <c r="T81" s="268">
        <f t="shared" si="106"/>
        <v>9.7761600000000004E-2</v>
      </c>
      <c r="U81" s="268"/>
      <c r="V81" s="602" t="str">
        <f>'Data manipulation'!$B$29</f>
        <v>Solar thermal</v>
      </c>
      <c r="W81" s="254" t="s">
        <v>188</v>
      </c>
      <c r="X81" s="246">
        <v>2015</v>
      </c>
      <c r="Y81" s="434">
        <f>_xlfn.IFNA(INDEX('Data manipulation'!$C$23:$O$39,MATCH($V81,'Data manipulation'!$B$23:$B$39,0),MATCH($X81,'Data manipulation'!$C$22:$O$22,0))/1000,0)*SUMIFS('Regional split'!$F$4:$F$6,'Regional split'!$B$4:$B$6,Y$3)*SUMIFS('Data manipulation'!$V$39:$V$42,'Data manipulation'!$X$39:$X$42,$E81,'Data manipulation'!$Y$39:$Y$42,$D81)</f>
        <v>4.8567987999999999E-2</v>
      </c>
      <c r="Z81" s="270">
        <f>_xlfn.IFNA(INDEX('Data manipulation'!$C$23:$O$39,MATCH($V81,'Data manipulation'!$B$23:$B$39,0),MATCH($X81,'Data manipulation'!$C$22:$O$22,0))/1000,0)*SUMIFS('Regional split'!$F$4:$F$6,'Regional split'!$B$4:$B$6,Z$3)*SUMIFS('Data manipulation'!$V$39:$V$42,'Data manipulation'!$X$39:$X$42,$E81,'Data manipulation'!$Y$39:$Y$42,$D81)</f>
        <v>0</v>
      </c>
      <c r="AA81" s="456">
        <f>_xlfn.IFNA(INDEX('Data manipulation'!$C$23:$O$39,MATCH($V81,'Data manipulation'!$B$23:$B$39,0),MATCH($X81,'Data manipulation'!$C$22:$O$22,0))/1000,0)*SUMIFS('Regional split'!$F$4:$F$6,'Regional split'!$B$4:$B$6,AA$3)*SUMIFS('Data manipulation'!$V$39:$V$42,'Data manipulation'!$X$39:$X$42,$E81,'Data manipulation'!$Y$39:$Y$42,$D81)</f>
        <v>0</v>
      </c>
      <c r="AB81" s="445">
        <f t="shared" si="88"/>
        <v>4.8567987999999999E-2</v>
      </c>
      <c r="AC81" s="251">
        <f t="shared" si="89"/>
        <v>0</v>
      </c>
      <c r="AD81" s="446">
        <f t="shared" si="90"/>
        <v>0</v>
      </c>
      <c r="AU81" s="260"/>
      <c r="AZ81" s="252"/>
    </row>
    <row r="82" spans="2:52" ht="15" customHeight="1">
      <c r="B82" s="233" t="str">
        <f t="shared" si="91"/>
        <v>RHTRMELCHE1</v>
      </c>
      <c r="C82" s="233" t="str">
        <f t="shared" si="91"/>
        <v>Residential Heating Technology Rural Multi - Electricity Heating - Existing 1</v>
      </c>
      <c r="D82" s="233" t="str">
        <f t="shared" ref="D82:E82" si="133">D42</f>
        <v>Rural</v>
      </c>
      <c r="E82" s="233" t="str">
        <f t="shared" si="133"/>
        <v>Multi storey</v>
      </c>
      <c r="F82" s="233" t="str">
        <f t="shared" ref="F82:G82" si="134">F42</f>
        <v>RESELCH</v>
      </c>
      <c r="G82" s="233" t="str">
        <f t="shared" si="134"/>
        <v>RESHRMB</v>
      </c>
      <c r="H82" s="259">
        <v>2015</v>
      </c>
      <c r="I82" s="250">
        <f t="shared" si="122"/>
        <v>143.1</v>
      </c>
      <c r="J82" s="250">
        <f t="shared" si="123"/>
        <v>0</v>
      </c>
      <c r="K82" s="250">
        <f t="shared" si="124"/>
        <v>0</v>
      </c>
      <c r="L82" s="462">
        <v>1</v>
      </c>
      <c r="M82" s="462">
        <v>1</v>
      </c>
      <c r="N82" s="462">
        <v>1</v>
      </c>
      <c r="O82" s="244">
        <f t="shared" si="99"/>
        <v>3.1536000000000002E-2</v>
      </c>
      <c r="P82" s="460">
        <v>0.2</v>
      </c>
      <c r="Q82" s="245">
        <v>30</v>
      </c>
      <c r="R82" s="227">
        <v>2</v>
      </c>
      <c r="T82" s="268">
        <f t="shared" si="106"/>
        <v>0.90256032000000008</v>
      </c>
      <c r="U82" s="268"/>
      <c r="V82" s="602" t="str">
        <f>'Data manipulation'!$B$33</f>
        <v>Electricity</v>
      </c>
      <c r="W82" s="254" t="s">
        <v>189</v>
      </c>
      <c r="X82" s="246">
        <v>2015</v>
      </c>
      <c r="Y82" s="434">
        <f>_xlfn.IFNA(INDEX('Data manipulation'!$C$23:$O$39,MATCH($V82,'Data manipulation'!$B$23:$B$39,0),MATCH($X82,'Data manipulation'!$C$22:$O$22,0))/1000,0)*SUMIFS('Regional split'!$F$4:$F$6,'Regional split'!$B$4:$B$6,Y$3)*SUMIFS('Data manipulation'!$V$39:$V$42,'Data manipulation'!$X$39:$X$42,$E82,'Data manipulation'!$Y$39:$Y$42,$D82)</f>
        <v>0.45126768400000006</v>
      </c>
      <c r="Z82" s="270">
        <f>_xlfn.IFNA(INDEX('Data manipulation'!$C$23:$O$39,MATCH($V82,'Data manipulation'!$B$23:$B$39,0),MATCH($X82,'Data manipulation'!$C$22:$O$22,0))/1000,0)*SUMIFS('Regional split'!$F$4:$F$6,'Regional split'!$B$4:$B$6,Z$3)*SUMIFS('Data manipulation'!$V$39:$V$42,'Data manipulation'!$X$39:$X$42,$E82,'Data manipulation'!$Y$39:$Y$42,$D82)</f>
        <v>0</v>
      </c>
      <c r="AA82" s="456">
        <f>_xlfn.IFNA(INDEX('Data manipulation'!$C$23:$O$39,MATCH($V82,'Data manipulation'!$B$23:$B$39,0),MATCH($X82,'Data manipulation'!$C$22:$O$22,0))/1000,0)*SUMIFS('Regional split'!$F$4:$F$6,'Regional split'!$B$4:$B$6,AA$3)*SUMIFS('Data manipulation'!$V$39:$V$42,'Data manipulation'!$X$39:$X$42,$E82,'Data manipulation'!$Y$39:$Y$42,$D82)</f>
        <v>0</v>
      </c>
      <c r="AB82" s="445">
        <f t="shared" si="88"/>
        <v>0.45126768400000006</v>
      </c>
      <c r="AC82" s="251">
        <f t="shared" si="89"/>
        <v>0</v>
      </c>
      <c r="AD82" s="446">
        <f t="shared" si="90"/>
        <v>0</v>
      </c>
      <c r="AU82" s="260"/>
      <c r="AZ82" s="252"/>
    </row>
    <row r="83" spans="2:52" ht="15" customHeight="1">
      <c r="B83" s="233" t="str">
        <f t="shared" si="91"/>
        <v>RHTRMELCHE2</v>
      </c>
      <c r="C83" s="233" t="str">
        <f t="shared" si="91"/>
        <v>Residential Heating Technology Rural Multi - Electricity Heating - Existing 2</v>
      </c>
      <c r="D83" s="233" t="str">
        <f t="shared" ref="D83:E83" si="135">D43</f>
        <v>Rural</v>
      </c>
      <c r="E83" s="233" t="str">
        <f t="shared" si="135"/>
        <v>Multi storey</v>
      </c>
      <c r="F83" s="233" t="str">
        <f t="shared" ref="F83:G83" si="136">F43</f>
        <v>RESELCH</v>
      </c>
      <c r="G83" s="233" t="str">
        <f t="shared" si="136"/>
        <v>RESHRMB</v>
      </c>
      <c r="H83" s="259">
        <v>2015</v>
      </c>
      <c r="I83" s="250">
        <f t="shared" si="122"/>
        <v>330.70000000000005</v>
      </c>
      <c r="J83" s="250">
        <f t="shared" si="123"/>
        <v>0</v>
      </c>
      <c r="K83" s="250">
        <f t="shared" si="124"/>
        <v>0</v>
      </c>
      <c r="L83" s="462">
        <v>2.3149999999999999</v>
      </c>
      <c r="M83" s="462">
        <v>2.3149999999999999</v>
      </c>
      <c r="N83" s="462">
        <v>2.3149999999999999</v>
      </c>
      <c r="O83" s="244">
        <f t="shared" si="99"/>
        <v>3.1536000000000002E-2</v>
      </c>
      <c r="P83" s="460">
        <v>0.2</v>
      </c>
      <c r="Q83" s="245">
        <v>30</v>
      </c>
      <c r="R83" s="227">
        <v>2</v>
      </c>
      <c r="T83" s="268">
        <f t="shared" si="106"/>
        <v>0.90098965010799159</v>
      </c>
      <c r="U83" s="268"/>
      <c r="V83" s="602" t="str">
        <f>'Data manipulation'!$B$30</f>
        <v>Ambient heat (heat pumps)</v>
      </c>
      <c r="W83" s="254" t="s">
        <v>190</v>
      </c>
      <c r="X83" s="246">
        <v>2015</v>
      </c>
      <c r="Y83" s="434">
        <f>_xlfn.IFNA(INDEX('Data manipulation'!$C$23:$O$39,MATCH($V83,'Data manipulation'!$B$23:$B$39,0),MATCH($X83,'Data manipulation'!$C$22:$O$22,0))/1000,0)*SUMIFS('Regional split'!$F$4:$F$6,'Regional split'!$B$4:$B$6,Y$3)*SUMIFS('Data manipulation'!$V$39:$V$42,'Data manipulation'!$X$39:$X$42,$E83,'Data manipulation'!$Y$39:$Y$42,$D83)</f>
        <v>0.45046091999999993</v>
      </c>
      <c r="Z83" s="270">
        <f>_xlfn.IFNA(INDEX('Data manipulation'!$C$23:$O$39,MATCH($V83,'Data manipulation'!$B$23:$B$39,0),MATCH($X83,'Data manipulation'!$C$22:$O$22,0))/1000,0)*SUMIFS('Regional split'!$F$4:$F$6,'Regional split'!$B$4:$B$6,Z$3)*SUMIFS('Data manipulation'!$V$39:$V$42,'Data manipulation'!$X$39:$X$42,$E83,'Data manipulation'!$Y$39:$Y$42,$D83)</f>
        <v>0</v>
      </c>
      <c r="AA83" s="456">
        <f>_xlfn.IFNA(INDEX('Data manipulation'!$C$23:$O$39,MATCH($V83,'Data manipulation'!$B$23:$B$39,0),MATCH($X83,'Data manipulation'!$C$22:$O$22,0))/1000,0)*SUMIFS('Regional split'!$F$4:$F$6,'Regional split'!$B$4:$B$6,AA$3)*SUMIFS('Data manipulation'!$V$39:$V$42,'Data manipulation'!$X$39:$X$42,$E83,'Data manipulation'!$Y$39:$Y$42,$D83)</f>
        <v>0</v>
      </c>
      <c r="AB83" s="445">
        <f t="shared" si="88"/>
        <v>1.0428170297999999</v>
      </c>
      <c r="AC83" s="251">
        <f t="shared" si="89"/>
        <v>0</v>
      </c>
      <c r="AD83" s="446">
        <f t="shared" si="90"/>
        <v>0</v>
      </c>
      <c r="AU83" s="260"/>
      <c r="AZ83" s="252"/>
    </row>
    <row r="84" spans="2:52" ht="15" customHeight="1">
      <c r="B84" s="233" t="str">
        <f t="shared" si="91"/>
        <v>RHTRMHCEE1</v>
      </c>
      <c r="C84" s="233" t="str">
        <f t="shared" si="91"/>
        <v>Residential Heating Technology Rural Multi - District heating Central - Existing 1</v>
      </c>
      <c r="D84" s="233" t="str">
        <f t="shared" ref="D84:E84" si="137">D44</f>
        <v>Rural</v>
      </c>
      <c r="E84" s="233" t="str">
        <f t="shared" si="137"/>
        <v>Multi storey</v>
      </c>
      <c r="F84" s="233" t="str">
        <f t="shared" ref="F84:G84" si="138">F44</f>
        <v>RESHDE</v>
      </c>
      <c r="G84" s="233" t="str">
        <f t="shared" si="138"/>
        <v>RESHRMX</v>
      </c>
      <c r="H84" s="261">
        <v>2015</v>
      </c>
      <c r="I84" s="572">
        <v>0</v>
      </c>
      <c r="J84" s="572">
        <v>0</v>
      </c>
      <c r="K84" s="572">
        <v>0</v>
      </c>
      <c r="L84" s="462">
        <v>0.98</v>
      </c>
      <c r="M84" s="462">
        <v>0.98</v>
      </c>
      <c r="N84" s="462">
        <v>0.98</v>
      </c>
      <c r="O84" s="244">
        <f t="shared" si="99"/>
        <v>3.1536000000000002E-2</v>
      </c>
      <c r="P84" s="460">
        <v>0.2</v>
      </c>
      <c r="Q84" s="245">
        <v>30</v>
      </c>
      <c r="R84" s="227">
        <v>2</v>
      </c>
      <c r="T84" s="268">
        <f t="shared" si="106"/>
        <v>0</v>
      </c>
      <c r="U84" s="268"/>
      <c r="V84" s="602" t="str">
        <f>'Data manipulation'!$B$34</f>
        <v>Heat</v>
      </c>
      <c r="W84" s="254" t="s">
        <v>191</v>
      </c>
      <c r="X84" s="246">
        <v>2015</v>
      </c>
      <c r="Y84" s="434">
        <f>_xlfn.IFNA(INDEX('Data manipulation'!$C$23:$O$39,MATCH($V84,'Data manipulation'!$B$23:$B$39,0),MATCH($X84,'Data manipulation'!$C$22:$O$22,0))/1000,0)*SUMIFS('Regional split'!$F$4:$F$6,'Regional split'!$B$4:$B$6,Y$3)*SUMIFS('Data manipulation'!$V$39:$V$42,'Data manipulation'!$X$39:$X$42,$E84,'Data manipulation'!$Y$39:$Y$42,$D84)</f>
        <v>2.1856953300000002</v>
      </c>
      <c r="Z84" s="270">
        <f>_xlfn.IFNA(INDEX('Data manipulation'!$C$23:$O$39,MATCH($V84,'Data manipulation'!$B$23:$B$39,0),MATCH($X84,'Data manipulation'!$C$22:$O$22,0))/1000,0)*SUMIFS('Regional split'!$F$4:$F$6,'Regional split'!$B$4:$B$6,Z$3)*SUMIFS('Data manipulation'!$V$39:$V$42,'Data manipulation'!$X$39:$X$42,$E84,'Data manipulation'!$Y$39:$Y$42,$D84)</f>
        <v>0</v>
      </c>
      <c r="AA84" s="456">
        <f>_xlfn.IFNA(INDEX('Data manipulation'!$C$23:$O$39,MATCH($V84,'Data manipulation'!$B$23:$B$39,0),MATCH($X84,'Data manipulation'!$C$22:$O$22,0))/1000,0)*SUMIFS('Regional split'!$F$4:$F$6,'Regional split'!$B$4:$B$6,AA$3)*SUMIFS('Data manipulation'!$V$39:$V$42,'Data manipulation'!$X$39:$X$42,$E84,'Data manipulation'!$Y$39:$Y$42,$D84)</f>
        <v>0</v>
      </c>
      <c r="AB84" s="445">
        <f t="shared" si="88"/>
        <v>2.1419814234000003</v>
      </c>
      <c r="AC84" s="251">
        <f t="shared" si="89"/>
        <v>0</v>
      </c>
      <c r="AD84" s="446">
        <f t="shared" si="90"/>
        <v>0</v>
      </c>
      <c r="AU84" s="260"/>
      <c r="AZ84" s="252"/>
    </row>
    <row r="85" spans="2:52" ht="15" customHeight="1" thickBot="1">
      <c r="B85" s="233" t="str">
        <f t="shared" si="91"/>
        <v>RHTRMLPGE1</v>
      </c>
      <c r="C85" s="233" t="str">
        <f t="shared" si="91"/>
        <v>Residential Heating Technology Rural Multi - LPG - Existing 1</v>
      </c>
      <c r="D85" s="233" t="str">
        <f t="shared" ref="D85:E85" si="139">D45</f>
        <v>Rural</v>
      </c>
      <c r="E85" s="233" t="str">
        <f t="shared" si="139"/>
        <v>Multi storey</v>
      </c>
      <c r="F85" s="233" t="str">
        <f t="shared" ref="F85:G85" si="140">F45</f>
        <v>RESLPG</v>
      </c>
      <c r="G85" s="233" t="str">
        <f t="shared" si="140"/>
        <v>RESHRMB</v>
      </c>
      <c r="H85" s="261">
        <v>2015</v>
      </c>
      <c r="I85" s="297">
        <f t="shared" ref="I85" si="141">ROUNDUP(AB85/($O85*$P85)*$R85,1)</f>
        <v>0</v>
      </c>
      <c r="J85" s="297">
        <f t="shared" ref="J85" si="142">ROUNDUP(AC85/($O85*$P85)*$R85,1)</f>
        <v>0</v>
      </c>
      <c r="K85" s="297">
        <f t="shared" ref="K85" si="143">ROUNDUP(AD85/($O85*$P85)*$R85,1)</f>
        <v>0</v>
      </c>
      <c r="L85" s="462">
        <v>0.98</v>
      </c>
      <c r="M85" s="462">
        <v>0.98</v>
      </c>
      <c r="N85" s="462">
        <v>0.98</v>
      </c>
      <c r="O85" s="244">
        <f t="shared" si="99"/>
        <v>3.1536000000000002E-2</v>
      </c>
      <c r="P85" s="460">
        <v>0.2</v>
      </c>
      <c r="Q85" s="245">
        <v>30</v>
      </c>
      <c r="R85" s="227">
        <v>2</v>
      </c>
      <c r="T85" s="268">
        <f t="shared" si="106"/>
        <v>0</v>
      </c>
      <c r="U85" s="268"/>
      <c r="V85" s="602" t="s">
        <v>790</v>
      </c>
      <c r="W85" s="428" t="s">
        <v>790</v>
      </c>
      <c r="X85" s="246">
        <v>2015</v>
      </c>
      <c r="Y85" s="435">
        <f>_xlfn.IFNA(INDEX('Data manipulation'!$C$23:$O$39,MATCH($V85,'Data manipulation'!$B$23:$B$39,0),MATCH($X85,'Data manipulation'!$C$22:$O$22,0))/1000,0)*SUMIFS('Regional split'!$F$4:$F$6,'Regional split'!$B$4:$B$6,Y$3)*SUMIFS('Data manipulation'!$V$39:$V$42,'Data manipulation'!$X$39:$X$42,$E85,'Data manipulation'!$Y$39:$Y$42,$D85)</f>
        <v>0</v>
      </c>
      <c r="Z85" s="432">
        <f>_xlfn.IFNA(INDEX('Data manipulation'!$C$23:$O$39,MATCH($V85,'Data manipulation'!$B$23:$B$39,0),MATCH($X85,'Data manipulation'!$C$22:$O$22,0))/1000,0)*SUMIFS('Regional split'!$F$4:$F$6,'Regional split'!$B$4:$B$6,Z$3)*SUMIFS('Data manipulation'!$V$39:$V$42,'Data manipulation'!$X$39:$X$42,$E85,'Data manipulation'!$Y$39:$Y$42,$D85)</f>
        <v>0</v>
      </c>
      <c r="AA85" s="457">
        <f>_xlfn.IFNA(INDEX('Data manipulation'!$C$23:$O$39,MATCH($V85,'Data manipulation'!$B$23:$B$39,0),MATCH($X85,'Data manipulation'!$C$22:$O$22,0))/1000,0)*SUMIFS('Regional split'!$F$4:$F$6,'Regional split'!$B$4:$B$6,AA$3)*SUMIFS('Data manipulation'!$V$39:$V$42,'Data manipulation'!$X$39:$X$42,$E85,'Data manipulation'!$Y$39:$Y$42,$D85)</f>
        <v>0</v>
      </c>
      <c r="AB85" s="447">
        <f t="shared" si="88"/>
        <v>0</v>
      </c>
      <c r="AC85" s="433">
        <f t="shared" si="89"/>
        <v>0</v>
      </c>
      <c r="AD85" s="454">
        <f t="shared" si="90"/>
        <v>0</v>
      </c>
      <c r="AU85" s="260"/>
      <c r="AZ85" s="252"/>
    </row>
    <row r="86" spans="2:52" ht="15" customHeight="1">
      <c r="B86" s="227" t="str">
        <f>B46</f>
        <v>RHTUDNGAE1</v>
      </c>
      <c r="C86" s="227" t="str">
        <f t="shared" ref="C86:G86" si="144">C46</f>
        <v>Residential Heating Technology Urban Detached - Natural Gas - Existing 1</v>
      </c>
      <c r="D86" s="227" t="str">
        <f t="shared" si="144"/>
        <v>Urban</v>
      </c>
      <c r="E86" s="227" t="str">
        <f t="shared" si="144"/>
        <v>Detached</v>
      </c>
      <c r="F86" s="227" t="str">
        <f t="shared" si="144"/>
        <v>RESNGA,RESSNG,RESBGA</v>
      </c>
      <c r="G86" s="227" t="str">
        <f t="shared" si="144"/>
        <v>RESHUDB</v>
      </c>
      <c r="H86" s="230">
        <v>2018</v>
      </c>
      <c r="I86" s="250">
        <f>ROUNDUP(AB86/($O86*$P86)*$R86,1)</f>
        <v>74434.5</v>
      </c>
      <c r="J86" s="250">
        <f>ROUNDUP(AC86/($O86*$P86)*$R86,1)</f>
        <v>0</v>
      </c>
      <c r="K86" s="250">
        <f>ROUNDUP(AD86/($O86*$P86)*$R86,1)</f>
        <v>0</v>
      </c>
      <c r="L86" s="462">
        <v>0.72</v>
      </c>
      <c r="M86" s="462">
        <v>0.72</v>
      </c>
      <c r="N86" s="462">
        <v>0.72</v>
      </c>
      <c r="O86" s="244">
        <f>31.536/1000</f>
        <v>3.1536000000000002E-2</v>
      </c>
      <c r="P86" s="460">
        <v>0.2</v>
      </c>
      <c r="Q86" s="245">
        <v>22</v>
      </c>
      <c r="R86" s="227">
        <v>2</v>
      </c>
      <c r="T86" s="268">
        <f t="shared" si="106"/>
        <v>652.04622000000006</v>
      </c>
      <c r="U86" s="268"/>
      <c r="V86" s="602" t="str">
        <f>'Data manipulation'!$B$36</f>
        <v>Natural gas, biogas and LNG</v>
      </c>
      <c r="W86" s="246" t="s">
        <v>187</v>
      </c>
      <c r="X86" s="246">
        <v>2018</v>
      </c>
      <c r="Y86" s="434">
        <f>_xlfn.IFNA(INDEX('Data manipulation'!$C$23:$O$39,MATCH($V86,'Data manipulation'!$B$23:$B$39,0),MATCH($X86,'Data manipulation'!$C$22:$O$22,0))/1000,0)*SUMIFS('Regional split'!$F$4:$F$6,'Regional split'!$B$4:$B$6,Y$3)*SUMIFS('Data manipulation'!$V$39:$V$42,'Data manipulation'!$X$39:$X$42,$E86,'Data manipulation'!$Y$39:$Y$42,$D86)</f>
        <v>326.02279751999998</v>
      </c>
      <c r="Z86" s="270">
        <f>_xlfn.IFNA(INDEX('Data manipulation'!$C$23:$O$39,MATCH($V86,'Data manipulation'!$B$23:$B$39,0),MATCH($X86,'Data manipulation'!$C$22:$O$22,0))/1000,0)*SUMIFS('Regional split'!$F$4:$F$6,'Regional split'!$B$4:$B$6,Z$3)*SUMIFS('Data manipulation'!$V$39:$V$42,'Data manipulation'!$X$39:$X$42,$E86,'Data manipulation'!$Y$39:$Y$42,$D86)</f>
        <v>0</v>
      </c>
      <c r="AA86" s="456">
        <f>_xlfn.IFNA(INDEX('Data manipulation'!$C$23:$O$39,MATCH($V86,'Data manipulation'!$B$23:$B$39,0),MATCH($X86,'Data manipulation'!$C$22:$O$22,0))/1000,0)*SUMIFS('Regional split'!$F$4:$F$6,'Regional split'!$B$4:$B$6,AA$3)*SUMIFS('Data manipulation'!$V$39:$V$42,'Data manipulation'!$X$39:$X$42,$E86,'Data manipulation'!$Y$39:$Y$42,$D86)</f>
        <v>0</v>
      </c>
      <c r="AB86" s="445">
        <f t="shared" si="88"/>
        <v>234.73641421439999</v>
      </c>
      <c r="AC86" s="251">
        <f t="shared" si="89"/>
        <v>0</v>
      </c>
      <c r="AD86" s="446">
        <f t="shared" si="90"/>
        <v>0</v>
      </c>
      <c r="AE86" s="262"/>
      <c r="AU86" s="260"/>
      <c r="AZ86" s="252"/>
    </row>
    <row r="87" spans="2:52" ht="15" customHeight="1">
      <c r="B87" s="227" t="str">
        <f t="shared" ref="B87:G87" si="145">B47</f>
        <v>RHTUDDSLE1</v>
      </c>
      <c r="C87" s="227" t="str">
        <f t="shared" si="145"/>
        <v>Residential Heating Technology Urban Detached - Diesel - Existing 1</v>
      </c>
      <c r="D87" s="227" t="str">
        <f t="shared" si="145"/>
        <v>Urban</v>
      </c>
      <c r="E87" s="227" t="str">
        <f t="shared" si="145"/>
        <v>Detached</v>
      </c>
      <c r="F87" s="227" t="str">
        <f t="shared" si="145"/>
        <v>RESDSL,RESDSB</v>
      </c>
      <c r="G87" s="227" t="str">
        <f t="shared" si="145"/>
        <v>RESHUDB</v>
      </c>
      <c r="H87" s="230">
        <v>2018</v>
      </c>
      <c r="I87" s="250">
        <f t="shared" ref="I87:I94" si="146">ROUNDUP(AB87/($O87*$P87)*$R87,1)</f>
        <v>31202.399999999998</v>
      </c>
      <c r="J87" s="250">
        <f t="shared" ref="J87:J93" si="147">ROUNDUP(AC87/($O87*$P87)*$R87,1)</f>
        <v>0</v>
      </c>
      <c r="K87" s="250">
        <f t="shared" ref="K87:K93" si="148">ROUNDUP(AD87/($O87*$P87)*$R87,1)</f>
        <v>0</v>
      </c>
      <c r="L87" s="462">
        <v>0.71</v>
      </c>
      <c r="M87" s="462">
        <v>0.71</v>
      </c>
      <c r="N87" s="462">
        <v>0.71</v>
      </c>
      <c r="O87" s="244">
        <f>31.536/1000</f>
        <v>3.1536000000000002E-2</v>
      </c>
      <c r="P87" s="460">
        <v>0.2</v>
      </c>
      <c r="Q87" s="245">
        <v>20</v>
      </c>
      <c r="R87" s="227">
        <v>2</v>
      </c>
      <c r="T87" s="268">
        <f t="shared" si="106"/>
        <v>277.18278490140847</v>
      </c>
      <c r="V87" s="602" t="str">
        <f>'Data manipulation'!$B$35</f>
        <v>Oil products</v>
      </c>
      <c r="W87" s="254" t="s">
        <v>749</v>
      </c>
      <c r="X87" s="246">
        <v>2018</v>
      </c>
      <c r="Y87" s="434">
        <f>_xlfn.IFNA(INDEX('Data manipulation'!$C$23:$O$39,MATCH($V87,'Data manipulation'!$B$23:$B$39,0),MATCH($X87,'Data manipulation'!$C$22:$O$22,0))/1000,0)*SUMIFS('Regional split'!$F$4:$F$6,'Regional split'!$B$4:$B$6,Y$3)*SUMIFS('Data manipulation'!$V$39:$V$42,'Data manipulation'!$X$39:$X$42,$E87,'Data manipulation'!$Y$39:$Y$42,$D87)</f>
        <v>138.59138454000001</v>
      </c>
      <c r="Z87" s="270">
        <f>_xlfn.IFNA(INDEX('Data manipulation'!$C$23:$O$39,MATCH($V87,'Data manipulation'!$B$23:$B$39,0),MATCH($X87,'Data manipulation'!$C$22:$O$22,0))/1000,0)*SUMIFS('Regional split'!$F$4:$F$6,'Regional split'!$B$4:$B$6,Z$3)*SUMIFS('Data manipulation'!$V$39:$V$42,'Data manipulation'!$X$39:$X$42,$E87,'Data manipulation'!$Y$39:$Y$42,$D87)</f>
        <v>0</v>
      </c>
      <c r="AA87" s="456">
        <f>_xlfn.IFNA(INDEX('Data manipulation'!$C$23:$O$39,MATCH($V87,'Data manipulation'!$B$23:$B$39,0),MATCH($X87,'Data manipulation'!$C$22:$O$22,0))/1000,0)*SUMIFS('Regional split'!$F$4:$F$6,'Regional split'!$B$4:$B$6,AA$3)*SUMIFS('Data manipulation'!$V$39:$V$42,'Data manipulation'!$X$39:$X$42,$E87,'Data manipulation'!$Y$39:$Y$42,$D87)</f>
        <v>0</v>
      </c>
      <c r="AB87" s="445">
        <f t="shared" si="88"/>
        <v>98.399883023399994</v>
      </c>
      <c r="AC87" s="251">
        <f t="shared" si="89"/>
        <v>0</v>
      </c>
      <c r="AD87" s="446">
        <f t="shared" si="90"/>
        <v>0</v>
      </c>
      <c r="AE87" s="262"/>
      <c r="AU87" s="260"/>
      <c r="AZ87" s="252"/>
    </row>
    <row r="88" spans="2:52" ht="15" customHeight="1">
      <c r="B88" s="227" t="str">
        <f t="shared" ref="B88:G88" si="149">B48</f>
        <v>RHTUDWPEE1</v>
      </c>
      <c r="C88" s="227" t="str">
        <f t="shared" si="149"/>
        <v>Residential Heating Technology Urban Detached - Wood pellets - Existing 1</v>
      </c>
      <c r="D88" s="227" t="str">
        <f t="shared" si="149"/>
        <v>Urban</v>
      </c>
      <c r="E88" s="227" t="str">
        <f t="shared" si="149"/>
        <v>Detached</v>
      </c>
      <c r="F88" s="227" t="str">
        <f t="shared" si="149"/>
        <v>RESWPE</v>
      </c>
      <c r="G88" s="227" t="str">
        <f t="shared" si="149"/>
        <v>RESHUDB</v>
      </c>
      <c r="H88" s="230">
        <v>2018</v>
      </c>
      <c r="I88" s="250">
        <f t="shared" si="146"/>
        <v>0</v>
      </c>
      <c r="J88" s="250">
        <f t="shared" si="147"/>
        <v>0</v>
      </c>
      <c r="K88" s="250">
        <f t="shared" si="148"/>
        <v>0</v>
      </c>
      <c r="L88" s="462">
        <v>0.61</v>
      </c>
      <c r="M88" s="462">
        <v>0.61</v>
      </c>
      <c r="N88" s="462">
        <v>0.61</v>
      </c>
      <c r="O88" s="244">
        <f t="shared" ref="O88:O105" si="150">31.536/1000</f>
        <v>3.1536000000000002E-2</v>
      </c>
      <c r="P88" s="460">
        <v>0.2</v>
      </c>
      <c r="Q88" s="245">
        <v>20</v>
      </c>
      <c r="R88" s="227">
        <v>2</v>
      </c>
      <c r="T88" s="268">
        <f t="shared" si="106"/>
        <v>0</v>
      </c>
      <c r="U88" s="268"/>
      <c r="V88" s="602" t="s">
        <v>206</v>
      </c>
      <c r="W88" s="254" t="s">
        <v>896</v>
      </c>
      <c r="X88" s="246">
        <v>2018</v>
      </c>
      <c r="Y88" s="434">
        <f>_xlfn.IFNA(INDEX('Data manipulation'!$C$23:$O$39,MATCH($V88,'Data manipulation'!$B$23:$B$39,0),MATCH($X88,'Data manipulation'!$C$22:$O$22,0))/1000,0)*SUMIFS('Regional split'!$F$4:$F$6,'Regional split'!$B$4:$B$6,Y$3)*SUMIFS('Data manipulation'!$V$39:$V$42,'Data manipulation'!$X$39:$X$42,$E88,'Data manipulation'!$Y$39:$Y$42,$D88)</f>
        <v>0</v>
      </c>
      <c r="Z88" s="270">
        <f>_xlfn.IFNA(INDEX('Data manipulation'!$C$23:$O$39,MATCH($V88,'Data manipulation'!$B$23:$B$39,0),MATCH($X88,'Data manipulation'!$C$22:$O$22,0))/1000,0)*SUMIFS('Regional split'!$F$4:$F$6,'Regional split'!$B$4:$B$6,Z$3)*SUMIFS('Data manipulation'!$V$39:$V$42,'Data manipulation'!$X$39:$X$42,$E88,'Data manipulation'!$Y$39:$Y$42,$D88)</f>
        <v>0</v>
      </c>
      <c r="AA88" s="456">
        <f>_xlfn.IFNA(INDEX('Data manipulation'!$C$23:$O$39,MATCH($V88,'Data manipulation'!$B$23:$B$39,0),MATCH($X88,'Data manipulation'!$C$22:$O$22,0))/1000,0)*SUMIFS('Regional split'!$F$4:$F$6,'Regional split'!$B$4:$B$6,AA$3)*SUMIFS('Data manipulation'!$V$39:$V$42,'Data manipulation'!$X$39:$X$42,$E88,'Data manipulation'!$Y$39:$Y$42,$D88)</f>
        <v>0</v>
      </c>
      <c r="AB88" s="445">
        <f t="shared" si="88"/>
        <v>0</v>
      </c>
      <c r="AC88" s="251">
        <f t="shared" si="89"/>
        <v>0</v>
      </c>
      <c r="AD88" s="446">
        <f t="shared" si="90"/>
        <v>0</v>
      </c>
      <c r="AE88" s="262"/>
      <c r="AU88" s="260"/>
      <c r="AZ88" s="252"/>
    </row>
    <row r="89" spans="2:52" ht="15" customHeight="1">
      <c r="B89" s="227" t="str">
        <f t="shared" ref="B89:G89" si="151">B49</f>
        <v>RHTUDFIWE1</v>
      </c>
      <c r="C89" s="227" t="str">
        <f t="shared" si="151"/>
        <v>Residential Heating Technology Urban Detached - Fire wood - Existing 1</v>
      </c>
      <c r="D89" s="227" t="str">
        <f t="shared" si="151"/>
        <v>Urban</v>
      </c>
      <c r="E89" s="227" t="str">
        <f t="shared" si="151"/>
        <v>Detached</v>
      </c>
      <c r="F89" s="227" t="str">
        <f t="shared" si="151"/>
        <v>RESFIW</v>
      </c>
      <c r="G89" s="227" t="str">
        <f t="shared" si="151"/>
        <v>RESHUDB</v>
      </c>
      <c r="H89" s="230">
        <v>2018</v>
      </c>
      <c r="I89" s="250">
        <f t="shared" si="146"/>
        <v>18158.099999999999</v>
      </c>
      <c r="J89" s="250">
        <f t="shared" si="147"/>
        <v>0</v>
      </c>
      <c r="K89" s="250">
        <f t="shared" si="148"/>
        <v>0</v>
      </c>
      <c r="L89" s="462">
        <v>0.65000022993955098</v>
      </c>
      <c r="M89" s="462">
        <v>0.65000022993955098</v>
      </c>
      <c r="N89" s="462">
        <v>0.65000022993955098</v>
      </c>
      <c r="O89" s="244">
        <f t="shared" si="150"/>
        <v>3.1536000000000002E-2</v>
      </c>
      <c r="P89" s="460">
        <v>0.2</v>
      </c>
      <c r="Q89" s="245">
        <v>20</v>
      </c>
      <c r="R89" s="227">
        <v>2</v>
      </c>
      <c r="T89" s="268">
        <f t="shared" si="106"/>
        <v>176.19496585509026</v>
      </c>
      <c r="U89" s="268"/>
      <c r="V89" s="602" t="str">
        <f>'Data manipulation'!$B$31</f>
        <v>Primary solid biofuels</v>
      </c>
      <c r="W89" s="254" t="s">
        <v>196</v>
      </c>
      <c r="X89" s="246">
        <v>2018</v>
      </c>
      <c r="Y89" s="434">
        <f>_xlfn.IFNA(INDEX('Data manipulation'!$C$23:$O$39,MATCH($V89,'Data manipulation'!$B$23:$B$39,0),MATCH($X89,'Data manipulation'!$C$22:$O$22,0))/1000,0)*SUMIFS('Regional split'!$F$4:$F$6,'Regional split'!$B$4:$B$6,Y$3)*SUMIFS('Data manipulation'!$V$39:$V$42,'Data manipulation'!$X$39:$X$42,$E89,'Data manipulation'!$Y$39:$Y$42,$D89)</f>
        <v>88.097236499999994</v>
      </c>
      <c r="Z89" s="270">
        <f>_xlfn.IFNA(INDEX('Data manipulation'!$C$23:$O$39,MATCH($V89,'Data manipulation'!$B$23:$B$39,0),MATCH($X89,'Data manipulation'!$C$22:$O$22,0))/1000,0)*SUMIFS('Regional split'!$F$4:$F$6,'Regional split'!$B$4:$B$6,Z$3)*SUMIFS('Data manipulation'!$V$39:$V$42,'Data manipulation'!$X$39:$X$42,$E89,'Data manipulation'!$Y$39:$Y$42,$D89)</f>
        <v>0</v>
      </c>
      <c r="AA89" s="456">
        <f>_xlfn.IFNA(INDEX('Data manipulation'!$C$23:$O$39,MATCH($V89,'Data manipulation'!$B$23:$B$39,0),MATCH($X89,'Data manipulation'!$C$22:$O$22,0))/1000,0)*SUMIFS('Regional split'!$F$4:$F$6,'Regional split'!$B$4:$B$6,AA$3)*SUMIFS('Data manipulation'!$V$39:$V$42,'Data manipulation'!$X$39:$X$42,$E89,'Data manipulation'!$Y$39:$Y$42,$D89)</f>
        <v>0</v>
      </c>
      <c r="AB89" s="445">
        <f t="shared" si="88"/>
        <v>57.263223982039001</v>
      </c>
      <c r="AC89" s="251">
        <f t="shared" si="89"/>
        <v>0</v>
      </c>
      <c r="AD89" s="446">
        <f t="shared" si="90"/>
        <v>0</v>
      </c>
      <c r="AE89" s="262"/>
      <c r="AU89" s="260"/>
      <c r="AZ89" s="252"/>
    </row>
    <row r="90" spans="2:52" ht="15" customHeight="1">
      <c r="B90" s="233" t="str">
        <f t="shared" ref="B90:G90" si="152">B50</f>
        <v>RHTUDCOAE1</v>
      </c>
      <c r="C90" s="233" t="str">
        <f t="shared" si="152"/>
        <v>Residential Heating Technology Urban Detached - Coal - Existing 1</v>
      </c>
      <c r="D90" s="233" t="str">
        <f t="shared" si="152"/>
        <v>Urban</v>
      </c>
      <c r="E90" s="233" t="str">
        <f t="shared" si="152"/>
        <v>Detached</v>
      </c>
      <c r="F90" s="233" t="str">
        <f t="shared" si="152"/>
        <v>RESCOA</v>
      </c>
      <c r="G90" s="233" t="str">
        <f t="shared" si="152"/>
        <v>RESHUDB</v>
      </c>
      <c r="H90" s="230">
        <v>2018</v>
      </c>
      <c r="I90" s="250">
        <f t="shared" si="146"/>
        <v>1922.3</v>
      </c>
      <c r="J90" s="250">
        <f t="shared" si="147"/>
        <v>0</v>
      </c>
      <c r="K90" s="250">
        <f t="shared" si="148"/>
        <v>0</v>
      </c>
      <c r="L90" s="462">
        <v>0.7</v>
      </c>
      <c r="M90" s="462">
        <v>0.7</v>
      </c>
      <c r="N90" s="462">
        <v>0.7</v>
      </c>
      <c r="O90" s="244">
        <f t="shared" si="150"/>
        <v>3.1536000000000002E-2</v>
      </c>
      <c r="P90" s="460">
        <v>0.2</v>
      </c>
      <c r="Q90" s="245">
        <v>20</v>
      </c>
      <c r="R90" s="227">
        <v>2</v>
      </c>
      <c r="T90" s="268">
        <f t="shared" si="106"/>
        <v>17.320472228571429</v>
      </c>
      <c r="U90" s="268"/>
      <c r="V90" s="602" t="str">
        <f>'Data manipulation'!$B$23</f>
        <v>Solid fossil fuels, peat, peat products, oil shale and oil sands</v>
      </c>
      <c r="W90" s="254" t="s">
        <v>893</v>
      </c>
      <c r="X90" s="246">
        <v>2018</v>
      </c>
      <c r="Y90" s="434">
        <f>_xlfn.IFNA(INDEX('Data manipulation'!$C$23:$O$39,MATCH($V90,'Data manipulation'!$B$23:$B$39,0),MATCH($X90,'Data manipulation'!$C$22:$O$22,0))/1000,0)*SUMIFS('Regional split'!$F$4:$F$6,'Regional split'!$B$4:$B$6,Y$3)*SUMIFS('Data manipulation'!$V$39:$V$42,'Data manipulation'!$X$39:$X$42,$E90,'Data manipulation'!$Y$39:$Y$42,$D90)</f>
        <v>8.6600404799999993</v>
      </c>
      <c r="Z90" s="270">
        <f>_xlfn.IFNA(INDEX('Data manipulation'!$C$23:$O$39,MATCH($V90,'Data manipulation'!$B$23:$B$39,0),MATCH($X90,'Data manipulation'!$C$22:$O$22,0))/1000,0)*SUMIFS('Regional split'!$F$4:$F$6,'Regional split'!$B$4:$B$6,Z$3)*SUMIFS('Data manipulation'!$V$39:$V$42,'Data manipulation'!$X$39:$X$42,$E90,'Data manipulation'!$Y$39:$Y$42,$D90)</f>
        <v>0</v>
      </c>
      <c r="AA90" s="456">
        <f>_xlfn.IFNA(INDEX('Data manipulation'!$C$23:$O$39,MATCH($V90,'Data manipulation'!$B$23:$B$39,0),MATCH($X90,'Data manipulation'!$C$22:$O$22,0))/1000,0)*SUMIFS('Regional split'!$F$4:$F$6,'Regional split'!$B$4:$B$6,AA$3)*SUMIFS('Data manipulation'!$V$39:$V$42,'Data manipulation'!$X$39:$X$42,$E90,'Data manipulation'!$Y$39:$Y$42,$D90)</f>
        <v>0</v>
      </c>
      <c r="AB90" s="445">
        <f t="shared" si="88"/>
        <v>6.0620283359999991</v>
      </c>
      <c r="AC90" s="251">
        <f t="shared" si="89"/>
        <v>0</v>
      </c>
      <c r="AD90" s="446">
        <f t="shared" si="90"/>
        <v>0</v>
      </c>
      <c r="AE90" s="262"/>
      <c r="AU90" s="260"/>
      <c r="AZ90" s="252"/>
    </row>
    <row r="91" spans="2:52" ht="15" customHeight="1">
      <c r="B91" s="233" t="str">
        <f t="shared" ref="B91:G91" si="153">B51</f>
        <v>RHTUDSOLE1</v>
      </c>
      <c r="C91" s="233" t="str">
        <f t="shared" si="153"/>
        <v>Residential Heating Technology Urban Detached - Solar - Existing 1</v>
      </c>
      <c r="D91" s="233" t="str">
        <f t="shared" si="153"/>
        <v>Urban</v>
      </c>
      <c r="E91" s="233" t="str">
        <f t="shared" si="153"/>
        <v>Detached</v>
      </c>
      <c r="F91" s="233" t="str">
        <f t="shared" si="153"/>
        <v>RESSOL</v>
      </c>
      <c r="G91" s="233" t="str">
        <f t="shared" si="153"/>
        <v>RESHUDB</v>
      </c>
      <c r="H91" s="230">
        <v>2018</v>
      </c>
      <c r="I91" s="250">
        <f t="shared" si="146"/>
        <v>533.1</v>
      </c>
      <c r="J91" s="250">
        <f t="shared" si="147"/>
        <v>0</v>
      </c>
      <c r="K91" s="250">
        <f t="shared" si="148"/>
        <v>0</v>
      </c>
      <c r="L91" s="462">
        <v>1</v>
      </c>
      <c r="M91" s="462">
        <v>1</v>
      </c>
      <c r="N91" s="462">
        <v>1</v>
      </c>
      <c r="O91" s="244">
        <f t="shared" si="150"/>
        <v>3.1536000000000002E-2</v>
      </c>
      <c r="P91" s="460">
        <v>0.2</v>
      </c>
      <c r="Q91" s="245">
        <v>20</v>
      </c>
      <c r="R91" s="227">
        <v>2</v>
      </c>
      <c r="T91" s="268">
        <f t="shared" si="106"/>
        <v>3.3623683200000003</v>
      </c>
      <c r="U91" s="268"/>
      <c r="V91" s="602" t="str">
        <f>'Data manipulation'!$B$29</f>
        <v>Solar thermal</v>
      </c>
      <c r="W91" s="254" t="s">
        <v>188</v>
      </c>
      <c r="X91" s="246">
        <v>2018</v>
      </c>
      <c r="Y91" s="434">
        <f>_xlfn.IFNA(INDEX('Data manipulation'!$C$23:$O$39,MATCH($V91,'Data manipulation'!$B$23:$B$39,0),MATCH($X91,'Data manipulation'!$C$22:$O$22,0))/1000,0)*SUMIFS('Regional split'!$F$4:$F$6,'Regional split'!$B$4:$B$6,Y$3)*SUMIFS('Data manipulation'!$V$39:$V$42,'Data manipulation'!$X$39:$X$42,$E91,'Data manipulation'!$Y$39:$Y$42,$D91)</f>
        <v>1.68108108</v>
      </c>
      <c r="Z91" s="270">
        <f>_xlfn.IFNA(INDEX('Data manipulation'!$C$23:$O$39,MATCH($V91,'Data manipulation'!$B$23:$B$39,0),MATCH($X91,'Data manipulation'!$C$22:$O$22,0))/1000,0)*SUMIFS('Regional split'!$F$4:$F$6,'Regional split'!$B$4:$B$6,Z$3)*SUMIFS('Data manipulation'!$V$39:$V$42,'Data manipulation'!$X$39:$X$42,$E91,'Data manipulation'!$Y$39:$Y$42,$D91)</f>
        <v>0</v>
      </c>
      <c r="AA91" s="456">
        <f>_xlfn.IFNA(INDEX('Data manipulation'!$C$23:$O$39,MATCH($V91,'Data manipulation'!$B$23:$B$39,0),MATCH($X91,'Data manipulation'!$C$22:$O$22,0))/1000,0)*SUMIFS('Regional split'!$F$4:$F$6,'Regional split'!$B$4:$B$6,AA$3)*SUMIFS('Data manipulation'!$V$39:$V$42,'Data manipulation'!$X$39:$X$42,$E91,'Data manipulation'!$Y$39:$Y$42,$D91)</f>
        <v>0</v>
      </c>
      <c r="AB91" s="445">
        <f t="shared" si="88"/>
        <v>1.68108108</v>
      </c>
      <c r="AC91" s="251">
        <f t="shared" si="89"/>
        <v>0</v>
      </c>
      <c r="AD91" s="446">
        <f t="shared" si="90"/>
        <v>0</v>
      </c>
      <c r="AE91" s="262"/>
      <c r="AU91" s="260"/>
      <c r="AZ91" s="252"/>
    </row>
    <row r="92" spans="2:52" ht="15" customHeight="1">
      <c r="B92" s="233" t="str">
        <f t="shared" ref="B92:G92" si="154">B52</f>
        <v>RHTUDELCHE1</v>
      </c>
      <c r="C92" s="233" t="str">
        <f t="shared" si="154"/>
        <v>Residential Heating Technology Urban Detached - Electricity Heating - Existing 1</v>
      </c>
      <c r="D92" s="233" t="str">
        <f t="shared" si="154"/>
        <v>Urban</v>
      </c>
      <c r="E92" s="233" t="str">
        <f t="shared" si="154"/>
        <v>Detached</v>
      </c>
      <c r="F92" s="233" t="str">
        <f t="shared" si="154"/>
        <v>RESELCH</v>
      </c>
      <c r="G92" s="233" t="str">
        <f t="shared" si="154"/>
        <v>RESHUDB</v>
      </c>
      <c r="H92" s="230">
        <v>2018</v>
      </c>
      <c r="I92" s="250">
        <f t="shared" si="146"/>
        <v>3573</v>
      </c>
      <c r="J92" s="250">
        <f t="shared" si="147"/>
        <v>0</v>
      </c>
      <c r="K92" s="250">
        <f t="shared" si="148"/>
        <v>0</v>
      </c>
      <c r="L92" s="462">
        <v>1</v>
      </c>
      <c r="M92" s="462">
        <v>1</v>
      </c>
      <c r="N92" s="462">
        <v>1</v>
      </c>
      <c r="O92" s="244">
        <f t="shared" si="150"/>
        <v>3.1536000000000002E-2</v>
      </c>
      <c r="P92" s="460">
        <v>0.2</v>
      </c>
      <c r="Q92" s="245">
        <v>30</v>
      </c>
      <c r="R92" s="227">
        <v>2</v>
      </c>
      <c r="T92" s="268">
        <f t="shared" si="106"/>
        <v>22.535625600000003</v>
      </c>
      <c r="U92" s="268"/>
      <c r="V92" s="602" t="str">
        <f>'Data manipulation'!$B$33</f>
        <v>Electricity</v>
      </c>
      <c r="W92" s="254" t="s">
        <v>189</v>
      </c>
      <c r="X92" s="246">
        <v>2018</v>
      </c>
      <c r="Y92" s="434">
        <f>_xlfn.IFNA(INDEX('Data manipulation'!$C$23:$O$39,MATCH($V92,'Data manipulation'!$B$23:$B$39,0),MATCH($X92,'Data manipulation'!$C$22:$O$22,0))/1000,0)*SUMIFS('Regional split'!$F$4:$F$6,'Regional split'!$B$4:$B$6,Y$3)*SUMIFS('Data manipulation'!$V$39:$V$42,'Data manipulation'!$X$39:$X$42,$E92,'Data manipulation'!$Y$39:$Y$42,$D92)</f>
        <v>11.267739839999999</v>
      </c>
      <c r="Z92" s="270">
        <f>_xlfn.IFNA(INDEX('Data manipulation'!$C$23:$O$39,MATCH($V92,'Data manipulation'!$B$23:$B$39,0),MATCH($X92,'Data manipulation'!$C$22:$O$22,0))/1000,0)*SUMIFS('Regional split'!$F$4:$F$6,'Regional split'!$B$4:$B$6,Z$3)*SUMIFS('Data manipulation'!$V$39:$V$42,'Data manipulation'!$X$39:$X$42,$E92,'Data manipulation'!$Y$39:$Y$42,$D92)</f>
        <v>0</v>
      </c>
      <c r="AA92" s="456">
        <f>_xlfn.IFNA(INDEX('Data manipulation'!$C$23:$O$39,MATCH($V92,'Data manipulation'!$B$23:$B$39,0),MATCH($X92,'Data manipulation'!$C$22:$O$22,0))/1000,0)*SUMIFS('Regional split'!$F$4:$F$6,'Regional split'!$B$4:$B$6,AA$3)*SUMIFS('Data manipulation'!$V$39:$V$42,'Data manipulation'!$X$39:$X$42,$E92,'Data manipulation'!$Y$39:$Y$42,$D92)</f>
        <v>0</v>
      </c>
      <c r="AB92" s="445">
        <f t="shared" si="88"/>
        <v>11.267739839999999</v>
      </c>
      <c r="AC92" s="251">
        <f t="shared" si="89"/>
        <v>0</v>
      </c>
      <c r="AD92" s="446">
        <f t="shared" si="90"/>
        <v>0</v>
      </c>
      <c r="AU92" s="260"/>
      <c r="AZ92" s="252"/>
    </row>
    <row r="93" spans="2:52" ht="15" customHeight="1">
      <c r="B93" s="233" t="str">
        <f t="shared" ref="B93:G93" si="155">B53</f>
        <v>RHTUDELCHE2</v>
      </c>
      <c r="C93" s="233" t="str">
        <f t="shared" si="155"/>
        <v>Residential Heating Technology Urban Detached - Electricity Heating - Existing 2</v>
      </c>
      <c r="D93" s="233" t="str">
        <f t="shared" si="155"/>
        <v>Urban</v>
      </c>
      <c r="E93" s="233" t="str">
        <f t="shared" si="155"/>
        <v>Detached</v>
      </c>
      <c r="F93" s="233" t="str">
        <f t="shared" si="155"/>
        <v>RESELCH</v>
      </c>
      <c r="G93" s="233" t="str">
        <f t="shared" si="155"/>
        <v>RESHUDB</v>
      </c>
      <c r="H93" s="230">
        <v>2018</v>
      </c>
      <c r="I93" s="250">
        <f t="shared" si="146"/>
        <v>12474</v>
      </c>
      <c r="J93" s="250">
        <f t="shared" si="147"/>
        <v>0</v>
      </c>
      <c r="K93" s="250">
        <f t="shared" si="148"/>
        <v>0</v>
      </c>
      <c r="L93" s="462">
        <v>2.3149999999999999</v>
      </c>
      <c r="M93" s="462">
        <v>2.3149999999999999</v>
      </c>
      <c r="N93" s="462">
        <v>2.3149999999999999</v>
      </c>
      <c r="O93" s="244">
        <f t="shared" si="150"/>
        <v>3.1536000000000002E-2</v>
      </c>
      <c r="P93" s="460">
        <v>0.2</v>
      </c>
      <c r="Q93" s="245">
        <v>30</v>
      </c>
      <c r="R93" s="227">
        <v>2</v>
      </c>
      <c r="T93" s="268">
        <f t="shared" si="106"/>
        <v>33.985318704103676</v>
      </c>
      <c r="U93" s="268"/>
      <c r="V93" s="602" t="str">
        <f>'Data manipulation'!$B$30</f>
        <v>Ambient heat (heat pumps)</v>
      </c>
      <c r="W93" s="254" t="s">
        <v>190</v>
      </c>
      <c r="X93" s="246">
        <v>2018</v>
      </c>
      <c r="Y93" s="434">
        <f>_xlfn.IFNA(INDEX('Data manipulation'!$C$23:$O$39,MATCH($V93,'Data manipulation'!$B$23:$B$39,0),MATCH($X93,'Data manipulation'!$C$22:$O$22,0))/1000,0)*SUMIFS('Regional split'!$F$4:$F$6,'Regional split'!$B$4:$B$6,Y$3)*SUMIFS('Data manipulation'!$V$39:$V$42,'Data manipulation'!$X$39:$X$42,$E93,'Data manipulation'!$Y$39:$Y$42,$D93)</f>
        <v>16.992611999999998</v>
      </c>
      <c r="Z93" s="270">
        <f>_xlfn.IFNA(INDEX('Data manipulation'!$C$23:$O$39,MATCH($V93,'Data manipulation'!$B$23:$B$39,0),MATCH($X93,'Data manipulation'!$C$22:$O$22,0))/1000,0)*SUMIFS('Regional split'!$F$4:$F$6,'Regional split'!$B$4:$B$6,Z$3)*SUMIFS('Data manipulation'!$V$39:$V$42,'Data manipulation'!$X$39:$X$42,$E93,'Data manipulation'!$Y$39:$Y$42,$D93)</f>
        <v>0</v>
      </c>
      <c r="AA93" s="456">
        <f>_xlfn.IFNA(INDEX('Data manipulation'!$C$23:$O$39,MATCH($V93,'Data manipulation'!$B$23:$B$39,0),MATCH($X93,'Data manipulation'!$C$22:$O$22,0))/1000,0)*SUMIFS('Regional split'!$F$4:$F$6,'Regional split'!$B$4:$B$6,AA$3)*SUMIFS('Data manipulation'!$V$39:$V$42,'Data manipulation'!$X$39:$X$42,$E93,'Data manipulation'!$Y$39:$Y$42,$D93)</f>
        <v>0</v>
      </c>
      <c r="AB93" s="445">
        <f t="shared" si="88"/>
        <v>39.337896779999994</v>
      </c>
      <c r="AC93" s="251">
        <f t="shared" si="89"/>
        <v>0</v>
      </c>
      <c r="AD93" s="446">
        <f t="shared" si="90"/>
        <v>0</v>
      </c>
      <c r="AU93" s="260"/>
      <c r="AZ93" s="252"/>
    </row>
    <row r="94" spans="2:52" ht="15" customHeight="1">
      <c r="B94" s="233" t="str">
        <f t="shared" ref="B94:G94" si="156">B54</f>
        <v>RHTUDHCEE1</v>
      </c>
      <c r="C94" s="233" t="str">
        <f t="shared" si="156"/>
        <v>Residential Heating Technology Urban Detached - District heating Central - Existing 1</v>
      </c>
      <c r="D94" s="233" t="str">
        <f t="shared" si="156"/>
        <v>Urban</v>
      </c>
      <c r="E94" s="233" t="str">
        <f t="shared" si="156"/>
        <v>Detached</v>
      </c>
      <c r="F94" s="233" t="str">
        <f t="shared" si="156"/>
        <v>RESHCE</v>
      </c>
      <c r="G94" s="233" t="str">
        <f t="shared" si="156"/>
        <v>RESHUDX</v>
      </c>
      <c r="H94" s="230">
        <v>2018</v>
      </c>
      <c r="I94" s="250">
        <f t="shared" si="146"/>
        <v>17616.199999999997</v>
      </c>
      <c r="J94" s="572">
        <v>0</v>
      </c>
      <c r="K94" s="572">
        <v>0</v>
      </c>
      <c r="L94" s="462">
        <v>0.95</v>
      </c>
      <c r="M94" s="462">
        <v>0.95</v>
      </c>
      <c r="N94" s="462">
        <v>0.95</v>
      </c>
      <c r="O94" s="244">
        <f t="shared" si="150"/>
        <v>3.1536000000000002E-2</v>
      </c>
      <c r="P94" s="460">
        <v>0.2</v>
      </c>
      <c r="Q94" s="245">
        <v>30</v>
      </c>
      <c r="R94" s="227">
        <v>2</v>
      </c>
      <c r="T94" s="268">
        <f t="shared" si="106"/>
        <v>116.95673330526316</v>
      </c>
      <c r="U94" s="268"/>
      <c r="V94" s="602" t="str">
        <f>'Data manipulation'!$B$34</f>
        <v>Heat</v>
      </c>
      <c r="W94" s="254" t="s">
        <v>191</v>
      </c>
      <c r="X94" s="246">
        <v>2018</v>
      </c>
      <c r="Y94" s="434">
        <f>_xlfn.IFNA(INDEX('Data manipulation'!$C$23:$O$39,MATCH($V94,'Data manipulation'!$B$23:$B$39,0),MATCH($X94,'Data manipulation'!$C$22:$O$22,0))/1000,0)*SUMIFS('Regional split'!$F$4:$F$6,'Regional split'!$B$4:$B$6,Y$3)*SUMIFS('Data manipulation'!$V$39:$V$42,'Data manipulation'!$X$39:$X$42,$E94,'Data manipulation'!$Y$39:$Y$42,$D94)</f>
        <v>58.478287560000005</v>
      </c>
      <c r="Z94" s="270">
        <f>_xlfn.IFNA(INDEX('Data manipulation'!$C$23:$O$39,MATCH($V94,'Data manipulation'!$B$23:$B$39,0),MATCH($X94,'Data manipulation'!$C$22:$O$22,0))/1000,0)*SUMIFS('Regional split'!$F$4:$F$6,'Regional split'!$B$4:$B$6,Z$3)*SUMIFS('Data manipulation'!$V$39:$V$42,'Data manipulation'!$X$39:$X$42,$E94,'Data manipulation'!$Y$39:$Y$42,$D94)</f>
        <v>0</v>
      </c>
      <c r="AA94" s="456">
        <f>_xlfn.IFNA(INDEX('Data manipulation'!$C$23:$O$39,MATCH($V94,'Data manipulation'!$B$23:$B$39,0),MATCH($X94,'Data manipulation'!$C$22:$O$22,0))/1000,0)*SUMIFS('Regional split'!$F$4:$F$6,'Regional split'!$B$4:$B$6,AA$3)*SUMIFS('Data manipulation'!$V$39:$V$42,'Data manipulation'!$X$39:$X$42,$E94,'Data manipulation'!$Y$39:$Y$42,$D94)</f>
        <v>0</v>
      </c>
      <c r="AB94" s="445">
        <f t="shared" si="88"/>
        <v>55.554373181999999</v>
      </c>
      <c r="AC94" s="251">
        <f t="shared" si="89"/>
        <v>0</v>
      </c>
      <c r="AD94" s="446">
        <f t="shared" si="90"/>
        <v>0</v>
      </c>
      <c r="AU94" s="260"/>
      <c r="AZ94" s="252"/>
    </row>
    <row r="95" spans="2:52" ht="15" customHeight="1" thickBot="1">
      <c r="B95" s="255" t="str">
        <f t="shared" ref="B95:G95" si="157">B55</f>
        <v>RHTUDLPGE1</v>
      </c>
      <c r="C95" s="255" t="str">
        <f t="shared" si="157"/>
        <v>Residential Heating Technology Urban Detached - LPG - Existing 1</v>
      </c>
      <c r="D95" s="535" t="str">
        <f t="shared" si="157"/>
        <v>Urban</v>
      </c>
      <c r="E95" s="535" t="str">
        <f t="shared" si="157"/>
        <v>Detached</v>
      </c>
      <c r="F95" s="255" t="str">
        <f t="shared" si="157"/>
        <v>RESLPG</v>
      </c>
      <c r="G95" s="255" t="str">
        <f t="shared" si="157"/>
        <v>RESHUDB</v>
      </c>
      <c r="H95" s="423">
        <v>2018</v>
      </c>
      <c r="I95" s="297">
        <f t="shared" ref="I95" si="158">ROUNDUP(AB95/($O95*$P95)*$R95,1)</f>
        <v>0</v>
      </c>
      <c r="J95" s="297">
        <f t="shared" ref="J95" si="159">ROUNDUP(AC95/($O95*$P95)*$R95,1)</f>
        <v>0</v>
      </c>
      <c r="K95" s="297">
        <f t="shared" ref="K95" si="160">ROUNDUP(AD95/($O95*$P95)*$R95,1)</f>
        <v>0</v>
      </c>
      <c r="L95" s="463">
        <v>0.95</v>
      </c>
      <c r="M95" s="463">
        <v>0.95</v>
      </c>
      <c r="N95" s="463">
        <v>0.95</v>
      </c>
      <c r="O95" s="257">
        <f t="shared" si="150"/>
        <v>3.1536000000000002E-2</v>
      </c>
      <c r="P95" s="460">
        <v>0.2</v>
      </c>
      <c r="Q95" s="258">
        <v>30</v>
      </c>
      <c r="R95" s="227">
        <v>2</v>
      </c>
      <c r="T95" s="268">
        <f t="shared" si="106"/>
        <v>0</v>
      </c>
      <c r="U95" s="268"/>
      <c r="V95" s="602" t="s">
        <v>790</v>
      </c>
      <c r="W95" s="428" t="s">
        <v>790</v>
      </c>
      <c r="X95" s="246">
        <v>2018</v>
      </c>
      <c r="Y95" s="435">
        <f>_xlfn.IFNA(INDEX('Data manipulation'!$C$23:$O$39,MATCH($V95,'Data manipulation'!$B$23:$B$39,0),MATCH($X95,'Data manipulation'!$C$22:$O$22,0))/1000,0)*SUMIFS('Regional split'!$F$4:$F$6,'Regional split'!$B$4:$B$6,Y$3)*SUMIFS('Data manipulation'!$V$39:$V$42,'Data manipulation'!$X$39:$X$42,$E95,'Data manipulation'!$Y$39:$Y$42,$D95)</f>
        <v>0</v>
      </c>
      <c r="Z95" s="432">
        <f>_xlfn.IFNA(INDEX('Data manipulation'!$C$23:$O$39,MATCH($V95,'Data manipulation'!$B$23:$B$39,0),MATCH($X95,'Data manipulation'!$C$22:$O$22,0))/1000,0)*SUMIFS('Regional split'!$F$4:$F$6,'Regional split'!$B$4:$B$6,Z$3)*SUMIFS('Data manipulation'!$V$39:$V$42,'Data manipulation'!$X$39:$X$42,$E95,'Data manipulation'!$Y$39:$Y$42,$D95)</f>
        <v>0</v>
      </c>
      <c r="AA95" s="457">
        <f>_xlfn.IFNA(INDEX('Data manipulation'!$C$23:$O$39,MATCH($V95,'Data manipulation'!$B$23:$B$39,0),MATCH($X95,'Data manipulation'!$C$22:$O$22,0))/1000,0)*SUMIFS('Regional split'!$F$4:$F$6,'Regional split'!$B$4:$B$6,AA$3)*SUMIFS('Data manipulation'!$V$39:$V$42,'Data manipulation'!$X$39:$X$42,$E95,'Data manipulation'!$Y$39:$Y$42,$D95)</f>
        <v>0</v>
      </c>
      <c r="AB95" s="452">
        <f t="shared" si="88"/>
        <v>0</v>
      </c>
      <c r="AC95" s="277">
        <f t="shared" si="89"/>
        <v>0</v>
      </c>
      <c r="AD95" s="448">
        <f t="shared" si="90"/>
        <v>0</v>
      </c>
      <c r="AU95" s="260"/>
      <c r="AZ95" s="252"/>
    </row>
    <row r="96" spans="2:52" ht="15" customHeight="1">
      <c r="B96" s="233" t="str">
        <f t="shared" ref="B96:G96" si="161">B56</f>
        <v>RHTRDNGAE1</v>
      </c>
      <c r="C96" s="233" t="str">
        <f t="shared" si="161"/>
        <v>Residential Heating Technology Rural Detached - Natural Gas - Existing 1</v>
      </c>
      <c r="D96" s="233" t="str">
        <f t="shared" si="161"/>
        <v>Rural</v>
      </c>
      <c r="E96" s="233" t="str">
        <f t="shared" si="161"/>
        <v>Detached</v>
      </c>
      <c r="F96" s="233" t="str">
        <f t="shared" si="161"/>
        <v>RESNGA,RESSNG</v>
      </c>
      <c r="G96" s="233" t="str">
        <f t="shared" si="161"/>
        <v>RESHRDB</v>
      </c>
      <c r="H96" s="259">
        <v>2018</v>
      </c>
      <c r="I96" s="250">
        <f>ROUNDUP(AB96/($O96*$P96)*$R96,1)</f>
        <v>62031.199999999997</v>
      </c>
      <c r="J96" s="250">
        <f>ROUNDUP(AC96/($O96*$P96)*$R96,1)</f>
        <v>0</v>
      </c>
      <c r="K96" s="250">
        <f>ROUNDUP(AD96/($O96*$P96)*$R96,1)</f>
        <v>0</v>
      </c>
      <c r="L96" s="462">
        <v>0.79</v>
      </c>
      <c r="M96" s="462">
        <v>0.79</v>
      </c>
      <c r="N96" s="462">
        <v>0.79</v>
      </c>
      <c r="O96" s="244">
        <f t="shared" si="150"/>
        <v>3.1536000000000002E-2</v>
      </c>
      <c r="P96" s="460">
        <v>0.2</v>
      </c>
      <c r="Q96" s="245">
        <v>25</v>
      </c>
      <c r="R96" s="227">
        <v>2</v>
      </c>
      <c r="T96" s="268">
        <f t="shared" si="106"/>
        <v>495.24453751898727</v>
      </c>
      <c r="U96" s="268"/>
      <c r="V96" s="602" t="str">
        <f>'Data manipulation'!$B$36</f>
        <v>Natural gas, biogas and LNG</v>
      </c>
      <c r="W96" s="246" t="s">
        <v>187</v>
      </c>
      <c r="X96" s="246">
        <v>2018</v>
      </c>
      <c r="Y96" s="434">
        <f>_xlfn.IFNA(INDEX('Data manipulation'!$C$23:$O$39,MATCH($V96,'Data manipulation'!$B$23:$B$39,0),MATCH($X96,'Data manipulation'!$C$22:$O$22,0))/1000,0)*SUMIFS('Regional split'!$F$4:$F$6,'Regional split'!$B$4:$B$6,Y$3)*SUMIFS('Data manipulation'!$V$39:$V$42,'Data manipulation'!$X$39:$X$42,$E96,'Data manipulation'!$Y$39:$Y$42,$D96)</f>
        <v>247.62207716400002</v>
      </c>
      <c r="Z96" s="270">
        <f>_xlfn.IFNA(INDEX('Data manipulation'!$C$23:$O$39,MATCH($V96,'Data manipulation'!$B$23:$B$39,0),MATCH($X96,'Data manipulation'!$C$22:$O$22,0))/1000,0)*SUMIFS('Regional split'!$F$4:$F$6,'Regional split'!$B$4:$B$6,Z$3)*SUMIFS('Data manipulation'!$V$39:$V$42,'Data manipulation'!$X$39:$X$42,$E96,'Data manipulation'!$Y$39:$Y$42,$D96)</f>
        <v>0</v>
      </c>
      <c r="AA96" s="456">
        <f>_xlfn.IFNA(INDEX('Data manipulation'!$C$23:$O$39,MATCH($V96,'Data manipulation'!$B$23:$B$39,0),MATCH($X96,'Data manipulation'!$C$22:$O$22,0))/1000,0)*SUMIFS('Regional split'!$F$4:$F$6,'Regional split'!$B$4:$B$6,AA$3)*SUMIFS('Data manipulation'!$V$39:$V$42,'Data manipulation'!$X$39:$X$42,$E96,'Data manipulation'!$Y$39:$Y$42,$D96)</f>
        <v>0</v>
      </c>
      <c r="AB96" s="453">
        <f t="shared" si="88"/>
        <v>195.62144095956003</v>
      </c>
      <c r="AC96" s="278">
        <f t="shared" si="89"/>
        <v>0</v>
      </c>
      <c r="AD96" s="449">
        <f t="shared" si="90"/>
        <v>0</v>
      </c>
      <c r="AU96" s="260"/>
      <c r="AZ96" s="252"/>
    </row>
    <row r="97" spans="2:52" ht="15" customHeight="1">
      <c r="B97" s="233" t="str">
        <f t="shared" ref="B97:G97" si="162">B57</f>
        <v>RHTRDDSLE1</v>
      </c>
      <c r="C97" s="233" t="str">
        <f t="shared" si="162"/>
        <v>Residential Heating Technology Rural Detached - Diesel - Existing 1</v>
      </c>
      <c r="D97" s="233" t="str">
        <f t="shared" si="162"/>
        <v>Rural</v>
      </c>
      <c r="E97" s="233" t="str">
        <f t="shared" si="162"/>
        <v>Detached</v>
      </c>
      <c r="F97" s="233" t="str">
        <f t="shared" si="162"/>
        <v>RESDSL,RESDSB</v>
      </c>
      <c r="G97" s="233" t="str">
        <f t="shared" si="162"/>
        <v>RESHRDB</v>
      </c>
      <c r="H97" s="259">
        <v>2018</v>
      </c>
      <c r="I97" s="250">
        <f t="shared" ref="I97:I103" si="163">ROUNDUP(AB97/($O97*$P97)*$R97,1)</f>
        <v>26369.3</v>
      </c>
      <c r="J97" s="250">
        <f t="shared" ref="J97:J103" si="164">ROUNDUP(AC97/($O97*$P97)*$R97,1)</f>
        <v>0</v>
      </c>
      <c r="K97" s="250">
        <f t="shared" ref="K97:K103" si="165">ROUNDUP(AD97/($O97*$P97)*$R97,1)</f>
        <v>0</v>
      </c>
      <c r="L97" s="462">
        <v>0.79</v>
      </c>
      <c r="M97" s="462">
        <v>0.79</v>
      </c>
      <c r="N97" s="462">
        <v>0.79</v>
      </c>
      <c r="O97" s="244">
        <f t="shared" si="150"/>
        <v>3.1536000000000002E-2</v>
      </c>
      <c r="P97" s="460">
        <v>0.2</v>
      </c>
      <c r="Q97" s="245">
        <v>20</v>
      </c>
      <c r="R97" s="227">
        <v>2</v>
      </c>
      <c r="T97" s="268">
        <f t="shared" si="106"/>
        <v>210.52715058227847</v>
      </c>
      <c r="V97" s="602" t="str">
        <f>'Data manipulation'!$B$35</f>
        <v>Oil products</v>
      </c>
      <c r="W97" s="254" t="s">
        <v>749</v>
      </c>
      <c r="X97" s="246">
        <v>2018</v>
      </c>
      <c r="Y97" s="434">
        <f>_xlfn.IFNA(INDEX('Data manipulation'!$C$23:$O$39,MATCH($V97,'Data manipulation'!$B$23:$B$39,0),MATCH($X97,'Data manipulation'!$C$22:$O$22,0))/1000,0)*SUMIFS('Regional split'!$F$4:$F$6,'Regional split'!$B$4:$B$6,Y$3)*SUMIFS('Data manipulation'!$V$39:$V$42,'Data manipulation'!$X$39:$X$42,$E97,'Data manipulation'!$Y$39:$Y$42,$D97)</f>
        <v>105.26345635300001</v>
      </c>
      <c r="Z97" s="270">
        <f>_xlfn.IFNA(INDEX('Data manipulation'!$C$23:$O$39,MATCH($V97,'Data manipulation'!$B$23:$B$39,0),MATCH($X97,'Data manipulation'!$C$22:$O$22,0))/1000,0)*SUMIFS('Regional split'!$F$4:$F$6,'Regional split'!$B$4:$B$6,Z$3)*SUMIFS('Data manipulation'!$V$39:$V$42,'Data manipulation'!$X$39:$X$42,$E97,'Data manipulation'!$Y$39:$Y$42,$D97)</f>
        <v>0</v>
      </c>
      <c r="AA97" s="456">
        <f>_xlfn.IFNA(INDEX('Data manipulation'!$C$23:$O$39,MATCH($V97,'Data manipulation'!$B$23:$B$39,0),MATCH($X97,'Data manipulation'!$C$22:$O$22,0))/1000,0)*SUMIFS('Regional split'!$F$4:$F$6,'Regional split'!$B$4:$B$6,AA$3)*SUMIFS('Data manipulation'!$V$39:$V$42,'Data manipulation'!$X$39:$X$42,$E97,'Data manipulation'!$Y$39:$Y$42,$D97)</f>
        <v>0</v>
      </c>
      <c r="AB97" s="445">
        <f t="shared" si="88"/>
        <v>83.15813051887001</v>
      </c>
      <c r="AC97" s="251">
        <f t="shared" si="89"/>
        <v>0</v>
      </c>
      <c r="AD97" s="446">
        <f t="shared" si="90"/>
        <v>0</v>
      </c>
      <c r="AU97" s="260"/>
      <c r="AZ97" s="252"/>
    </row>
    <row r="98" spans="2:52" ht="15" customHeight="1">
      <c r="B98" s="233" t="str">
        <f t="shared" ref="B98:G98" si="166">B58</f>
        <v>RHTRDWPEE1</v>
      </c>
      <c r="C98" s="233" t="str">
        <f t="shared" si="166"/>
        <v>Residential Heating Technology Rural Detached - Wood pellets - Existing 1</v>
      </c>
      <c r="D98" s="233" t="str">
        <f t="shared" si="166"/>
        <v>Rural</v>
      </c>
      <c r="E98" s="233" t="str">
        <f t="shared" si="166"/>
        <v>Detached</v>
      </c>
      <c r="F98" s="233" t="str">
        <f t="shared" si="166"/>
        <v>RESWPE</v>
      </c>
      <c r="G98" s="233" t="str">
        <f t="shared" si="166"/>
        <v>RESHRDB</v>
      </c>
      <c r="H98" s="259">
        <v>2018</v>
      </c>
      <c r="I98" s="250">
        <f t="shared" si="163"/>
        <v>0</v>
      </c>
      <c r="J98" s="250">
        <f t="shared" si="164"/>
        <v>0</v>
      </c>
      <c r="K98" s="250">
        <f t="shared" si="165"/>
        <v>0</v>
      </c>
      <c r="L98" s="462">
        <v>0.67</v>
      </c>
      <c r="M98" s="462">
        <v>0.67</v>
      </c>
      <c r="N98" s="462">
        <v>0.67</v>
      </c>
      <c r="O98" s="244">
        <f>31.536/1000</f>
        <v>3.1536000000000002E-2</v>
      </c>
      <c r="P98" s="460">
        <v>0.2</v>
      </c>
      <c r="Q98" s="245">
        <v>20</v>
      </c>
      <c r="R98" s="227">
        <v>2</v>
      </c>
      <c r="T98" s="268">
        <f t="shared" si="106"/>
        <v>0</v>
      </c>
      <c r="U98" s="268"/>
      <c r="V98" s="602" t="s">
        <v>206</v>
      </c>
      <c r="W98" s="254" t="s">
        <v>896</v>
      </c>
      <c r="X98" s="246">
        <v>2018</v>
      </c>
      <c r="Y98" s="434">
        <f>_xlfn.IFNA(INDEX('Data manipulation'!$C$23:$O$39,MATCH($V98,'Data manipulation'!$B$23:$B$39,0),MATCH($X98,'Data manipulation'!$C$22:$O$22,0))/1000,0)*SUMIFS('Regional split'!$F$4:$F$6,'Regional split'!$B$4:$B$6,Y$3)*SUMIFS('Data manipulation'!$V$39:$V$42,'Data manipulation'!$X$39:$X$42,$E98,'Data manipulation'!$Y$39:$Y$42,$D98)</f>
        <v>0</v>
      </c>
      <c r="Z98" s="270">
        <f>_xlfn.IFNA(INDEX('Data manipulation'!$C$23:$O$39,MATCH($V98,'Data manipulation'!$B$23:$B$39,0),MATCH($X98,'Data manipulation'!$C$22:$O$22,0))/1000,0)*SUMIFS('Regional split'!$F$4:$F$6,'Regional split'!$B$4:$B$6,Z$3)*SUMIFS('Data manipulation'!$V$39:$V$42,'Data manipulation'!$X$39:$X$42,$E98,'Data manipulation'!$Y$39:$Y$42,$D98)</f>
        <v>0</v>
      </c>
      <c r="AA98" s="456">
        <f>_xlfn.IFNA(INDEX('Data manipulation'!$C$23:$O$39,MATCH($V98,'Data manipulation'!$B$23:$B$39,0),MATCH($X98,'Data manipulation'!$C$22:$O$22,0))/1000,0)*SUMIFS('Regional split'!$F$4:$F$6,'Regional split'!$B$4:$B$6,AA$3)*SUMIFS('Data manipulation'!$V$39:$V$42,'Data manipulation'!$X$39:$X$42,$E98,'Data manipulation'!$Y$39:$Y$42,$D98)</f>
        <v>0</v>
      </c>
      <c r="AB98" s="445">
        <f t="shared" si="88"/>
        <v>0</v>
      </c>
      <c r="AC98" s="251">
        <f t="shared" si="89"/>
        <v>0</v>
      </c>
      <c r="AD98" s="446">
        <f t="shared" si="90"/>
        <v>0</v>
      </c>
      <c r="AU98" s="260"/>
      <c r="AZ98" s="252"/>
    </row>
    <row r="99" spans="2:52" ht="15" customHeight="1">
      <c r="B99" s="233" t="str">
        <f t="shared" ref="B99:G99" si="167">B59</f>
        <v>RHTRDFIWE1</v>
      </c>
      <c r="C99" s="233" t="str">
        <f t="shared" si="167"/>
        <v>Residential Heating Technology Rural Detached - Fire wood - Existing 1</v>
      </c>
      <c r="D99" s="233" t="str">
        <f t="shared" si="167"/>
        <v>Rural</v>
      </c>
      <c r="E99" s="233" t="str">
        <f t="shared" si="167"/>
        <v>Detached</v>
      </c>
      <c r="F99" s="233" t="str">
        <f t="shared" si="167"/>
        <v>RESFIW</v>
      </c>
      <c r="G99" s="233" t="str">
        <f t="shared" si="167"/>
        <v>RESHRDB</v>
      </c>
      <c r="H99" s="259">
        <v>2018</v>
      </c>
      <c r="I99" s="250">
        <f t="shared" si="163"/>
        <v>14215.9</v>
      </c>
      <c r="J99" s="250">
        <f t="shared" si="164"/>
        <v>0</v>
      </c>
      <c r="K99" s="250">
        <f t="shared" si="165"/>
        <v>0</v>
      </c>
      <c r="L99" s="462">
        <v>0.67</v>
      </c>
      <c r="M99" s="462">
        <v>0.67</v>
      </c>
      <c r="N99" s="462">
        <v>0.67</v>
      </c>
      <c r="O99" s="244">
        <f>31.536/1000</f>
        <v>3.1536000000000002E-2</v>
      </c>
      <c r="P99" s="460">
        <v>0.2</v>
      </c>
      <c r="Q99" s="245">
        <v>20</v>
      </c>
      <c r="R99" s="227">
        <v>2</v>
      </c>
      <c r="T99" s="268">
        <f t="shared" si="106"/>
        <v>133.82466340298507</v>
      </c>
      <c r="U99" s="268"/>
      <c r="V99" s="602" t="str">
        <f>'Data manipulation'!$B$31</f>
        <v>Primary solid biofuels</v>
      </c>
      <c r="W99" s="254" t="s">
        <v>196</v>
      </c>
      <c r="X99" s="246">
        <v>2018</v>
      </c>
      <c r="Y99" s="434">
        <f>_xlfn.IFNA(INDEX('Data manipulation'!$C$23:$O$39,MATCH($V99,'Data manipulation'!$B$23:$B$39,0),MATCH($X99,'Data manipulation'!$C$22:$O$22,0))/1000,0)*SUMIFS('Regional split'!$F$4:$F$6,'Regional split'!$B$4:$B$6,Y$3)*SUMIFS('Data manipulation'!$V$39:$V$42,'Data manipulation'!$X$39:$X$42,$E99,'Data manipulation'!$Y$39:$Y$42,$D99)</f>
        <v>66.911948675000005</v>
      </c>
      <c r="Z99" s="270">
        <f>_xlfn.IFNA(INDEX('Data manipulation'!$C$23:$O$39,MATCH($V99,'Data manipulation'!$B$23:$B$39,0),MATCH($X99,'Data manipulation'!$C$22:$O$22,0))/1000,0)*SUMIFS('Regional split'!$F$4:$F$6,'Regional split'!$B$4:$B$6,Z$3)*SUMIFS('Data manipulation'!$V$39:$V$42,'Data manipulation'!$X$39:$X$42,$E99,'Data manipulation'!$Y$39:$Y$42,$D99)</f>
        <v>0</v>
      </c>
      <c r="AA99" s="456">
        <f>_xlfn.IFNA(INDEX('Data manipulation'!$C$23:$O$39,MATCH($V99,'Data manipulation'!$B$23:$B$39,0),MATCH($X99,'Data manipulation'!$C$22:$O$22,0))/1000,0)*SUMIFS('Regional split'!$F$4:$F$6,'Regional split'!$B$4:$B$6,AA$3)*SUMIFS('Data manipulation'!$V$39:$V$42,'Data manipulation'!$X$39:$X$42,$E99,'Data manipulation'!$Y$39:$Y$42,$D99)</f>
        <v>0</v>
      </c>
      <c r="AB99" s="445">
        <f t="shared" si="88"/>
        <v>44.831005612250003</v>
      </c>
      <c r="AC99" s="251">
        <f t="shared" si="89"/>
        <v>0</v>
      </c>
      <c r="AD99" s="446">
        <f t="shared" si="90"/>
        <v>0</v>
      </c>
      <c r="AU99" s="260"/>
      <c r="AZ99" s="252"/>
    </row>
    <row r="100" spans="2:52" ht="15" customHeight="1">
      <c r="B100" s="233" t="str">
        <f t="shared" ref="B100:G100" si="168">B60</f>
        <v>RHTRDCOAE1</v>
      </c>
      <c r="C100" s="233" t="str">
        <f t="shared" si="168"/>
        <v>Residential Heating Technology Rural Detached - Coal - Existing 1</v>
      </c>
      <c r="D100" s="233" t="str">
        <f t="shared" si="168"/>
        <v>Rural</v>
      </c>
      <c r="E100" s="233" t="str">
        <f t="shared" si="168"/>
        <v>Detached</v>
      </c>
      <c r="F100" s="233" t="str">
        <f t="shared" si="168"/>
        <v>RESCOA</v>
      </c>
      <c r="G100" s="233" t="str">
        <f t="shared" si="168"/>
        <v>RESHRDB</v>
      </c>
      <c r="H100" s="259">
        <v>2018</v>
      </c>
      <c r="I100" s="250">
        <f t="shared" si="163"/>
        <v>1501.8</v>
      </c>
      <c r="J100" s="250">
        <f t="shared" si="164"/>
        <v>0</v>
      </c>
      <c r="K100" s="250">
        <f t="shared" si="165"/>
        <v>0</v>
      </c>
      <c r="L100" s="462">
        <v>0.72</v>
      </c>
      <c r="M100" s="462">
        <v>0.72</v>
      </c>
      <c r="N100" s="462">
        <v>0.72</v>
      </c>
      <c r="O100" s="244">
        <f t="shared" si="150"/>
        <v>3.1536000000000002E-2</v>
      </c>
      <c r="P100" s="460">
        <v>0.2</v>
      </c>
      <c r="Q100" s="245">
        <v>20</v>
      </c>
      <c r="R100" s="227">
        <v>2</v>
      </c>
      <c r="T100" s="268">
        <f t="shared" si="106"/>
        <v>13.155768000000002</v>
      </c>
      <c r="U100" s="268"/>
      <c r="V100" s="602" t="str">
        <f>'Data manipulation'!$B$23</f>
        <v>Solid fossil fuels, peat, peat products, oil shale and oil sands</v>
      </c>
      <c r="W100" s="254" t="s">
        <v>893</v>
      </c>
      <c r="X100" s="246">
        <v>2018</v>
      </c>
      <c r="Y100" s="434">
        <f>_xlfn.IFNA(INDEX('Data manipulation'!$C$23:$O$39,MATCH($V100,'Data manipulation'!$B$23:$B$39,0),MATCH($X100,'Data manipulation'!$C$22:$O$22,0))/1000,0)*SUMIFS('Regional split'!$F$4:$F$6,'Regional split'!$B$4:$B$6,Y$3)*SUMIFS('Data manipulation'!$V$39:$V$42,'Data manipulation'!$X$39:$X$42,$E100,'Data manipulation'!$Y$39:$Y$42,$D100)</f>
        <v>6.5775069359999998</v>
      </c>
      <c r="Z100" s="270">
        <f>_xlfn.IFNA(INDEX('Data manipulation'!$C$23:$O$39,MATCH($V100,'Data manipulation'!$B$23:$B$39,0),MATCH($X100,'Data manipulation'!$C$22:$O$22,0))/1000,0)*SUMIFS('Regional split'!$F$4:$F$6,'Regional split'!$B$4:$B$6,Z$3)*SUMIFS('Data manipulation'!$V$39:$V$42,'Data manipulation'!$X$39:$X$42,$E100,'Data manipulation'!$Y$39:$Y$42,$D100)</f>
        <v>0</v>
      </c>
      <c r="AA100" s="456">
        <f>_xlfn.IFNA(INDEX('Data manipulation'!$C$23:$O$39,MATCH($V100,'Data manipulation'!$B$23:$B$39,0),MATCH($X100,'Data manipulation'!$C$22:$O$22,0))/1000,0)*SUMIFS('Regional split'!$F$4:$F$6,'Regional split'!$B$4:$B$6,AA$3)*SUMIFS('Data manipulation'!$V$39:$V$42,'Data manipulation'!$X$39:$X$42,$E100,'Data manipulation'!$Y$39:$Y$42,$D100)</f>
        <v>0</v>
      </c>
      <c r="AB100" s="445">
        <f t="shared" si="88"/>
        <v>4.7358049939199995</v>
      </c>
      <c r="AC100" s="251">
        <f t="shared" si="89"/>
        <v>0</v>
      </c>
      <c r="AD100" s="446">
        <f t="shared" si="90"/>
        <v>0</v>
      </c>
      <c r="AU100" s="260"/>
      <c r="AZ100" s="252"/>
    </row>
    <row r="101" spans="2:52" ht="15" customHeight="1">
      <c r="B101" s="233" t="str">
        <f t="shared" ref="B101:G101" si="169">B61</f>
        <v>RHTRDSOLE1</v>
      </c>
      <c r="C101" s="233" t="str">
        <f t="shared" si="169"/>
        <v>Residential Heating Technology Rural Detached - Solar - Existing 1</v>
      </c>
      <c r="D101" s="233" t="str">
        <f t="shared" si="169"/>
        <v>Rural</v>
      </c>
      <c r="E101" s="233" t="str">
        <f t="shared" si="169"/>
        <v>Detached</v>
      </c>
      <c r="F101" s="233" t="str">
        <f t="shared" si="169"/>
        <v>RESSOL</v>
      </c>
      <c r="G101" s="233" t="str">
        <f t="shared" si="169"/>
        <v>RESHRDB</v>
      </c>
      <c r="H101" s="259">
        <v>2018</v>
      </c>
      <c r="I101" s="250">
        <f t="shared" si="163"/>
        <v>404.90000000000003</v>
      </c>
      <c r="J101" s="250">
        <f t="shared" si="164"/>
        <v>0</v>
      </c>
      <c r="K101" s="250">
        <f t="shared" si="165"/>
        <v>0</v>
      </c>
      <c r="L101" s="462">
        <v>1</v>
      </c>
      <c r="M101" s="462">
        <v>1</v>
      </c>
      <c r="N101" s="462">
        <v>1</v>
      </c>
      <c r="O101" s="244">
        <f t="shared" si="150"/>
        <v>3.1536000000000002E-2</v>
      </c>
      <c r="P101" s="460">
        <v>0.2</v>
      </c>
      <c r="Q101" s="245">
        <v>20</v>
      </c>
      <c r="R101" s="227">
        <v>2</v>
      </c>
      <c r="T101" s="268">
        <f t="shared" si="106"/>
        <v>2.5537852800000005</v>
      </c>
      <c r="U101" s="268"/>
      <c r="V101" s="602" t="str">
        <f>'Data manipulation'!$B$29</f>
        <v>Solar thermal</v>
      </c>
      <c r="W101" s="254" t="s">
        <v>188</v>
      </c>
      <c r="X101" s="246">
        <v>2018</v>
      </c>
      <c r="Y101" s="434">
        <f>_xlfn.IFNA(INDEX('Data manipulation'!$C$23:$O$39,MATCH($V101,'Data manipulation'!$B$23:$B$39,0),MATCH($X101,'Data manipulation'!$C$22:$O$22,0))/1000,0)*SUMIFS('Regional split'!$F$4:$F$6,'Regional split'!$B$4:$B$6,Y$3)*SUMIFS('Data manipulation'!$V$39:$V$42,'Data manipulation'!$X$39:$X$42,$E101,'Data manipulation'!$Y$39:$Y$42,$D101)</f>
        <v>1.2768211060000001</v>
      </c>
      <c r="Z101" s="270">
        <f>_xlfn.IFNA(INDEX('Data manipulation'!$C$23:$O$39,MATCH($V101,'Data manipulation'!$B$23:$B$39,0),MATCH($X101,'Data manipulation'!$C$22:$O$22,0))/1000,0)*SUMIFS('Regional split'!$F$4:$F$6,'Regional split'!$B$4:$B$6,Z$3)*SUMIFS('Data manipulation'!$V$39:$V$42,'Data manipulation'!$X$39:$X$42,$E101,'Data manipulation'!$Y$39:$Y$42,$D101)</f>
        <v>0</v>
      </c>
      <c r="AA101" s="456">
        <f>_xlfn.IFNA(INDEX('Data manipulation'!$C$23:$O$39,MATCH($V101,'Data manipulation'!$B$23:$B$39,0),MATCH($X101,'Data manipulation'!$C$22:$O$22,0))/1000,0)*SUMIFS('Regional split'!$F$4:$F$6,'Regional split'!$B$4:$B$6,AA$3)*SUMIFS('Data manipulation'!$V$39:$V$42,'Data manipulation'!$X$39:$X$42,$E101,'Data manipulation'!$Y$39:$Y$42,$D101)</f>
        <v>0</v>
      </c>
      <c r="AB101" s="445">
        <f t="shared" si="88"/>
        <v>1.2768211060000001</v>
      </c>
      <c r="AC101" s="251">
        <f t="shared" si="89"/>
        <v>0</v>
      </c>
      <c r="AD101" s="446">
        <f t="shared" si="90"/>
        <v>0</v>
      </c>
      <c r="AU101" s="260"/>
      <c r="AZ101" s="252"/>
    </row>
    <row r="102" spans="2:52" ht="15" customHeight="1">
      <c r="B102" s="233" t="str">
        <f t="shared" ref="B102:G102" si="170">B62</f>
        <v>RHTRDELCHE1</v>
      </c>
      <c r="C102" s="233" t="str">
        <f t="shared" si="170"/>
        <v>Residential Heating Technology Rural Detached - Electricity Heating - Existing 1</v>
      </c>
      <c r="D102" s="233" t="str">
        <f t="shared" si="170"/>
        <v>Rural</v>
      </c>
      <c r="E102" s="233" t="str">
        <f t="shared" si="170"/>
        <v>Detached</v>
      </c>
      <c r="F102" s="233" t="str">
        <f t="shared" si="170"/>
        <v>RESELCH</v>
      </c>
      <c r="G102" s="233" t="str">
        <f t="shared" si="170"/>
        <v>RESHRDB</v>
      </c>
      <c r="H102" s="259">
        <v>2018</v>
      </c>
      <c r="I102" s="250">
        <f t="shared" si="163"/>
        <v>2713.7999999999997</v>
      </c>
      <c r="J102" s="250">
        <f t="shared" si="164"/>
        <v>0</v>
      </c>
      <c r="K102" s="250">
        <f t="shared" si="165"/>
        <v>0</v>
      </c>
      <c r="L102" s="462">
        <v>1</v>
      </c>
      <c r="M102" s="462">
        <v>1</v>
      </c>
      <c r="N102" s="462">
        <v>1</v>
      </c>
      <c r="O102" s="244">
        <f t="shared" si="150"/>
        <v>3.1536000000000002E-2</v>
      </c>
      <c r="P102" s="460">
        <v>0.2</v>
      </c>
      <c r="Q102" s="245">
        <v>30</v>
      </c>
      <c r="R102" s="227">
        <v>2</v>
      </c>
      <c r="T102" s="268">
        <f t="shared" si="106"/>
        <v>17.11647936</v>
      </c>
      <c r="U102" s="268"/>
      <c r="V102" s="602" t="str">
        <f>'Data manipulation'!$B$33</f>
        <v>Electricity</v>
      </c>
      <c r="W102" s="254" t="s">
        <v>189</v>
      </c>
      <c r="X102" s="246">
        <v>2018</v>
      </c>
      <c r="Y102" s="434">
        <f>_xlfn.IFNA(INDEX('Data manipulation'!$C$23:$O$39,MATCH($V102,'Data manipulation'!$B$23:$B$39,0),MATCH($X102,'Data manipulation'!$C$22:$O$22,0))/1000,0)*SUMIFS('Regional split'!$F$4:$F$6,'Regional split'!$B$4:$B$6,Y$3)*SUMIFS('Data manipulation'!$V$39:$V$42,'Data manipulation'!$X$39:$X$42,$E102,'Data manipulation'!$Y$39:$Y$42,$D102)</f>
        <v>8.5581166880000001</v>
      </c>
      <c r="Z102" s="270">
        <f>_xlfn.IFNA(INDEX('Data manipulation'!$C$23:$O$39,MATCH($V102,'Data manipulation'!$B$23:$B$39,0),MATCH($X102,'Data manipulation'!$C$22:$O$22,0))/1000,0)*SUMIFS('Regional split'!$F$4:$F$6,'Regional split'!$B$4:$B$6,Z$3)*SUMIFS('Data manipulation'!$V$39:$V$42,'Data manipulation'!$X$39:$X$42,$E102,'Data manipulation'!$Y$39:$Y$42,$D102)</f>
        <v>0</v>
      </c>
      <c r="AA102" s="456">
        <f>_xlfn.IFNA(INDEX('Data manipulation'!$C$23:$O$39,MATCH($V102,'Data manipulation'!$B$23:$B$39,0),MATCH($X102,'Data manipulation'!$C$22:$O$22,0))/1000,0)*SUMIFS('Regional split'!$F$4:$F$6,'Regional split'!$B$4:$B$6,AA$3)*SUMIFS('Data manipulation'!$V$39:$V$42,'Data manipulation'!$X$39:$X$42,$E102,'Data manipulation'!$Y$39:$Y$42,$D102)</f>
        <v>0</v>
      </c>
      <c r="AB102" s="445">
        <f t="shared" si="88"/>
        <v>8.5581166880000001</v>
      </c>
      <c r="AC102" s="251">
        <f t="shared" si="89"/>
        <v>0</v>
      </c>
      <c r="AD102" s="446">
        <f t="shared" si="90"/>
        <v>0</v>
      </c>
      <c r="AU102" s="260"/>
      <c r="AZ102" s="252"/>
    </row>
    <row r="103" spans="2:52" ht="15" customHeight="1">
      <c r="B103" s="233" t="str">
        <f t="shared" ref="B103:G103" si="171">B63</f>
        <v>RHTRDELCHE2</v>
      </c>
      <c r="C103" s="233" t="str">
        <f t="shared" si="171"/>
        <v>Residential Heating Technology Rural Detached - Electricity Heating - Existing 2</v>
      </c>
      <c r="D103" s="233" t="str">
        <f t="shared" si="171"/>
        <v>Rural</v>
      </c>
      <c r="E103" s="233" t="str">
        <f t="shared" si="171"/>
        <v>Detached</v>
      </c>
      <c r="F103" s="233" t="str">
        <f t="shared" si="171"/>
        <v>RESELCH</v>
      </c>
      <c r="G103" s="233" t="str">
        <f t="shared" si="171"/>
        <v>RESHRDB</v>
      </c>
      <c r="H103" s="259">
        <v>2018</v>
      </c>
      <c r="I103" s="250">
        <f t="shared" si="163"/>
        <v>9474.3000000000011</v>
      </c>
      <c r="J103" s="250">
        <f t="shared" si="164"/>
        <v>0</v>
      </c>
      <c r="K103" s="250">
        <f t="shared" si="165"/>
        <v>0</v>
      </c>
      <c r="L103" s="462">
        <v>2.3149999999999999</v>
      </c>
      <c r="M103" s="462">
        <v>2.3149999999999999</v>
      </c>
      <c r="N103" s="462">
        <v>2.3149999999999999</v>
      </c>
      <c r="O103" s="244">
        <f t="shared" si="150"/>
        <v>3.1536000000000002E-2</v>
      </c>
      <c r="P103" s="460">
        <v>0.2</v>
      </c>
      <c r="Q103" s="245">
        <v>30</v>
      </c>
      <c r="R103" s="227">
        <v>2</v>
      </c>
      <c r="T103" s="268">
        <f t="shared" si="106"/>
        <v>25.812658730021607</v>
      </c>
      <c r="U103" s="268"/>
      <c r="V103" s="602" t="str">
        <f>'Data manipulation'!$B$30</f>
        <v>Ambient heat (heat pumps)</v>
      </c>
      <c r="W103" s="254" t="s">
        <v>190</v>
      </c>
      <c r="X103" s="246">
        <v>2018</v>
      </c>
      <c r="Y103" s="434">
        <f>_xlfn.IFNA(INDEX('Data manipulation'!$C$23:$O$39,MATCH($V103,'Data manipulation'!$B$23:$B$39,0),MATCH($X103,'Data manipulation'!$C$22:$O$22,0))/1000,0)*SUMIFS('Regional split'!$F$4:$F$6,'Regional split'!$B$4:$B$6,Y$3)*SUMIFS('Data manipulation'!$V$39:$V$42,'Data manipulation'!$X$39:$X$42,$E103,'Data manipulation'!$Y$39:$Y$42,$D103)</f>
        <v>12.906293399999999</v>
      </c>
      <c r="Z103" s="270">
        <f>_xlfn.IFNA(INDEX('Data manipulation'!$C$23:$O$39,MATCH($V103,'Data manipulation'!$B$23:$B$39,0),MATCH($X103,'Data manipulation'!$C$22:$O$22,0))/1000,0)*SUMIFS('Regional split'!$F$4:$F$6,'Regional split'!$B$4:$B$6,Z$3)*SUMIFS('Data manipulation'!$V$39:$V$42,'Data manipulation'!$X$39:$X$42,$E103,'Data manipulation'!$Y$39:$Y$42,$D103)</f>
        <v>0</v>
      </c>
      <c r="AA103" s="456">
        <f>_xlfn.IFNA(INDEX('Data manipulation'!$C$23:$O$39,MATCH($V103,'Data manipulation'!$B$23:$B$39,0),MATCH($X103,'Data manipulation'!$C$22:$O$22,0))/1000,0)*SUMIFS('Regional split'!$F$4:$F$6,'Regional split'!$B$4:$B$6,AA$3)*SUMIFS('Data manipulation'!$V$39:$V$42,'Data manipulation'!$X$39:$X$42,$E103,'Data manipulation'!$Y$39:$Y$42,$D103)</f>
        <v>0</v>
      </c>
      <c r="AB103" s="445">
        <f t="shared" si="88"/>
        <v>29.878069220999997</v>
      </c>
      <c r="AC103" s="251">
        <f t="shared" si="89"/>
        <v>0</v>
      </c>
      <c r="AD103" s="446">
        <f t="shared" si="90"/>
        <v>0</v>
      </c>
      <c r="AU103" s="260"/>
      <c r="AZ103" s="252"/>
    </row>
    <row r="104" spans="2:52" ht="15" customHeight="1">
      <c r="B104" s="233" t="str">
        <f t="shared" ref="B104:G104" si="172">B64</f>
        <v>RHTRDHCEE1</v>
      </c>
      <c r="C104" s="233" t="str">
        <f t="shared" si="172"/>
        <v>Residential Heating Technology Rural Detached - District heating Central - Existing 1</v>
      </c>
      <c r="D104" s="233" t="str">
        <f t="shared" si="172"/>
        <v>Rural</v>
      </c>
      <c r="E104" s="233" t="str">
        <f t="shared" si="172"/>
        <v>Detached</v>
      </c>
      <c r="F104" s="233" t="str">
        <f t="shared" si="172"/>
        <v>RESHDE</v>
      </c>
      <c r="G104" s="233" t="str">
        <f t="shared" si="172"/>
        <v>RESHRDX</v>
      </c>
      <c r="H104" s="261">
        <v>2018</v>
      </c>
      <c r="I104" s="572">
        <v>0</v>
      </c>
      <c r="J104" s="572">
        <v>0</v>
      </c>
      <c r="K104" s="572">
        <v>0</v>
      </c>
      <c r="L104" s="462">
        <v>0.98</v>
      </c>
      <c r="M104" s="462">
        <v>0.98</v>
      </c>
      <c r="N104" s="462">
        <v>0.98</v>
      </c>
      <c r="O104" s="244">
        <f t="shared" si="150"/>
        <v>3.1536000000000002E-2</v>
      </c>
      <c r="P104" s="460">
        <v>0.2</v>
      </c>
      <c r="Q104" s="245">
        <v>30</v>
      </c>
      <c r="R104" s="227">
        <v>2</v>
      </c>
      <c r="T104" s="268">
        <f t="shared" si="106"/>
        <v>0</v>
      </c>
      <c r="U104" s="268"/>
      <c r="V104" s="602" t="str">
        <f>'Data manipulation'!$B$34</f>
        <v>Heat</v>
      </c>
      <c r="W104" s="254" t="s">
        <v>191</v>
      </c>
      <c r="X104" s="246">
        <v>2018</v>
      </c>
      <c r="Y104" s="434">
        <f>_xlfn.IFNA(INDEX('Data manipulation'!$C$23:$O$39,MATCH($V104,'Data manipulation'!$B$23:$B$39,0),MATCH($X104,'Data manipulation'!$C$22:$O$22,0))/1000,0)*SUMIFS('Regional split'!$F$4:$F$6,'Regional split'!$B$4:$B$6,Y$3)*SUMIFS('Data manipulation'!$V$39:$V$42,'Data manipulation'!$X$39:$X$42,$E104,'Data manipulation'!$Y$39:$Y$42,$D104)</f>
        <v>44.415651742000009</v>
      </c>
      <c r="Z104" s="270">
        <f>_xlfn.IFNA(INDEX('Data manipulation'!$C$23:$O$39,MATCH($V104,'Data manipulation'!$B$23:$B$39,0),MATCH($X104,'Data manipulation'!$C$22:$O$22,0))/1000,0)*SUMIFS('Regional split'!$F$4:$F$6,'Regional split'!$B$4:$B$6,Z$3)*SUMIFS('Data manipulation'!$V$39:$V$42,'Data manipulation'!$X$39:$X$42,$E104,'Data manipulation'!$Y$39:$Y$42,$D104)</f>
        <v>0</v>
      </c>
      <c r="AA104" s="456">
        <f>_xlfn.IFNA(INDEX('Data manipulation'!$C$23:$O$39,MATCH($V104,'Data manipulation'!$B$23:$B$39,0),MATCH($X104,'Data manipulation'!$C$22:$O$22,0))/1000,0)*SUMIFS('Regional split'!$F$4:$F$6,'Regional split'!$B$4:$B$6,AA$3)*SUMIFS('Data manipulation'!$V$39:$V$42,'Data manipulation'!$X$39:$X$42,$E104,'Data manipulation'!$Y$39:$Y$42,$D104)</f>
        <v>0</v>
      </c>
      <c r="AB104" s="445">
        <f t="shared" si="88"/>
        <v>43.527338707160006</v>
      </c>
      <c r="AC104" s="251">
        <f t="shared" si="89"/>
        <v>0</v>
      </c>
      <c r="AD104" s="446">
        <f t="shared" si="90"/>
        <v>0</v>
      </c>
      <c r="AU104" s="260"/>
      <c r="AZ104" s="252"/>
    </row>
    <row r="105" spans="2:52" ht="15" customHeight="1" thickBot="1">
      <c r="B105" s="233" t="str">
        <f t="shared" ref="B105:G105" si="173">B65</f>
        <v>RHTRDLPGE1</v>
      </c>
      <c r="C105" s="233" t="str">
        <f t="shared" si="173"/>
        <v>Residential Heating Technology Rural Detached - LPG - Existing 1</v>
      </c>
      <c r="D105" s="233" t="str">
        <f t="shared" si="173"/>
        <v>Rural</v>
      </c>
      <c r="E105" s="233" t="str">
        <f t="shared" si="173"/>
        <v>Detached</v>
      </c>
      <c r="F105" s="233" t="str">
        <f t="shared" si="173"/>
        <v>RESLPG</v>
      </c>
      <c r="G105" s="233" t="str">
        <f t="shared" si="173"/>
        <v>RESHRDB</v>
      </c>
      <c r="H105" s="261">
        <v>2018</v>
      </c>
      <c r="I105" s="297">
        <f t="shared" ref="I105" si="174">ROUNDUP(AB105/($O105*$P105)*$R105,1)</f>
        <v>0</v>
      </c>
      <c r="J105" s="297">
        <f t="shared" ref="J105" si="175">ROUNDUP(AC105/($O105*$P105)*$R105,1)</f>
        <v>0</v>
      </c>
      <c r="K105" s="297">
        <f t="shared" ref="K105" si="176">ROUNDUP(AD105/($O105*$P105)*$R105,1)</f>
        <v>0</v>
      </c>
      <c r="L105" s="462">
        <v>0.98</v>
      </c>
      <c r="M105" s="462">
        <v>0.98</v>
      </c>
      <c r="N105" s="462">
        <v>0.98</v>
      </c>
      <c r="O105" s="244">
        <f t="shared" si="150"/>
        <v>3.1536000000000002E-2</v>
      </c>
      <c r="P105" s="460">
        <v>0.2</v>
      </c>
      <c r="Q105" s="245">
        <v>30</v>
      </c>
      <c r="R105" s="227">
        <v>2</v>
      </c>
      <c r="T105" s="268">
        <f t="shared" si="106"/>
        <v>0</v>
      </c>
      <c r="U105" s="268"/>
      <c r="V105" s="602" t="s">
        <v>790</v>
      </c>
      <c r="W105" s="428" t="s">
        <v>790</v>
      </c>
      <c r="X105" s="246">
        <v>2018</v>
      </c>
      <c r="Y105" s="435">
        <f>_xlfn.IFNA(INDEX('Data manipulation'!$C$23:$O$39,MATCH($V105,'Data manipulation'!$B$23:$B$39,0),MATCH($X105,'Data manipulation'!$C$22:$O$22,0))/1000,0)*SUMIFS('Regional split'!$F$4:$F$6,'Regional split'!$B$4:$B$6,Y$3)*SUMIFS('Data manipulation'!$V$39:$V$42,'Data manipulation'!$X$39:$X$42,$E105,'Data manipulation'!$Y$39:$Y$42,$D105)</f>
        <v>0</v>
      </c>
      <c r="Z105" s="432">
        <f>_xlfn.IFNA(INDEX('Data manipulation'!$C$23:$O$39,MATCH($V105,'Data manipulation'!$B$23:$B$39,0),MATCH($X105,'Data manipulation'!$C$22:$O$22,0))/1000,0)*SUMIFS('Regional split'!$F$4:$F$6,'Regional split'!$B$4:$B$6,Z$3)*SUMIFS('Data manipulation'!$V$39:$V$42,'Data manipulation'!$X$39:$X$42,$E105,'Data manipulation'!$Y$39:$Y$42,$D105)</f>
        <v>0</v>
      </c>
      <c r="AA105" s="457">
        <f>_xlfn.IFNA(INDEX('Data manipulation'!$C$23:$O$39,MATCH($V105,'Data manipulation'!$B$23:$B$39,0),MATCH($X105,'Data manipulation'!$C$22:$O$22,0))/1000,0)*SUMIFS('Regional split'!$F$4:$F$6,'Regional split'!$B$4:$B$6,AA$3)*SUMIFS('Data manipulation'!$V$39:$V$42,'Data manipulation'!$X$39:$X$42,$E105,'Data manipulation'!$Y$39:$Y$42,$D105)</f>
        <v>0</v>
      </c>
      <c r="AB105" s="447">
        <f t="shared" si="88"/>
        <v>0</v>
      </c>
      <c r="AC105" s="433">
        <f t="shared" si="89"/>
        <v>0</v>
      </c>
      <c r="AD105" s="454">
        <f t="shared" si="90"/>
        <v>0</v>
      </c>
      <c r="AU105" s="260"/>
      <c r="AZ105" s="252"/>
    </row>
    <row r="106" spans="2:52" ht="15" customHeight="1">
      <c r="B106" s="227" t="str">
        <f t="shared" ref="B106:E106" si="177">B66</f>
        <v>RHTUMNGAE1</v>
      </c>
      <c r="C106" s="227" t="str">
        <f t="shared" si="177"/>
        <v>Residential Heating Technology Urban Multi - Natural Gas - Existing 1</v>
      </c>
      <c r="D106" s="227" t="str">
        <f t="shared" si="177"/>
        <v>Urban</v>
      </c>
      <c r="E106" s="227" t="str">
        <f t="shared" si="177"/>
        <v>Multi storey</v>
      </c>
      <c r="F106" s="227" t="str">
        <f>F66</f>
        <v>RESNGA,RESSNG</v>
      </c>
      <c r="G106" s="227" t="str">
        <f>G66</f>
        <v>RESHUMB</v>
      </c>
      <c r="H106" s="230">
        <v>2018</v>
      </c>
      <c r="I106" s="250">
        <f>ROUNDUP(AB106/($O106*$P106)*$R106,1)</f>
        <v>43774.6</v>
      </c>
      <c r="J106" s="250">
        <f>ROUNDUP(AC106/($O106*$P106)*$R106,1)</f>
        <v>0</v>
      </c>
      <c r="K106" s="250">
        <f>ROUNDUP(AD106/($O106*$P106)*$R106,1)</f>
        <v>0</v>
      </c>
      <c r="L106" s="462">
        <v>0.72</v>
      </c>
      <c r="M106" s="462">
        <v>0.72</v>
      </c>
      <c r="N106" s="462">
        <v>0.72</v>
      </c>
      <c r="O106" s="244">
        <f>31.536/1000</f>
        <v>3.1536000000000002E-2</v>
      </c>
      <c r="P106" s="460">
        <v>0.2</v>
      </c>
      <c r="Q106" s="245">
        <v>22</v>
      </c>
      <c r="R106" s="227">
        <v>2</v>
      </c>
      <c r="T106" s="268">
        <f t="shared" si="106"/>
        <v>383.46549600000003</v>
      </c>
      <c r="U106" s="268"/>
      <c r="V106" s="602" t="str">
        <f>'Data manipulation'!$B$36</f>
        <v>Natural gas, biogas and LNG</v>
      </c>
      <c r="W106" s="246" t="s">
        <v>187</v>
      </c>
      <c r="X106" s="246">
        <v>2018</v>
      </c>
      <c r="Y106" s="434">
        <f>_xlfn.IFNA(INDEX('Data manipulation'!$C$23:$O$39,MATCH($V106,'Data manipulation'!$B$23:$B$39,0),MATCH($X106,'Data manipulation'!$C$22:$O$22,0))/1000,0)*SUMIFS('Regional split'!$F$4:$F$6,'Regional split'!$B$4:$B$6,Y$3)*SUMIFS('Data manipulation'!$V$39:$V$42,'Data manipulation'!$X$39:$X$42,$E106,'Data manipulation'!$Y$39:$Y$42,$D106)</f>
        <v>191.73245473200001</v>
      </c>
      <c r="Z106" s="270">
        <f>_xlfn.IFNA(INDEX('Data manipulation'!$C$23:$O$39,MATCH($V106,'Data manipulation'!$B$23:$B$39,0),MATCH($X106,'Data manipulation'!$C$22:$O$22,0))/1000,0)*SUMIFS('Regional split'!$F$4:$F$6,'Regional split'!$B$4:$B$6,Z$3)*SUMIFS('Data manipulation'!$V$39:$V$42,'Data manipulation'!$X$39:$X$42,$E106,'Data manipulation'!$Y$39:$Y$42,$D106)</f>
        <v>0</v>
      </c>
      <c r="AA106" s="456">
        <f>_xlfn.IFNA(INDEX('Data manipulation'!$C$23:$O$39,MATCH($V106,'Data manipulation'!$B$23:$B$39,0),MATCH($X106,'Data manipulation'!$C$22:$O$22,0))/1000,0)*SUMIFS('Regional split'!$F$4:$F$6,'Regional split'!$B$4:$B$6,AA$3)*SUMIFS('Data manipulation'!$V$39:$V$42,'Data manipulation'!$X$39:$X$42,$E106,'Data manipulation'!$Y$39:$Y$42,$D106)</f>
        <v>0</v>
      </c>
      <c r="AB106" s="445">
        <f t="shared" ref="AB106:AB185" si="178">Y106*L106</f>
        <v>138.04736740704001</v>
      </c>
      <c r="AC106" s="251">
        <f t="shared" ref="AC106:AC185" si="179">Z106*M106</f>
        <v>0</v>
      </c>
      <c r="AD106" s="446">
        <f t="shared" ref="AD106:AD185" si="180">AA106*N106</f>
        <v>0</v>
      </c>
      <c r="AE106" s="262"/>
      <c r="AU106" s="260"/>
      <c r="AZ106" s="252"/>
    </row>
    <row r="107" spans="2:52" ht="15" customHeight="1">
      <c r="B107" s="227" t="str">
        <f t="shared" ref="B107:G107" si="181">B67</f>
        <v>RHTUMDSLE1</v>
      </c>
      <c r="C107" s="227" t="str">
        <f t="shared" si="181"/>
        <v>Residential Heating Technology Urban Multi - Diesel - Existing 1</v>
      </c>
      <c r="D107" s="227" t="str">
        <f t="shared" si="181"/>
        <v>Urban</v>
      </c>
      <c r="E107" s="227" t="str">
        <f t="shared" si="181"/>
        <v>Multi storey</v>
      </c>
      <c r="F107" s="227" t="str">
        <f t="shared" si="181"/>
        <v>RESDSL,RESDSB</v>
      </c>
      <c r="G107" s="227" t="str">
        <f t="shared" si="181"/>
        <v>RESHUMB</v>
      </c>
      <c r="H107" s="230">
        <v>2018</v>
      </c>
      <c r="I107" s="250">
        <f t="shared" ref="I107:I115" si="182">ROUNDUP(AB107/($O107*$P107)*$R107,1)</f>
        <v>18350</v>
      </c>
      <c r="J107" s="250">
        <f t="shared" ref="J107:J113" si="183">ROUNDUP(AC107/($O107*$P107)*$R107,1)</f>
        <v>0</v>
      </c>
      <c r="K107" s="250">
        <f t="shared" ref="K107:K113" si="184">ROUNDUP(AD107/($O107*$P107)*$R107,1)</f>
        <v>0</v>
      </c>
      <c r="L107" s="462">
        <v>0.71</v>
      </c>
      <c r="M107" s="462">
        <v>0.71</v>
      </c>
      <c r="N107" s="462">
        <v>0.71</v>
      </c>
      <c r="O107" s="244">
        <f>31.536/1000</f>
        <v>3.1536000000000002E-2</v>
      </c>
      <c r="P107" s="460">
        <v>0.2</v>
      </c>
      <c r="Q107" s="245">
        <v>20</v>
      </c>
      <c r="R107" s="227">
        <v>2</v>
      </c>
      <c r="T107" s="268">
        <f t="shared" si="106"/>
        <v>163.01002816901411</v>
      </c>
      <c r="V107" s="602" t="str">
        <f>'Data manipulation'!$B$35</f>
        <v>Oil products</v>
      </c>
      <c r="W107" s="254" t="s">
        <v>749</v>
      </c>
      <c r="X107" s="246">
        <v>2018</v>
      </c>
      <c r="Y107" s="434">
        <f>_xlfn.IFNA(INDEX('Data manipulation'!$C$23:$O$39,MATCH($V107,'Data manipulation'!$B$23:$B$39,0),MATCH($X107,'Data manipulation'!$C$22:$O$22,0))/1000,0)*SUMIFS('Regional split'!$F$4:$F$6,'Regional split'!$B$4:$B$6,Y$3)*SUMIFS('Data manipulation'!$V$39:$V$42,'Data manipulation'!$X$39:$X$42,$E107,'Data manipulation'!$Y$39:$Y$42,$D107)</f>
        <v>81.504933289000007</v>
      </c>
      <c r="Z107" s="270">
        <f>_xlfn.IFNA(INDEX('Data manipulation'!$C$23:$O$39,MATCH($V107,'Data manipulation'!$B$23:$B$39,0),MATCH($X107,'Data manipulation'!$C$22:$O$22,0))/1000,0)*SUMIFS('Regional split'!$F$4:$F$6,'Regional split'!$B$4:$B$6,Z$3)*SUMIFS('Data manipulation'!$V$39:$V$42,'Data manipulation'!$X$39:$X$42,$E107,'Data manipulation'!$Y$39:$Y$42,$D107)</f>
        <v>0</v>
      </c>
      <c r="AA107" s="456">
        <f>_xlfn.IFNA(INDEX('Data manipulation'!$C$23:$O$39,MATCH($V107,'Data manipulation'!$B$23:$B$39,0),MATCH($X107,'Data manipulation'!$C$22:$O$22,0))/1000,0)*SUMIFS('Regional split'!$F$4:$F$6,'Regional split'!$B$4:$B$6,AA$3)*SUMIFS('Data manipulation'!$V$39:$V$42,'Data manipulation'!$X$39:$X$42,$E107,'Data manipulation'!$Y$39:$Y$42,$D107)</f>
        <v>0</v>
      </c>
      <c r="AB107" s="445">
        <f t="shared" si="178"/>
        <v>57.868502635190005</v>
      </c>
      <c r="AC107" s="251">
        <f t="shared" si="179"/>
        <v>0</v>
      </c>
      <c r="AD107" s="446">
        <f t="shared" si="180"/>
        <v>0</v>
      </c>
      <c r="AE107" s="262"/>
      <c r="AU107" s="260"/>
      <c r="AZ107" s="252"/>
    </row>
    <row r="108" spans="2:52" ht="15" customHeight="1">
      <c r="B108" s="227" t="str">
        <f t="shared" ref="B108:G108" si="185">B68</f>
        <v>RHTUMWPEE1</v>
      </c>
      <c r="C108" s="227" t="str">
        <f t="shared" si="185"/>
        <v>Residential Heating Technology Urban Multi - Wood pellets - Existing 1</v>
      </c>
      <c r="D108" s="227" t="str">
        <f t="shared" si="185"/>
        <v>Urban</v>
      </c>
      <c r="E108" s="227" t="str">
        <f t="shared" si="185"/>
        <v>Multi storey</v>
      </c>
      <c r="F108" s="227" t="str">
        <f t="shared" si="185"/>
        <v>RESWPE</v>
      </c>
      <c r="G108" s="227" t="str">
        <f t="shared" si="185"/>
        <v>RESHUMB</v>
      </c>
      <c r="H108" s="230">
        <v>2018</v>
      </c>
      <c r="I108" s="250">
        <f t="shared" si="182"/>
        <v>0</v>
      </c>
      <c r="J108" s="250">
        <f t="shared" si="183"/>
        <v>0</v>
      </c>
      <c r="K108" s="250">
        <f t="shared" si="184"/>
        <v>0</v>
      </c>
      <c r="L108" s="462">
        <v>0.61</v>
      </c>
      <c r="M108" s="462">
        <v>0.61</v>
      </c>
      <c r="N108" s="462">
        <v>0.61</v>
      </c>
      <c r="O108" s="244">
        <f t="shared" ref="O108:O125" si="186">31.536/1000</f>
        <v>3.1536000000000002E-2</v>
      </c>
      <c r="P108" s="460">
        <v>0.2</v>
      </c>
      <c r="Q108" s="245">
        <v>20</v>
      </c>
      <c r="R108" s="227">
        <v>2</v>
      </c>
      <c r="T108" s="268">
        <f t="shared" si="106"/>
        <v>0</v>
      </c>
      <c r="U108" s="268"/>
      <c r="V108" s="602" t="s">
        <v>206</v>
      </c>
      <c r="W108" s="254" t="s">
        <v>896</v>
      </c>
      <c r="X108" s="246">
        <v>2018</v>
      </c>
      <c r="Y108" s="434">
        <f>_xlfn.IFNA(INDEX('Data manipulation'!$C$23:$O$39,MATCH($V108,'Data manipulation'!$B$23:$B$39,0),MATCH($X108,'Data manipulation'!$C$22:$O$22,0))/1000,0)*SUMIFS('Regional split'!$F$4:$F$6,'Regional split'!$B$4:$B$6,Y$3)*SUMIFS('Data manipulation'!$V$39:$V$42,'Data manipulation'!$X$39:$X$42,$E108,'Data manipulation'!$Y$39:$Y$42,$D108)</f>
        <v>0</v>
      </c>
      <c r="Z108" s="270">
        <f>_xlfn.IFNA(INDEX('Data manipulation'!$C$23:$O$39,MATCH($V108,'Data manipulation'!$B$23:$B$39,0),MATCH($X108,'Data manipulation'!$C$22:$O$22,0))/1000,0)*SUMIFS('Regional split'!$F$4:$F$6,'Regional split'!$B$4:$B$6,Z$3)*SUMIFS('Data manipulation'!$V$39:$V$42,'Data manipulation'!$X$39:$X$42,$E108,'Data manipulation'!$Y$39:$Y$42,$D108)</f>
        <v>0</v>
      </c>
      <c r="AA108" s="456">
        <f>_xlfn.IFNA(INDEX('Data manipulation'!$C$23:$O$39,MATCH($V108,'Data manipulation'!$B$23:$B$39,0),MATCH($X108,'Data manipulation'!$C$22:$O$22,0))/1000,0)*SUMIFS('Regional split'!$F$4:$F$6,'Regional split'!$B$4:$B$6,AA$3)*SUMIFS('Data manipulation'!$V$39:$V$42,'Data manipulation'!$X$39:$X$42,$E108,'Data manipulation'!$Y$39:$Y$42,$D108)</f>
        <v>0</v>
      </c>
      <c r="AB108" s="445">
        <f t="shared" si="178"/>
        <v>0</v>
      </c>
      <c r="AC108" s="251">
        <f t="shared" si="179"/>
        <v>0</v>
      </c>
      <c r="AD108" s="446">
        <f t="shared" si="180"/>
        <v>0</v>
      </c>
      <c r="AE108" s="262"/>
      <c r="AU108" s="260"/>
      <c r="AZ108" s="252"/>
    </row>
    <row r="109" spans="2:52" ht="15" customHeight="1">
      <c r="B109" s="227" t="str">
        <f t="shared" ref="B109:G109" si="187">B69</f>
        <v>RHTUMFIWE1</v>
      </c>
      <c r="C109" s="227" t="str">
        <f t="shared" si="187"/>
        <v>Residential Heating Technology Urban Multi - Fire wood - Existing 1</v>
      </c>
      <c r="D109" s="227" t="str">
        <f t="shared" si="187"/>
        <v>Urban</v>
      </c>
      <c r="E109" s="227" t="str">
        <f t="shared" si="187"/>
        <v>Multi storey</v>
      </c>
      <c r="F109" s="227" t="str">
        <f t="shared" si="187"/>
        <v>RESFIW</v>
      </c>
      <c r="G109" s="227" t="str">
        <f t="shared" si="187"/>
        <v>RESHUMB</v>
      </c>
      <c r="H109" s="230">
        <v>2018</v>
      </c>
      <c r="I109" s="250">
        <f t="shared" si="182"/>
        <v>10678.7</v>
      </c>
      <c r="J109" s="250">
        <f t="shared" si="183"/>
        <v>0</v>
      </c>
      <c r="K109" s="250">
        <f t="shared" si="184"/>
        <v>0</v>
      </c>
      <c r="L109" s="462">
        <v>0.65000022993955098</v>
      </c>
      <c r="M109" s="462">
        <v>0.65000022993955098</v>
      </c>
      <c r="N109" s="462">
        <v>0.65000022993955098</v>
      </c>
      <c r="O109" s="244">
        <f t="shared" si="186"/>
        <v>3.1536000000000002E-2</v>
      </c>
      <c r="P109" s="460">
        <v>0.2</v>
      </c>
      <c r="Q109" s="245">
        <v>20</v>
      </c>
      <c r="R109" s="227">
        <v>2</v>
      </c>
      <c r="T109" s="268">
        <f t="shared" si="106"/>
        <v>103.61949663658383</v>
      </c>
      <c r="U109" s="268"/>
      <c r="V109" s="602" t="str">
        <f>'Data manipulation'!$B$31</f>
        <v>Primary solid biofuels</v>
      </c>
      <c r="W109" s="254" t="s">
        <v>196</v>
      </c>
      <c r="X109" s="246">
        <v>2018</v>
      </c>
      <c r="Y109" s="434">
        <f>_xlfn.IFNA(INDEX('Data manipulation'!$C$23:$O$39,MATCH($V109,'Data manipulation'!$B$23:$B$39,0),MATCH($X109,'Data manipulation'!$C$22:$O$22,0))/1000,0)*SUMIFS('Regional split'!$F$4:$F$6,'Regional split'!$B$4:$B$6,Y$3)*SUMIFS('Data manipulation'!$V$39:$V$42,'Data manipulation'!$X$39:$X$42,$E109,'Data manipulation'!$Y$39:$Y$42,$D109)</f>
        <v>51.809565274999997</v>
      </c>
      <c r="Z109" s="270">
        <f>_xlfn.IFNA(INDEX('Data manipulation'!$C$23:$O$39,MATCH($V109,'Data manipulation'!$B$23:$B$39,0),MATCH($X109,'Data manipulation'!$C$22:$O$22,0))/1000,0)*SUMIFS('Regional split'!$F$4:$F$6,'Regional split'!$B$4:$B$6,Z$3)*SUMIFS('Data manipulation'!$V$39:$V$42,'Data manipulation'!$X$39:$X$42,$E109,'Data manipulation'!$Y$39:$Y$42,$D109)</f>
        <v>0</v>
      </c>
      <c r="AA109" s="456">
        <f>_xlfn.IFNA(INDEX('Data manipulation'!$C$23:$O$39,MATCH($V109,'Data manipulation'!$B$23:$B$39,0),MATCH($X109,'Data manipulation'!$C$22:$O$22,0))/1000,0)*SUMIFS('Regional split'!$F$4:$F$6,'Regional split'!$B$4:$B$6,AA$3)*SUMIFS('Data manipulation'!$V$39:$V$42,'Data manipulation'!$X$39:$X$42,$E109,'Data manipulation'!$Y$39:$Y$42,$D109)</f>
        <v>0</v>
      </c>
      <c r="AB109" s="445">
        <f t="shared" si="178"/>
        <v>33.676229341818171</v>
      </c>
      <c r="AC109" s="251">
        <f t="shared" si="179"/>
        <v>0</v>
      </c>
      <c r="AD109" s="446">
        <f t="shared" si="180"/>
        <v>0</v>
      </c>
      <c r="AE109" s="262"/>
      <c r="AU109" s="260"/>
      <c r="AZ109" s="252"/>
    </row>
    <row r="110" spans="2:52" ht="15" customHeight="1">
      <c r="B110" s="233" t="str">
        <f t="shared" ref="B110:G110" si="188">B70</f>
        <v>RHTUMCOAE1</v>
      </c>
      <c r="C110" s="233" t="str">
        <f t="shared" si="188"/>
        <v>Residential Heating Technology Urban Multi - Coal - Existing 1</v>
      </c>
      <c r="D110" s="233" t="str">
        <f t="shared" si="188"/>
        <v>Urban</v>
      </c>
      <c r="E110" s="233" t="str">
        <f t="shared" si="188"/>
        <v>Multi storey</v>
      </c>
      <c r="F110" s="233" t="str">
        <f t="shared" si="188"/>
        <v>RESCOA</v>
      </c>
      <c r="G110" s="233" t="str">
        <f t="shared" si="188"/>
        <v>RESHUMB</v>
      </c>
      <c r="H110" s="230">
        <v>2018</v>
      </c>
      <c r="I110" s="250">
        <f t="shared" si="182"/>
        <v>1130.5</v>
      </c>
      <c r="J110" s="250">
        <f t="shared" si="183"/>
        <v>0</v>
      </c>
      <c r="K110" s="250">
        <f t="shared" si="184"/>
        <v>0</v>
      </c>
      <c r="L110" s="462">
        <v>0.7</v>
      </c>
      <c r="M110" s="462">
        <v>0.7</v>
      </c>
      <c r="N110" s="462">
        <v>0.7</v>
      </c>
      <c r="O110" s="244">
        <f t="shared" si="186"/>
        <v>3.1536000000000002E-2</v>
      </c>
      <c r="P110" s="460">
        <v>0.2</v>
      </c>
      <c r="Q110" s="245">
        <v>20</v>
      </c>
      <c r="R110" s="227">
        <v>2</v>
      </c>
      <c r="T110" s="268">
        <f t="shared" si="106"/>
        <v>10.186128000000002</v>
      </c>
      <c r="U110" s="268"/>
      <c r="V110" s="602" t="str">
        <f>'Data manipulation'!$B$23</f>
        <v>Solid fossil fuels, peat, peat products, oil shale and oil sands</v>
      </c>
      <c r="W110" s="254" t="s">
        <v>893</v>
      </c>
      <c r="X110" s="246">
        <v>2018</v>
      </c>
      <c r="Y110" s="434">
        <f>_xlfn.IFNA(INDEX('Data manipulation'!$C$23:$O$39,MATCH($V110,'Data manipulation'!$B$23:$B$39,0),MATCH($X110,'Data manipulation'!$C$22:$O$22,0))/1000,0)*SUMIFS('Regional split'!$F$4:$F$6,'Regional split'!$B$4:$B$6,Y$3)*SUMIFS('Data manipulation'!$V$39:$V$42,'Data manipulation'!$X$39:$X$42,$E110,'Data manipulation'!$Y$39:$Y$42,$D110)</f>
        <v>5.0929285679999996</v>
      </c>
      <c r="Z110" s="270">
        <f>_xlfn.IFNA(INDEX('Data manipulation'!$C$23:$O$39,MATCH($V110,'Data manipulation'!$B$23:$B$39,0),MATCH($X110,'Data manipulation'!$C$22:$O$22,0))/1000,0)*SUMIFS('Regional split'!$F$4:$F$6,'Regional split'!$B$4:$B$6,Z$3)*SUMIFS('Data manipulation'!$V$39:$V$42,'Data manipulation'!$X$39:$X$42,$E110,'Data manipulation'!$Y$39:$Y$42,$D110)</f>
        <v>0</v>
      </c>
      <c r="AA110" s="456">
        <f>_xlfn.IFNA(INDEX('Data manipulation'!$C$23:$O$39,MATCH($V110,'Data manipulation'!$B$23:$B$39,0),MATCH($X110,'Data manipulation'!$C$22:$O$22,0))/1000,0)*SUMIFS('Regional split'!$F$4:$F$6,'Regional split'!$B$4:$B$6,AA$3)*SUMIFS('Data manipulation'!$V$39:$V$42,'Data manipulation'!$X$39:$X$42,$E110,'Data manipulation'!$Y$39:$Y$42,$D110)</f>
        <v>0</v>
      </c>
      <c r="AB110" s="445">
        <f t="shared" si="178"/>
        <v>3.5650499975999996</v>
      </c>
      <c r="AC110" s="251">
        <f t="shared" si="179"/>
        <v>0</v>
      </c>
      <c r="AD110" s="446">
        <f t="shared" si="180"/>
        <v>0</v>
      </c>
      <c r="AE110" s="262"/>
      <c r="AU110" s="260"/>
      <c r="AZ110" s="252"/>
    </row>
    <row r="111" spans="2:52" ht="15" customHeight="1">
      <c r="B111" s="233" t="str">
        <f t="shared" ref="B111:G111" si="189">B71</f>
        <v>RHTUMSOLE1</v>
      </c>
      <c r="C111" s="233" t="str">
        <f t="shared" si="189"/>
        <v>Residential Heating Technology Urban Multi - Solar - Existing 1</v>
      </c>
      <c r="D111" s="233" t="str">
        <f t="shared" si="189"/>
        <v>Urban</v>
      </c>
      <c r="E111" s="233" t="str">
        <f t="shared" si="189"/>
        <v>Multi storey</v>
      </c>
      <c r="F111" s="233" t="str">
        <f t="shared" si="189"/>
        <v>RESSOL</v>
      </c>
      <c r="G111" s="233" t="str">
        <f t="shared" si="189"/>
        <v>RESHUMB</v>
      </c>
      <c r="H111" s="230">
        <v>2018</v>
      </c>
      <c r="I111" s="250">
        <f t="shared" si="182"/>
        <v>313.5</v>
      </c>
      <c r="J111" s="250">
        <f t="shared" si="183"/>
        <v>0</v>
      </c>
      <c r="K111" s="250">
        <f t="shared" si="184"/>
        <v>0</v>
      </c>
      <c r="L111" s="462">
        <v>1</v>
      </c>
      <c r="M111" s="462">
        <v>1</v>
      </c>
      <c r="N111" s="462">
        <v>1</v>
      </c>
      <c r="O111" s="244">
        <f t="shared" si="186"/>
        <v>3.1536000000000002E-2</v>
      </c>
      <c r="P111" s="460">
        <v>0.2</v>
      </c>
      <c r="Q111" s="245">
        <v>20</v>
      </c>
      <c r="R111" s="227">
        <v>2</v>
      </c>
      <c r="T111" s="268">
        <f t="shared" si="106"/>
        <v>1.9773072000000003</v>
      </c>
      <c r="U111" s="268"/>
      <c r="V111" s="602" t="str">
        <f>'Data manipulation'!$B$29</f>
        <v>Solar thermal</v>
      </c>
      <c r="W111" s="254" t="s">
        <v>188</v>
      </c>
      <c r="X111" s="246">
        <v>2018</v>
      </c>
      <c r="Y111" s="434">
        <f>_xlfn.IFNA(INDEX('Data manipulation'!$C$23:$O$39,MATCH($V111,'Data manipulation'!$B$23:$B$39,0),MATCH($X111,'Data manipulation'!$C$22:$O$22,0))/1000,0)*SUMIFS('Regional split'!$F$4:$F$6,'Regional split'!$B$4:$B$6,Y$3)*SUMIFS('Data manipulation'!$V$39:$V$42,'Data manipulation'!$X$39:$X$42,$E111,'Data manipulation'!$Y$39:$Y$42,$D111)</f>
        <v>0.98863577800000002</v>
      </c>
      <c r="Z111" s="270">
        <f>_xlfn.IFNA(INDEX('Data manipulation'!$C$23:$O$39,MATCH($V111,'Data manipulation'!$B$23:$B$39,0),MATCH($X111,'Data manipulation'!$C$22:$O$22,0))/1000,0)*SUMIFS('Regional split'!$F$4:$F$6,'Regional split'!$B$4:$B$6,Z$3)*SUMIFS('Data manipulation'!$V$39:$V$42,'Data manipulation'!$X$39:$X$42,$E111,'Data manipulation'!$Y$39:$Y$42,$D111)</f>
        <v>0</v>
      </c>
      <c r="AA111" s="456">
        <f>_xlfn.IFNA(INDEX('Data manipulation'!$C$23:$O$39,MATCH($V111,'Data manipulation'!$B$23:$B$39,0),MATCH($X111,'Data manipulation'!$C$22:$O$22,0))/1000,0)*SUMIFS('Regional split'!$F$4:$F$6,'Regional split'!$B$4:$B$6,AA$3)*SUMIFS('Data manipulation'!$V$39:$V$42,'Data manipulation'!$X$39:$X$42,$E111,'Data manipulation'!$Y$39:$Y$42,$D111)</f>
        <v>0</v>
      </c>
      <c r="AB111" s="445">
        <f t="shared" si="178"/>
        <v>0.98863577800000002</v>
      </c>
      <c r="AC111" s="251">
        <f t="shared" si="179"/>
        <v>0</v>
      </c>
      <c r="AD111" s="446">
        <f t="shared" si="180"/>
        <v>0</v>
      </c>
      <c r="AE111" s="262"/>
      <c r="AU111" s="260"/>
      <c r="AZ111" s="252"/>
    </row>
    <row r="112" spans="2:52" ht="15" customHeight="1">
      <c r="B112" s="233" t="str">
        <f t="shared" ref="B112:G112" si="190">B72</f>
        <v>RHTUMELCHE1</v>
      </c>
      <c r="C112" s="233" t="str">
        <f t="shared" si="190"/>
        <v>Residential Heating Technology Urban Multi - Electricity Heating - Existing 1</v>
      </c>
      <c r="D112" s="233" t="str">
        <f t="shared" si="190"/>
        <v>Urban</v>
      </c>
      <c r="E112" s="233" t="str">
        <f t="shared" si="190"/>
        <v>Multi storey</v>
      </c>
      <c r="F112" s="233" t="str">
        <f t="shared" si="190"/>
        <v>RESELCH</v>
      </c>
      <c r="G112" s="233" t="str">
        <f t="shared" si="190"/>
        <v>RESHUMB</v>
      </c>
      <c r="H112" s="230">
        <v>2018</v>
      </c>
      <c r="I112" s="250">
        <f t="shared" si="182"/>
        <v>2101.2999999999997</v>
      </c>
      <c r="J112" s="250">
        <f t="shared" si="183"/>
        <v>0</v>
      </c>
      <c r="K112" s="250">
        <f t="shared" si="184"/>
        <v>0</v>
      </c>
      <c r="L112" s="462">
        <v>1</v>
      </c>
      <c r="M112" s="462">
        <v>1</v>
      </c>
      <c r="N112" s="462">
        <v>1</v>
      </c>
      <c r="O112" s="244">
        <f t="shared" si="186"/>
        <v>3.1536000000000002E-2</v>
      </c>
      <c r="P112" s="460">
        <v>0.2</v>
      </c>
      <c r="Q112" s="245">
        <v>30</v>
      </c>
      <c r="R112" s="227">
        <v>2</v>
      </c>
      <c r="T112" s="268">
        <f t="shared" si="106"/>
        <v>13.253319359999999</v>
      </c>
      <c r="U112" s="268"/>
      <c r="V112" s="602" t="str">
        <f>'Data manipulation'!$B$33</f>
        <v>Electricity</v>
      </c>
      <c r="W112" s="254" t="s">
        <v>189</v>
      </c>
      <c r="X112" s="246">
        <v>2018</v>
      </c>
      <c r="Y112" s="434">
        <f>_xlfn.IFNA(INDEX('Data manipulation'!$C$23:$O$39,MATCH($V112,'Data manipulation'!$B$23:$B$39,0),MATCH($X112,'Data manipulation'!$C$22:$O$22,0))/1000,0)*SUMIFS('Regional split'!$F$4:$F$6,'Regional split'!$B$4:$B$6,Y$3)*SUMIFS('Data manipulation'!$V$39:$V$42,'Data manipulation'!$X$39:$X$42,$E112,'Data manipulation'!$Y$39:$Y$42,$D112)</f>
        <v>6.6265041440000001</v>
      </c>
      <c r="Z112" s="270">
        <f>_xlfn.IFNA(INDEX('Data manipulation'!$C$23:$O$39,MATCH($V112,'Data manipulation'!$B$23:$B$39,0),MATCH($X112,'Data manipulation'!$C$22:$O$22,0))/1000,0)*SUMIFS('Regional split'!$F$4:$F$6,'Regional split'!$B$4:$B$6,Z$3)*SUMIFS('Data manipulation'!$V$39:$V$42,'Data manipulation'!$X$39:$X$42,$E112,'Data manipulation'!$Y$39:$Y$42,$D112)</f>
        <v>0</v>
      </c>
      <c r="AA112" s="456">
        <f>_xlfn.IFNA(INDEX('Data manipulation'!$C$23:$O$39,MATCH($V112,'Data manipulation'!$B$23:$B$39,0),MATCH($X112,'Data manipulation'!$C$22:$O$22,0))/1000,0)*SUMIFS('Regional split'!$F$4:$F$6,'Regional split'!$B$4:$B$6,AA$3)*SUMIFS('Data manipulation'!$V$39:$V$42,'Data manipulation'!$X$39:$X$42,$E112,'Data manipulation'!$Y$39:$Y$42,$D112)</f>
        <v>0</v>
      </c>
      <c r="AB112" s="445">
        <f t="shared" si="178"/>
        <v>6.6265041440000001</v>
      </c>
      <c r="AC112" s="251">
        <f t="shared" si="179"/>
        <v>0</v>
      </c>
      <c r="AD112" s="446">
        <f t="shared" si="180"/>
        <v>0</v>
      </c>
      <c r="AU112" s="260"/>
      <c r="AZ112" s="252"/>
    </row>
    <row r="113" spans="2:52" ht="15" customHeight="1">
      <c r="B113" s="233" t="str">
        <f t="shared" ref="B113:G113" si="191">B73</f>
        <v>RHTUMELCHE2</v>
      </c>
      <c r="C113" s="233" t="str">
        <f t="shared" si="191"/>
        <v>Residential Heating Technology Urban Multi - Electricity Heating - Existing 2</v>
      </c>
      <c r="D113" s="233" t="str">
        <f t="shared" si="191"/>
        <v>Urban</v>
      </c>
      <c r="E113" s="233" t="str">
        <f t="shared" si="191"/>
        <v>Multi storey</v>
      </c>
      <c r="F113" s="233" t="str">
        <f t="shared" si="191"/>
        <v>RESELCH</v>
      </c>
      <c r="G113" s="233" t="str">
        <f t="shared" si="191"/>
        <v>RESHUMB</v>
      </c>
      <c r="H113" s="230">
        <v>2018</v>
      </c>
      <c r="I113" s="250">
        <f t="shared" si="182"/>
        <v>7335.9000000000005</v>
      </c>
      <c r="J113" s="250">
        <f t="shared" si="183"/>
        <v>0</v>
      </c>
      <c r="K113" s="250">
        <f t="shared" si="184"/>
        <v>0</v>
      </c>
      <c r="L113" s="462">
        <v>2.3149999999999999</v>
      </c>
      <c r="M113" s="462">
        <v>2.3149999999999999</v>
      </c>
      <c r="N113" s="462">
        <v>2.3149999999999999</v>
      </c>
      <c r="O113" s="244">
        <f t="shared" si="186"/>
        <v>3.1536000000000002E-2</v>
      </c>
      <c r="P113" s="460">
        <v>0.2</v>
      </c>
      <c r="Q113" s="245">
        <v>30</v>
      </c>
      <c r="R113" s="227">
        <v>2</v>
      </c>
      <c r="T113" s="268">
        <f t="shared" si="106"/>
        <v>19.986604095032401</v>
      </c>
      <c r="U113" s="268"/>
      <c r="V113" s="602" t="str">
        <f>'Data manipulation'!$B$30</f>
        <v>Ambient heat (heat pumps)</v>
      </c>
      <c r="W113" s="254" t="s">
        <v>190</v>
      </c>
      <c r="X113" s="246">
        <v>2018</v>
      </c>
      <c r="Y113" s="434">
        <f>_xlfn.IFNA(INDEX('Data manipulation'!$C$23:$O$39,MATCH($V113,'Data manipulation'!$B$23:$B$39,0),MATCH($X113,'Data manipulation'!$C$22:$O$22,0))/1000,0)*SUMIFS('Regional split'!$F$4:$F$6,'Regional split'!$B$4:$B$6,Y$3)*SUMIFS('Data manipulation'!$V$39:$V$42,'Data manipulation'!$X$39:$X$42,$E113,'Data manipulation'!$Y$39:$Y$42,$D113)</f>
        <v>9.9932741999999983</v>
      </c>
      <c r="Z113" s="270">
        <f>_xlfn.IFNA(INDEX('Data manipulation'!$C$23:$O$39,MATCH($V113,'Data manipulation'!$B$23:$B$39,0),MATCH($X113,'Data manipulation'!$C$22:$O$22,0))/1000,0)*SUMIFS('Regional split'!$F$4:$F$6,'Regional split'!$B$4:$B$6,Z$3)*SUMIFS('Data manipulation'!$V$39:$V$42,'Data manipulation'!$X$39:$X$42,$E113,'Data manipulation'!$Y$39:$Y$42,$D113)</f>
        <v>0</v>
      </c>
      <c r="AA113" s="456">
        <f>_xlfn.IFNA(INDEX('Data manipulation'!$C$23:$O$39,MATCH($V113,'Data manipulation'!$B$23:$B$39,0),MATCH($X113,'Data manipulation'!$C$22:$O$22,0))/1000,0)*SUMIFS('Regional split'!$F$4:$F$6,'Regional split'!$B$4:$B$6,AA$3)*SUMIFS('Data manipulation'!$V$39:$V$42,'Data manipulation'!$X$39:$X$42,$E113,'Data manipulation'!$Y$39:$Y$42,$D113)</f>
        <v>0</v>
      </c>
      <c r="AB113" s="445">
        <f t="shared" si="178"/>
        <v>23.134429772999997</v>
      </c>
      <c r="AC113" s="251">
        <f t="shared" si="179"/>
        <v>0</v>
      </c>
      <c r="AD113" s="446">
        <f t="shared" si="180"/>
        <v>0</v>
      </c>
      <c r="AU113" s="260"/>
      <c r="AZ113" s="252"/>
    </row>
    <row r="114" spans="2:52" ht="15" customHeight="1">
      <c r="B114" s="233" t="str">
        <f t="shared" ref="B114:G114" si="192">B74</f>
        <v>RHTUMHCEE1</v>
      </c>
      <c r="C114" s="233" t="str">
        <f t="shared" si="192"/>
        <v>Residential Heating Technology Urban Multi - District heating Central - Existing 1</v>
      </c>
      <c r="D114" s="233" t="str">
        <f t="shared" si="192"/>
        <v>Urban</v>
      </c>
      <c r="E114" s="233" t="str">
        <f t="shared" si="192"/>
        <v>Multi storey</v>
      </c>
      <c r="F114" s="233" t="str">
        <f t="shared" si="192"/>
        <v>RESHCE</v>
      </c>
      <c r="G114" s="233" t="str">
        <f t="shared" si="192"/>
        <v>RESHUMX</v>
      </c>
      <c r="H114" s="230">
        <v>2018</v>
      </c>
      <c r="I114" s="250">
        <f t="shared" si="182"/>
        <v>10360</v>
      </c>
      <c r="J114" s="572">
        <v>0</v>
      </c>
      <c r="K114" s="572">
        <v>0</v>
      </c>
      <c r="L114" s="462">
        <v>0.95</v>
      </c>
      <c r="M114" s="462">
        <v>0.95</v>
      </c>
      <c r="N114" s="462">
        <v>0.95</v>
      </c>
      <c r="O114" s="244">
        <f t="shared" si="186"/>
        <v>3.1536000000000002E-2</v>
      </c>
      <c r="P114" s="460">
        <v>0.2</v>
      </c>
      <c r="Q114" s="245">
        <v>30</v>
      </c>
      <c r="R114" s="227">
        <v>2</v>
      </c>
      <c r="T114" s="268">
        <f t="shared" si="106"/>
        <v>68.781675789473695</v>
      </c>
      <c r="U114" s="268"/>
      <c r="V114" s="602" t="str">
        <f>'Data manipulation'!$B$34</f>
        <v>Heat</v>
      </c>
      <c r="W114" s="254" t="s">
        <v>191</v>
      </c>
      <c r="X114" s="246">
        <v>2018</v>
      </c>
      <c r="Y114" s="434">
        <f>_xlfn.IFNA(INDEX('Data manipulation'!$C$23:$O$39,MATCH($V114,'Data manipulation'!$B$23:$B$39,0),MATCH($X114,'Data manipulation'!$C$22:$O$22,0))/1000,0)*SUMIFS('Regional split'!$F$4:$F$6,'Regional split'!$B$4:$B$6,Y$3)*SUMIFS('Data manipulation'!$V$39:$V$42,'Data manipulation'!$X$39:$X$42,$E114,'Data manipulation'!$Y$39:$Y$42,$D114)</f>
        <v>34.390802446000002</v>
      </c>
      <c r="Z114" s="270">
        <f>_xlfn.IFNA(INDEX('Data manipulation'!$C$23:$O$39,MATCH($V114,'Data manipulation'!$B$23:$B$39,0),MATCH($X114,'Data manipulation'!$C$22:$O$22,0))/1000,0)*SUMIFS('Regional split'!$F$4:$F$6,'Regional split'!$B$4:$B$6,Z$3)*SUMIFS('Data manipulation'!$V$39:$V$42,'Data manipulation'!$X$39:$X$42,$E114,'Data manipulation'!$Y$39:$Y$42,$D114)</f>
        <v>0</v>
      </c>
      <c r="AA114" s="456">
        <f>_xlfn.IFNA(INDEX('Data manipulation'!$C$23:$O$39,MATCH($V114,'Data manipulation'!$B$23:$B$39,0),MATCH($X114,'Data manipulation'!$C$22:$O$22,0))/1000,0)*SUMIFS('Regional split'!$F$4:$F$6,'Regional split'!$B$4:$B$6,AA$3)*SUMIFS('Data manipulation'!$V$39:$V$42,'Data manipulation'!$X$39:$X$42,$E114,'Data manipulation'!$Y$39:$Y$42,$D114)</f>
        <v>0</v>
      </c>
      <c r="AB114" s="445">
        <f t="shared" si="178"/>
        <v>32.671262323699999</v>
      </c>
      <c r="AC114" s="251">
        <f t="shared" si="179"/>
        <v>0</v>
      </c>
      <c r="AD114" s="446">
        <f t="shared" si="180"/>
        <v>0</v>
      </c>
      <c r="AU114" s="260"/>
      <c r="AZ114" s="252"/>
    </row>
    <row r="115" spans="2:52" ht="15" customHeight="1" thickBot="1">
      <c r="B115" s="255" t="str">
        <f t="shared" ref="B115:G115" si="193">B75</f>
        <v>RHTUMLPGE1</v>
      </c>
      <c r="C115" s="255" t="str">
        <f t="shared" si="193"/>
        <v>Residential Heating Technology Urban Multi - LPG - Existing 1</v>
      </c>
      <c r="D115" s="535" t="str">
        <f t="shared" si="193"/>
        <v>Urban</v>
      </c>
      <c r="E115" s="535" t="str">
        <f t="shared" si="193"/>
        <v>Multi storey</v>
      </c>
      <c r="F115" s="255" t="str">
        <f t="shared" si="193"/>
        <v>RESLPG</v>
      </c>
      <c r="G115" s="255" t="str">
        <f t="shared" si="193"/>
        <v>RESHUMB</v>
      </c>
      <c r="H115" s="423">
        <v>2018</v>
      </c>
      <c r="I115" s="250">
        <f t="shared" si="182"/>
        <v>2291.1999999999998</v>
      </c>
      <c r="J115" s="297">
        <f t="shared" ref="J115" si="194">ROUNDUP(AC115/($O115*$P115)*$R115,1)</f>
        <v>0</v>
      </c>
      <c r="K115" s="297">
        <f t="shared" ref="K115" si="195">ROUNDUP(AD115/($O115*$P115)*$R115,1)</f>
        <v>0</v>
      </c>
      <c r="L115" s="463">
        <v>0.95</v>
      </c>
      <c r="M115" s="463">
        <v>0.95</v>
      </c>
      <c r="N115" s="463">
        <v>0.95</v>
      </c>
      <c r="O115" s="257">
        <f t="shared" si="186"/>
        <v>3.1536000000000002E-2</v>
      </c>
      <c r="P115" s="460">
        <v>0.2</v>
      </c>
      <c r="Q115" s="258">
        <v>30</v>
      </c>
      <c r="R115" s="227">
        <v>2</v>
      </c>
      <c r="T115" s="268">
        <f t="shared" si="106"/>
        <v>15.211638568421053</v>
      </c>
      <c r="U115" s="268"/>
      <c r="V115" s="602" t="str">
        <f>'Data manipulation'!$B$25</f>
        <v>Liquefied natural gas</v>
      </c>
      <c r="W115" s="428" t="s">
        <v>790</v>
      </c>
      <c r="X115" s="246">
        <v>2018</v>
      </c>
      <c r="Y115" s="435">
        <f>_xlfn.IFNA(INDEX('Data manipulation'!$C$23:$O$39,MATCH($V115,'Data manipulation'!$B$23:$B$39,0),MATCH($X115,'Data manipulation'!$C$22:$O$22,0))/1000,0)*SUMIFS('Regional split'!$F$4:$F$6,'Regional split'!$B$4:$B$6,Y$3)*SUMIFS('Data manipulation'!$V$39:$V$42,'Data manipulation'!$X$39:$X$42,$E115,'Data manipulation'!$Y$39:$Y$42,$D115)</f>
        <v>7.6057005699999998</v>
      </c>
      <c r="Z115" s="432">
        <f>_xlfn.IFNA(INDEX('Data manipulation'!$C$23:$O$39,MATCH($V115,'Data manipulation'!$B$23:$B$39,0),MATCH($X115,'Data manipulation'!$C$22:$O$22,0))/1000,0)*SUMIFS('Regional split'!$F$4:$F$6,'Regional split'!$B$4:$B$6,Z$3)*SUMIFS('Data manipulation'!$V$39:$V$42,'Data manipulation'!$X$39:$X$42,$E115,'Data manipulation'!$Y$39:$Y$42,$D115)</f>
        <v>0</v>
      </c>
      <c r="AA115" s="457">
        <f>_xlfn.IFNA(INDEX('Data manipulation'!$C$23:$O$39,MATCH($V115,'Data manipulation'!$B$23:$B$39,0),MATCH($X115,'Data manipulation'!$C$22:$O$22,0))/1000,0)*SUMIFS('Regional split'!$F$4:$F$6,'Regional split'!$B$4:$B$6,AA$3)*SUMIFS('Data manipulation'!$V$39:$V$42,'Data manipulation'!$X$39:$X$42,$E115,'Data manipulation'!$Y$39:$Y$42,$D115)</f>
        <v>0</v>
      </c>
      <c r="AB115" s="452">
        <f t="shared" si="178"/>
        <v>7.2254155414999994</v>
      </c>
      <c r="AC115" s="277">
        <f t="shared" si="179"/>
        <v>0</v>
      </c>
      <c r="AD115" s="448">
        <f t="shared" si="180"/>
        <v>0</v>
      </c>
      <c r="AU115" s="260"/>
      <c r="AZ115" s="252"/>
    </row>
    <row r="116" spans="2:52" ht="15" customHeight="1">
      <c r="B116" s="233" t="str">
        <f t="shared" ref="B116:G116" si="196">B76</f>
        <v>RHTRMNGAE1</v>
      </c>
      <c r="C116" s="233" t="str">
        <f t="shared" si="196"/>
        <v>Residential Heating Technology Rural Multi - Natural Gas - Existing 1</v>
      </c>
      <c r="D116" s="233" t="str">
        <f t="shared" si="196"/>
        <v>Rural</v>
      </c>
      <c r="E116" s="233" t="str">
        <f t="shared" si="196"/>
        <v>Multi storey</v>
      </c>
      <c r="F116" s="233" t="str">
        <f t="shared" si="196"/>
        <v>RESNGA,RESSNG</v>
      </c>
      <c r="G116" s="233" t="str">
        <f t="shared" si="196"/>
        <v>RESHRMB</v>
      </c>
      <c r="H116" s="259">
        <v>2018</v>
      </c>
      <c r="I116" s="250">
        <f>ROUNDUP(AB116/($O116*$P116)*$R116,1)</f>
        <v>2722.4</v>
      </c>
      <c r="J116" s="250">
        <f>ROUNDUP(AC116/($O116*$P116)*$R116,1)</f>
        <v>0</v>
      </c>
      <c r="K116" s="250">
        <f>ROUNDUP(AD116/($O116*$P116)*$R116,1)</f>
        <v>0</v>
      </c>
      <c r="L116" s="462">
        <v>0.79</v>
      </c>
      <c r="M116" s="462">
        <v>0.79</v>
      </c>
      <c r="N116" s="462">
        <v>0.79</v>
      </c>
      <c r="O116" s="244">
        <f t="shared" si="186"/>
        <v>3.1536000000000002E-2</v>
      </c>
      <c r="P116" s="460">
        <v>0.2</v>
      </c>
      <c r="Q116" s="245">
        <v>25</v>
      </c>
      <c r="R116" s="227">
        <v>2</v>
      </c>
      <c r="T116" s="268">
        <f t="shared" si="106"/>
        <v>21.735090227848104</v>
      </c>
      <c r="U116" s="268"/>
      <c r="V116" s="602" t="str">
        <f>'Data manipulation'!$B$36</f>
        <v>Natural gas, biogas and LNG</v>
      </c>
      <c r="W116" s="246" t="s">
        <v>187</v>
      </c>
      <c r="X116" s="246">
        <v>2018</v>
      </c>
      <c r="Y116" s="434">
        <f>_xlfn.IFNA(INDEX('Data manipulation'!$C$23:$O$39,MATCH($V116,'Data manipulation'!$B$23:$B$39,0),MATCH($X116,'Data manipulation'!$C$22:$O$22,0))/1000,0)*SUMIFS('Regional split'!$F$4:$F$6,'Regional split'!$B$4:$B$6,Y$3)*SUMIFS('Data manipulation'!$V$39:$V$42,'Data manipulation'!$X$39:$X$42,$E116,'Data manipulation'!$Y$39:$Y$42,$D116)</f>
        <v>10.867426584</v>
      </c>
      <c r="Z116" s="270">
        <f>_xlfn.IFNA(INDEX('Data manipulation'!$C$23:$O$39,MATCH($V116,'Data manipulation'!$B$23:$B$39,0),MATCH($X116,'Data manipulation'!$C$22:$O$22,0))/1000,0)*SUMIFS('Regional split'!$F$4:$F$6,'Regional split'!$B$4:$B$6,Z$3)*SUMIFS('Data manipulation'!$V$39:$V$42,'Data manipulation'!$X$39:$X$42,$E116,'Data manipulation'!$Y$39:$Y$42,$D116)</f>
        <v>0</v>
      </c>
      <c r="AA116" s="456">
        <f>_xlfn.IFNA(INDEX('Data manipulation'!$C$23:$O$39,MATCH($V116,'Data manipulation'!$B$23:$B$39,0),MATCH($X116,'Data manipulation'!$C$22:$O$22,0))/1000,0)*SUMIFS('Regional split'!$F$4:$F$6,'Regional split'!$B$4:$B$6,AA$3)*SUMIFS('Data manipulation'!$V$39:$V$42,'Data manipulation'!$X$39:$X$42,$E116,'Data manipulation'!$Y$39:$Y$42,$D116)</f>
        <v>0</v>
      </c>
      <c r="AB116" s="453">
        <f t="shared" si="178"/>
        <v>8.5852670013600001</v>
      </c>
      <c r="AC116" s="278">
        <f t="shared" si="179"/>
        <v>0</v>
      </c>
      <c r="AD116" s="449">
        <f t="shared" si="180"/>
        <v>0</v>
      </c>
      <c r="AU116" s="260"/>
      <c r="AZ116" s="252"/>
    </row>
    <row r="117" spans="2:52" ht="15" customHeight="1">
      <c r="B117" s="233" t="str">
        <f t="shared" ref="B117:G117" si="197">B77</f>
        <v>RHTRMDSLE1</v>
      </c>
      <c r="C117" s="233" t="str">
        <f t="shared" si="197"/>
        <v>Residential Heating Technology Rural Multi - Diesel - Existing 1</v>
      </c>
      <c r="D117" s="233" t="str">
        <f t="shared" si="197"/>
        <v>Rural</v>
      </c>
      <c r="E117" s="233" t="str">
        <f t="shared" si="197"/>
        <v>Multi storey</v>
      </c>
      <c r="F117" s="233" t="str">
        <f t="shared" si="197"/>
        <v>RESDSL,RESDSB</v>
      </c>
      <c r="G117" s="233" t="str">
        <f t="shared" si="197"/>
        <v>RESHRMB</v>
      </c>
      <c r="H117" s="259">
        <v>2018</v>
      </c>
      <c r="I117" s="250">
        <f t="shared" ref="I117:I123" si="198">ROUNDUP(AB117/($O117*$P117)*$R117,1)</f>
        <v>1157.3</v>
      </c>
      <c r="J117" s="250">
        <f t="shared" ref="J117:J123" si="199">ROUNDUP(AC117/($O117*$P117)*$R117,1)</f>
        <v>0</v>
      </c>
      <c r="K117" s="250">
        <f t="shared" ref="K117:K123" si="200">ROUNDUP(AD117/($O117*$P117)*$R117,1)</f>
        <v>0</v>
      </c>
      <c r="L117" s="462">
        <v>0.79</v>
      </c>
      <c r="M117" s="462">
        <v>0.79</v>
      </c>
      <c r="N117" s="462">
        <v>0.79</v>
      </c>
      <c r="O117" s="244">
        <f t="shared" si="186"/>
        <v>3.1536000000000002E-2</v>
      </c>
      <c r="P117" s="460">
        <v>0.2</v>
      </c>
      <c r="Q117" s="245">
        <v>20</v>
      </c>
      <c r="R117" s="227">
        <v>2</v>
      </c>
      <c r="T117" s="268">
        <f t="shared" si="106"/>
        <v>9.2396488101265817</v>
      </c>
      <c r="V117" s="602" t="str">
        <f>'Data manipulation'!$B$35</f>
        <v>Oil products</v>
      </c>
      <c r="W117" s="254" t="s">
        <v>749</v>
      </c>
      <c r="X117" s="246">
        <v>2018</v>
      </c>
      <c r="Y117" s="434">
        <f>_xlfn.IFNA(INDEX('Data manipulation'!$C$23:$O$39,MATCH($V117,'Data manipulation'!$B$23:$B$39,0),MATCH($X117,'Data manipulation'!$C$22:$O$22,0))/1000,0)*SUMIFS('Regional split'!$F$4:$F$6,'Regional split'!$B$4:$B$6,Y$3)*SUMIFS('Data manipulation'!$V$39:$V$42,'Data manipulation'!$X$39:$X$42,$E117,'Data manipulation'!$Y$39:$Y$42,$D117)</f>
        <v>4.619712818</v>
      </c>
      <c r="Z117" s="270">
        <f>_xlfn.IFNA(INDEX('Data manipulation'!$C$23:$O$39,MATCH($V117,'Data manipulation'!$B$23:$B$39,0),MATCH($X117,'Data manipulation'!$C$22:$O$22,0))/1000,0)*SUMIFS('Regional split'!$F$4:$F$6,'Regional split'!$B$4:$B$6,Z$3)*SUMIFS('Data manipulation'!$V$39:$V$42,'Data manipulation'!$X$39:$X$42,$E117,'Data manipulation'!$Y$39:$Y$42,$D117)</f>
        <v>0</v>
      </c>
      <c r="AA117" s="456">
        <f>_xlfn.IFNA(INDEX('Data manipulation'!$C$23:$O$39,MATCH($V117,'Data manipulation'!$B$23:$B$39,0),MATCH($X117,'Data manipulation'!$C$22:$O$22,0))/1000,0)*SUMIFS('Regional split'!$F$4:$F$6,'Regional split'!$B$4:$B$6,AA$3)*SUMIFS('Data manipulation'!$V$39:$V$42,'Data manipulation'!$X$39:$X$42,$E117,'Data manipulation'!$Y$39:$Y$42,$D117)</f>
        <v>0</v>
      </c>
      <c r="AB117" s="445">
        <f t="shared" si="178"/>
        <v>3.64957312622</v>
      </c>
      <c r="AC117" s="251">
        <f t="shared" si="179"/>
        <v>0</v>
      </c>
      <c r="AD117" s="446">
        <f t="shared" si="180"/>
        <v>0</v>
      </c>
      <c r="AU117" s="260"/>
      <c r="AZ117" s="252"/>
    </row>
    <row r="118" spans="2:52" ht="15" customHeight="1">
      <c r="B118" s="233" t="str">
        <f t="shared" ref="B118:G118" si="201">B78</f>
        <v>RHTRMWPEE1</v>
      </c>
      <c r="C118" s="233" t="str">
        <f t="shared" si="201"/>
        <v>Residential Heating Technology Rural Multi - Wood pellets - Existing 1</v>
      </c>
      <c r="D118" s="233" t="str">
        <f t="shared" si="201"/>
        <v>Rural</v>
      </c>
      <c r="E118" s="233" t="str">
        <f t="shared" si="201"/>
        <v>Multi storey</v>
      </c>
      <c r="F118" s="233" t="str">
        <f t="shared" si="201"/>
        <v>RESWPE</v>
      </c>
      <c r="G118" s="233" t="str">
        <f t="shared" si="201"/>
        <v>RESHRMB</v>
      </c>
      <c r="H118" s="259">
        <v>2018</v>
      </c>
      <c r="I118" s="250">
        <f t="shared" si="198"/>
        <v>0</v>
      </c>
      <c r="J118" s="250">
        <f t="shared" si="199"/>
        <v>0</v>
      </c>
      <c r="K118" s="250">
        <f t="shared" si="200"/>
        <v>0</v>
      </c>
      <c r="L118" s="462">
        <v>0.67</v>
      </c>
      <c r="M118" s="462">
        <v>0.67</v>
      </c>
      <c r="N118" s="462">
        <v>0.67</v>
      </c>
      <c r="O118" s="244">
        <f>31.536/1000</f>
        <v>3.1536000000000002E-2</v>
      </c>
      <c r="P118" s="460">
        <v>0.2</v>
      </c>
      <c r="Q118" s="245">
        <v>20</v>
      </c>
      <c r="R118" s="227">
        <v>2</v>
      </c>
      <c r="T118" s="268">
        <f t="shared" si="106"/>
        <v>0</v>
      </c>
      <c r="U118" s="268"/>
      <c r="V118" s="602" t="s">
        <v>206</v>
      </c>
      <c r="W118" s="254" t="s">
        <v>896</v>
      </c>
      <c r="X118" s="246">
        <v>2018</v>
      </c>
      <c r="Y118" s="434">
        <f>_xlfn.IFNA(INDEX('Data manipulation'!$C$23:$O$39,MATCH($V118,'Data manipulation'!$B$23:$B$39,0),MATCH($X118,'Data manipulation'!$C$22:$O$22,0))/1000,0)*SUMIFS('Regional split'!$F$4:$F$6,'Regional split'!$B$4:$B$6,Y$3)*SUMIFS('Data manipulation'!$V$39:$V$42,'Data manipulation'!$X$39:$X$42,$E118,'Data manipulation'!$Y$39:$Y$42,$D118)</f>
        <v>0</v>
      </c>
      <c r="Z118" s="270">
        <f>_xlfn.IFNA(INDEX('Data manipulation'!$C$23:$O$39,MATCH($V118,'Data manipulation'!$B$23:$B$39,0),MATCH($X118,'Data manipulation'!$C$22:$O$22,0))/1000,0)*SUMIFS('Regional split'!$F$4:$F$6,'Regional split'!$B$4:$B$6,Z$3)*SUMIFS('Data manipulation'!$V$39:$V$42,'Data manipulation'!$X$39:$X$42,$E118,'Data manipulation'!$Y$39:$Y$42,$D118)</f>
        <v>0</v>
      </c>
      <c r="AA118" s="456">
        <f>_xlfn.IFNA(INDEX('Data manipulation'!$C$23:$O$39,MATCH($V118,'Data manipulation'!$B$23:$B$39,0),MATCH($X118,'Data manipulation'!$C$22:$O$22,0))/1000,0)*SUMIFS('Regional split'!$F$4:$F$6,'Regional split'!$B$4:$B$6,AA$3)*SUMIFS('Data manipulation'!$V$39:$V$42,'Data manipulation'!$X$39:$X$42,$E118,'Data manipulation'!$Y$39:$Y$42,$D118)</f>
        <v>0</v>
      </c>
      <c r="AB118" s="445">
        <f t="shared" si="178"/>
        <v>0</v>
      </c>
      <c r="AC118" s="251">
        <f t="shared" si="179"/>
        <v>0</v>
      </c>
      <c r="AD118" s="446">
        <f t="shared" si="180"/>
        <v>0</v>
      </c>
      <c r="AU118" s="260"/>
      <c r="AZ118" s="252"/>
    </row>
    <row r="119" spans="2:52" ht="15" customHeight="1">
      <c r="B119" s="233" t="str">
        <f t="shared" ref="B119:G119" si="202">B79</f>
        <v>RHTRMFIWE1</v>
      </c>
      <c r="C119" s="233" t="str">
        <f t="shared" si="202"/>
        <v>Residential Heating Technology Rural Multi - Fire wood - Existing 1</v>
      </c>
      <c r="D119" s="233" t="str">
        <f t="shared" si="202"/>
        <v>Rural</v>
      </c>
      <c r="E119" s="233" t="str">
        <f t="shared" si="202"/>
        <v>Multi storey</v>
      </c>
      <c r="F119" s="233" t="str">
        <f t="shared" si="202"/>
        <v>RESFIW</v>
      </c>
      <c r="G119" s="233" t="str">
        <f t="shared" si="202"/>
        <v>RESHRMB</v>
      </c>
      <c r="H119" s="259">
        <v>2018</v>
      </c>
      <c r="I119" s="250">
        <f t="shared" si="198"/>
        <v>623.9</v>
      </c>
      <c r="J119" s="250">
        <f t="shared" si="199"/>
        <v>0</v>
      </c>
      <c r="K119" s="250">
        <f t="shared" si="200"/>
        <v>0</v>
      </c>
      <c r="L119" s="462">
        <v>0.67</v>
      </c>
      <c r="M119" s="462">
        <v>0.67</v>
      </c>
      <c r="N119" s="462">
        <v>0.67</v>
      </c>
      <c r="O119" s="244">
        <f>31.536/1000</f>
        <v>3.1536000000000002E-2</v>
      </c>
      <c r="P119" s="460">
        <v>0.2</v>
      </c>
      <c r="Q119" s="245">
        <v>20</v>
      </c>
      <c r="R119" s="227">
        <v>2</v>
      </c>
      <c r="T119" s="268">
        <f t="shared" si="106"/>
        <v>5.873226985074627</v>
      </c>
      <c r="U119" s="268"/>
      <c r="V119" s="602" t="str">
        <f>'Data manipulation'!$B$31</f>
        <v>Primary solid biofuels</v>
      </c>
      <c r="W119" s="254" t="s">
        <v>196</v>
      </c>
      <c r="X119" s="246">
        <v>2018</v>
      </c>
      <c r="Y119" s="434">
        <f>_xlfn.IFNA(INDEX('Data manipulation'!$C$23:$O$39,MATCH($V119,'Data manipulation'!$B$23:$B$39,0),MATCH($X119,'Data manipulation'!$C$22:$O$22,0))/1000,0)*SUMIFS('Regional split'!$F$4:$F$6,'Regional split'!$B$4:$B$6,Y$3)*SUMIFS('Data manipulation'!$V$39:$V$42,'Data manipulation'!$X$39:$X$42,$E119,'Data manipulation'!$Y$39:$Y$42,$D119)</f>
        <v>2.93657455</v>
      </c>
      <c r="Z119" s="270">
        <f>_xlfn.IFNA(INDEX('Data manipulation'!$C$23:$O$39,MATCH($V119,'Data manipulation'!$B$23:$B$39,0),MATCH($X119,'Data manipulation'!$C$22:$O$22,0))/1000,0)*SUMIFS('Regional split'!$F$4:$F$6,'Regional split'!$B$4:$B$6,Z$3)*SUMIFS('Data manipulation'!$V$39:$V$42,'Data manipulation'!$X$39:$X$42,$E119,'Data manipulation'!$Y$39:$Y$42,$D119)</f>
        <v>0</v>
      </c>
      <c r="AA119" s="456">
        <f>_xlfn.IFNA(INDEX('Data manipulation'!$C$23:$O$39,MATCH($V119,'Data manipulation'!$B$23:$B$39,0),MATCH($X119,'Data manipulation'!$C$22:$O$22,0))/1000,0)*SUMIFS('Regional split'!$F$4:$F$6,'Regional split'!$B$4:$B$6,AA$3)*SUMIFS('Data manipulation'!$V$39:$V$42,'Data manipulation'!$X$39:$X$42,$E119,'Data manipulation'!$Y$39:$Y$42,$D119)</f>
        <v>0</v>
      </c>
      <c r="AB119" s="445">
        <f t="shared" si="178"/>
        <v>1.9675049485</v>
      </c>
      <c r="AC119" s="251">
        <f t="shared" si="179"/>
        <v>0</v>
      </c>
      <c r="AD119" s="446">
        <f t="shared" si="180"/>
        <v>0</v>
      </c>
      <c r="AU119" s="260"/>
      <c r="AZ119" s="252"/>
    </row>
    <row r="120" spans="2:52" ht="15" customHeight="1">
      <c r="B120" s="233" t="str">
        <f t="shared" ref="B120:G120" si="203">B80</f>
        <v>RHTRMCOAE1</v>
      </c>
      <c r="C120" s="233" t="str">
        <f t="shared" si="203"/>
        <v>Residential Heating Technology Rural Multi - Coal - Existing 1</v>
      </c>
      <c r="D120" s="233" t="str">
        <f t="shared" si="203"/>
        <v>Rural</v>
      </c>
      <c r="E120" s="233" t="str">
        <f t="shared" si="203"/>
        <v>Multi storey</v>
      </c>
      <c r="F120" s="233" t="str">
        <f t="shared" si="203"/>
        <v>RESCOA</v>
      </c>
      <c r="G120" s="233" t="str">
        <f t="shared" si="203"/>
        <v>RESHRMB</v>
      </c>
      <c r="H120" s="259">
        <v>2018</v>
      </c>
      <c r="I120" s="250">
        <f t="shared" si="198"/>
        <v>66</v>
      </c>
      <c r="J120" s="250">
        <f t="shared" si="199"/>
        <v>0</v>
      </c>
      <c r="K120" s="250">
        <f t="shared" si="200"/>
        <v>0</v>
      </c>
      <c r="L120" s="462">
        <v>0.72</v>
      </c>
      <c r="M120" s="462">
        <v>0.72</v>
      </c>
      <c r="N120" s="462">
        <v>0.72</v>
      </c>
      <c r="O120" s="244">
        <f t="shared" si="186"/>
        <v>3.1536000000000002E-2</v>
      </c>
      <c r="P120" s="460">
        <v>0.2</v>
      </c>
      <c r="Q120" s="245">
        <v>20</v>
      </c>
      <c r="R120" s="227">
        <v>2</v>
      </c>
      <c r="T120" s="268">
        <f t="shared" si="106"/>
        <v>0.57816000000000012</v>
      </c>
      <c r="U120" s="268"/>
      <c r="V120" s="602" t="str">
        <f>'Data manipulation'!$B$23</f>
        <v>Solid fossil fuels, peat, peat products, oil shale and oil sands</v>
      </c>
      <c r="W120" s="254" t="s">
        <v>893</v>
      </c>
      <c r="X120" s="246">
        <v>2018</v>
      </c>
      <c r="Y120" s="434">
        <f>_xlfn.IFNA(INDEX('Data manipulation'!$C$23:$O$39,MATCH($V120,'Data manipulation'!$B$23:$B$39,0),MATCH($X120,'Data manipulation'!$C$22:$O$22,0))/1000,0)*SUMIFS('Regional split'!$F$4:$F$6,'Regional split'!$B$4:$B$6,Y$3)*SUMIFS('Data manipulation'!$V$39:$V$42,'Data manipulation'!$X$39:$X$42,$E120,'Data manipulation'!$Y$39:$Y$42,$D120)</f>
        <v>0.28866801599999997</v>
      </c>
      <c r="Z120" s="270">
        <f>_xlfn.IFNA(INDEX('Data manipulation'!$C$23:$O$39,MATCH($V120,'Data manipulation'!$B$23:$B$39,0),MATCH($X120,'Data manipulation'!$C$22:$O$22,0))/1000,0)*SUMIFS('Regional split'!$F$4:$F$6,'Regional split'!$B$4:$B$6,Z$3)*SUMIFS('Data manipulation'!$V$39:$V$42,'Data manipulation'!$X$39:$X$42,$E120,'Data manipulation'!$Y$39:$Y$42,$D120)</f>
        <v>0</v>
      </c>
      <c r="AA120" s="456">
        <f>_xlfn.IFNA(INDEX('Data manipulation'!$C$23:$O$39,MATCH($V120,'Data manipulation'!$B$23:$B$39,0),MATCH($X120,'Data manipulation'!$C$22:$O$22,0))/1000,0)*SUMIFS('Regional split'!$F$4:$F$6,'Regional split'!$B$4:$B$6,AA$3)*SUMIFS('Data manipulation'!$V$39:$V$42,'Data manipulation'!$X$39:$X$42,$E120,'Data manipulation'!$Y$39:$Y$42,$D120)</f>
        <v>0</v>
      </c>
      <c r="AB120" s="445">
        <f t="shared" si="178"/>
        <v>0.20784097151999997</v>
      </c>
      <c r="AC120" s="251">
        <f t="shared" si="179"/>
        <v>0</v>
      </c>
      <c r="AD120" s="446">
        <f t="shared" si="180"/>
        <v>0</v>
      </c>
      <c r="AU120" s="260"/>
      <c r="AZ120" s="252"/>
    </row>
    <row r="121" spans="2:52" ht="15" customHeight="1">
      <c r="B121" s="233" t="str">
        <f t="shared" ref="B121:G121" si="204">B81</f>
        <v>RHTRMSOLE1</v>
      </c>
      <c r="C121" s="233" t="str">
        <f t="shared" si="204"/>
        <v>Residential Heating Technology Rural Multi - Solar - Existing 1</v>
      </c>
      <c r="D121" s="233" t="str">
        <f t="shared" si="204"/>
        <v>Rural</v>
      </c>
      <c r="E121" s="233" t="str">
        <f t="shared" si="204"/>
        <v>Multi storey</v>
      </c>
      <c r="F121" s="233" t="str">
        <f t="shared" si="204"/>
        <v>RESSOL</v>
      </c>
      <c r="G121" s="233" t="str">
        <f t="shared" si="204"/>
        <v>RESHRMB</v>
      </c>
      <c r="H121" s="259">
        <v>2018</v>
      </c>
      <c r="I121" s="250">
        <f t="shared" si="198"/>
        <v>17.8</v>
      </c>
      <c r="J121" s="250">
        <f t="shared" si="199"/>
        <v>0</v>
      </c>
      <c r="K121" s="250">
        <f t="shared" si="200"/>
        <v>0</v>
      </c>
      <c r="L121" s="462">
        <v>1</v>
      </c>
      <c r="M121" s="462">
        <v>1</v>
      </c>
      <c r="N121" s="462">
        <v>1</v>
      </c>
      <c r="O121" s="244">
        <f t="shared" si="186"/>
        <v>3.1536000000000002E-2</v>
      </c>
      <c r="P121" s="460">
        <v>0.2</v>
      </c>
      <c r="Q121" s="245">
        <v>20</v>
      </c>
      <c r="R121" s="227">
        <v>2</v>
      </c>
      <c r="T121" s="268">
        <f t="shared" si="106"/>
        <v>0.11226816000000002</v>
      </c>
      <c r="U121" s="268"/>
      <c r="V121" s="602" t="str">
        <f>'Data manipulation'!$B$29</f>
        <v>Solar thermal</v>
      </c>
      <c r="W121" s="254" t="s">
        <v>188</v>
      </c>
      <c r="X121" s="246">
        <v>2018</v>
      </c>
      <c r="Y121" s="434">
        <f>_xlfn.IFNA(INDEX('Data manipulation'!$C$23:$O$39,MATCH($V121,'Data manipulation'!$B$23:$B$39,0),MATCH($X121,'Data manipulation'!$C$22:$O$22,0))/1000,0)*SUMIFS('Regional split'!$F$4:$F$6,'Regional split'!$B$4:$B$6,Y$3)*SUMIFS('Data manipulation'!$V$39:$V$42,'Data manipulation'!$X$39:$X$42,$E121,'Data manipulation'!$Y$39:$Y$42,$D121)</f>
        <v>5.6036036000000004E-2</v>
      </c>
      <c r="Z121" s="270">
        <f>_xlfn.IFNA(INDEX('Data manipulation'!$C$23:$O$39,MATCH($V121,'Data manipulation'!$B$23:$B$39,0),MATCH($X121,'Data manipulation'!$C$22:$O$22,0))/1000,0)*SUMIFS('Regional split'!$F$4:$F$6,'Regional split'!$B$4:$B$6,Z$3)*SUMIFS('Data manipulation'!$V$39:$V$42,'Data manipulation'!$X$39:$X$42,$E121,'Data manipulation'!$Y$39:$Y$42,$D121)</f>
        <v>0</v>
      </c>
      <c r="AA121" s="456">
        <f>_xlfn.IFNA(INDEX('Data manipulation'!$C$23:$O$39,MATCH($V121,'Data manipulation'!$B$23:$B$39,0),MATCH($X121,'Data manipulation'!$C$22:$O$22,0))/1000,0)*SUMIFS('Regional split'!$F$4:$F$6,'Regional split'!$B$4:$B$6,AA$3)*SUMIFS('Data manipulation'!$V$39:$V$42,'Data manipulation'!$X$39:$X$42,$E121,'Data manipulation'!$Y$39:$Y$42,$D121)</f>
        <v>0</v>
      </c>
      <c r="AB121" s="445">
        <f t="shared" si="178"/>
        <v>5.6036036000000004E-2</v>
      </c>
      <c r="AC121" s="251">
        <f t="shared" si="179"/>
        <v>0</v>
      </c>
      <c r="AD121" s="446">
        <f t="shared" si="180"/>
        <v>0</v>
      </c>
      <c r="AU121" s="260"/>
      <c r="AZ121" s="252"/>
    </row>
    <row r="122" spans="2:52" ht="15" customHeight="1">
      <c r="B122" s="233" t="str">
        <f t="shared" ref="B122:G122" si="205">B82</f>
        <v>RHTRMELCHE1</v>
      </c>
      <c r="C122" s="233" t="str">
        <f t="shared" si="205"/>
        <v>Residential Heating Technology Rural Multi - Electricity Heating - Existing 1</v>
      </c>
      <c r="D122" s="233" t="str">
        <f t="shared" si="205"/>
        <v>Rural</v>
      </c>
      <c r="E122" s="233" t="str">
        <f t="shared" si="205"/>
        <v>Multi storey</v>
      </c>
      <c r="F122" s="233" t="str">
        <f t="shared" si="205"/>
        <v>RESELCH</v>
      </c>
      <c r="G122" s="233" t="str">
        <f t="shared" si="205"/>
        <v>RESHRMB</v>
      </c>
      <c r="H122" s="259">
        <v>2018</v>
      </c>
      <c r="I122" s="250">
        <f t="shared" si="198"/>
        <v>119.1</v>
      </c>
      <c r="J122" s="250">
        <f t="shared" si="199"/>
        <v>0</v>
      </c>
      <c r="K122" s="250">
        <f t="shared" si="200"/>
        <v>0</v>
      </c>
      <c r="L122" s="462">
        <v>1</v>
      </c>
      <c r="M122" s="462">
        <v>1</v>
      </c>
      <c r="N122" s="462">
        <v>1</v>
      </c>
      <c r="O122" s="244">
        <f t="shared" si="186"/>
        <v>3.1536000000000002E-2</v>
      </c>
      <c r="P122" s="460">
        <v>0.2</v>
      </c>
      <c r="Q122" s="245">
        <v>30</v>
      </c>
      <c r="R122" s="227">
        <v>2</v>
      </c>
      <c r="T122" s="268">
        <f t="shared" si="106"/>
        <v>0.75118752000000011</v>
      </c>
      <c r="U122" s="268"/>
      <c r="V122" s="602" t="str">
        <f>'Data manipulation'!$B$33</f>
        <v>Electricity</v>
      </c>
      <c r="W122" s="254" t="s">
        <v>189</v>
      </c>
      <c r="X122" s="246">
        <v>2018</v>
      </c>
      <c r="Y122" s="434">
        <f>_xlfn.IFNA(INDEX('Data manipulation'!$C$23:$O$39,MATCH($V122,'Data manipulation'!$B$23:$B$39,0),MATCH($X122,'Data manipulation'!$C$22:$O$22,0))/1000,0)*SUMIFS('Regional split'!$F$4:$F$6,'Regional split'!$B$4:$B$6,Y$3)*SUMIFS('Data manipulation'!$V$39:$V$42,'Data manipulation'!$X$39:$X$42,$E122,'Data manipulation'!$Y$39:$Y$42,$D122)</f>
        <v>0.375591328</v>
      </c>
      <c r="Z122" s="270">
        <f>_xlfn.IFNA(INDEX('Data manipulation'!$C$23:$O$39,MATCH($V122,'Data manipulation'!$B$23:$B$39,0),MATCH($X122,'Data manipulation'!$C$22:$O$22,0))/1000,0)*SUMIFS('Regional split'!$F$4:$F$6,'Regional split'!$B$4:$B$6,Z$3)*SUMIFS('Data manipulation'!$V$39:$V$42,'Data manipulation'!$X$39:$X$42,$E122,'Data manipulation'!$Y$39:$Y$42,$D122)</f>
        <v>0</v>
      </c>
      <c r="AA122" s="456">
        <f>_xlfn.IFNA(INDEX('Data manipulation'!$C$23:$O$39,MATCH($V122,'Data manipulation'!$B$23:$B$39,0),MATCH($X122,'Data manipulation'!$C$22:$O$22,0))/1000,0)*SUMIFS('Regional split'!$F$4:$F$6,'Regional split'!$B$4:$B$6,AA$3)*SUMIFS('Data manipulation'!$V$39:$V$42,'Data manipulation'!$X$39:$X$42,$E122,'Data manipulation'!$Y$39:$Y$42,$D122)</f>
        <v>0</v>
      </c>
      <c r="AB122" s="445">
        <f t="shared" si="178"/>
        <v>0.375591328</v>
      </c>
      <c r="AC122" s="251">
        <f t="shared" si="179"/>
        <v>0</v>
      </c>
      <c r="AD122" s="446">
        <f t="shared" si="180"/>
        <v>0</v>
      </c>
      <c r="AU122" s="260"/>
      <c r="AZ122" s="252"/>
    </row>
    <row r="123" spans="2:52" ht="15" customHeight="1">
      <c r="B123" s="233" t="str">
        <f t="shared" ref="B123:G123" si="206">B83</f>
        <v>RHTRMELCHE2</v>
      </c>
      <c r="C123" s="233" t="str">
        <f t="shared" si="206"/>
        <v>Residential Heating Technology Rural Multi - Electricity Heating - Existing 2</v>
      </c>
      <c r="D123" s="233" t="str">
        <f t="shared" si="206"/>
        <v>Rural</v>
      </c>
      <c r="E123" s="233" t="str">
        <f t="shared" si="206"/>
        <v>Multi storey</v>
      </c>
      <c r="F123" s="233" t="str">
        <f t="shared" si="206"/>
        <v>RESELCH</v>
      </c>
      <c r="G123" s="233" t="str">
        <f t="shared" si="206"/>
        <v>RESHRMB</v>
      </c>
      <c r="H123" s="259">
        <v>2018</v>
      </c>
      <c r="I123" s="250">
        <f t="shared" si="198"/>
        <v>415.8</v>
      </c>
      <c r="J123" s="250">
        <f t="shared" si="199"/>
        <v>0</v>
      </c>
      <c r="K123" s="250">
        <f t="shared" si="200"/>
        <v>0</v>
      </c>
      <c r="L123" s="462">
        <v>2.3149999999999999</v>
      </c>
      <c r="M123" s="462">
        <v>2.3149999999999999</v>
      </c>
      <c r="N123" s="462">
        <v>2.3149999999999999</v>
      </c>
      <c r="O123" s="244">
        <f t="shared" si="186"/>
        <v>3.1536000000000002E-2</v>
      </c>
      <c r="P123" s="460">
        <v>0.2</v>
      </c>
      <c r="Q123" s="245">
        <v>30</v>
      </c>
      <c r="R123" s="227">
        <v>2</v>
      </c>
      <c r="T123" s="268">
        <f t="shared" si="106"/>
        <v>1.1328439568034561</v>
      </c>
      <c r="U123" s="268"/>
      <c r="V123" s="602" t="str">
        <f>'Data manipulation'!$B$30</f>
        <v>Ambient heat (heat pumps)</v>
      </c>
      <c r="W123" s="254" t="s">
        <v>190</v>
      </c>
      <c r="X123" s="246">
        <v>2018</v>
      </c>
      <c r="Y123" s="434">
        <f>_xlfn.IFNA(INDEX('Data manipulation'!$C$23:$O$39,MATCH($V123,'Data manipulation'!$B$23:$B$39,0),MATCH($X123,'Data manipulation'!$C$22:$O$22,0))/1000,0)*SUMIFS('Regional split'!$F$4:$F$6,'Regional split'!$B$4:$B$6,Y$3)*SUMIFS('Data manipulation'!$V$39:$V$42,'Data manipulation'!$X$39:$X$42,$E123,'Data manipulation'!$Y$39:$Y$42,$D123)</f>
        <v>0.56642039999999994</v>
      </c>
      <c r="Z123" s="270">
        <f>_xlfn.IFNA(INDEX('Data manipulation'!$C$23:$O$39,MATCH($V123,'Data manipulation'!$B$23:$B$39,0),MATCH($X123,'Data manipulation'!$C$22:$O$22,0))/1000,0)*SUMIFS('Regional split'!$F$4:$F$6,'Regional split'!$B$4:$B$6,Z$3)*SUMIFS('Data manipulation'!$V$39:$V$42,'Data manipulation'!$X$39:$X$42,$E123,'Data manipulation'!$Y$39:$Y$42,$D123)</f>
        <v>0</v>
      </c>
      <c r="AA123" s="456">
        <f>_xlfn.IFNA(INDEX('Data manipulation'!$C$23:$O$39,MATCH($V123,'Data manipulation'!$B$23:$B$39,0),MATCH($X123,'Data manipulation'!$C$22:$O$22,0))/1000,0)*SUMIFS('Regional split'!$F$4:$F$6,'Regional split'!$B$4:$B$6,AA$3)*SUMIFS('Data manipulation'!$V$39:$V$42,'Data manipulation'!$X$39:$X$42,$E123,'Data manipulation'!$Y$39:$Y$42,$D123)</f>
        <v>0</v>
      </c>
      <c r="AB123" s="445">
        <f t="shared" si="178"/>
        <v>1.3112632259999999</v>
      </c>
      <c r="AC123" s="251">
        <f t="shared" si="179"/>
        <v>0</v>
      </c>
      <c r="AD123" s="446">
        <f t="shared" si="180"/>
        <v>0</v>
      </c>
      <c r="AU123" s="260"/>
      <c r="AZ123" s="252"/>
    </row>
    <row r="124" spans="2:52" ht="15" customHeight="1">
      <c r="B124" s="233" t="str">
        <f t="shared" ref="B124:G124" si="207">B84</f>
        <v>RHTRMHCEE1</v>
      </c>
      <c r="C124" s="233" t="str">
        <f t="shared" si="207"/>
        <v>Residential Heating Technology Rural Multi - District heating Central - Existing 1</v>
      </c>
      <c r="D124" s="233" t="str">
        <f t="shared" si="207"/>
        <v>Rural</v>
      </c>
      <c r="E124" s="233" t="str">
        <f t="shared" si="207"/>
        <v>Multi storey</v>
      </c>
      <c r="F124" s="233" t="str">
        <f t="shared" si="207"/>
        <v>RESHDE</v>
      </c>
      <c r="G124" s="233" t="str">
        <f t="shared" si="207"/>
        <v>RESHRMX</v>
      </c>
      <c r="H124" s="261">
        <v>2018</v>
      </c>
      <c r="I124" s="572">
        <v>0</v>
      </c>
      <c r="J124" s="572">
        <v>0</v>
      </c>
      <c r="K124" s="572">
        <v>0</v>
      </c>
      <c r="L124" s="462">
        <v>0.98</v>
      </c>
      <c r="M124" s="462">
        <v>0.98</v>
      </c>
      <c r="N124" s="462">
        <v>0.98</v>
      </c>
      <c r="O124" s="244">
        <f t="shared" si="186"/>
        <v>3.1536000000000002E-2</v>
      </c>
      <c r="P124" s="460">
        <v>0.2</v>
      </c>
      <c r="Q124" s="245">
        <v>30</v>
      </c>
      <c r="R124" s="227">
        <v>2</v>
      </c>
      <c r="T124" s="268">
        <f t="shared" si="106"/>
        <v>0</v>
      </c>
      <c r="U124" s="268"/>
      <c r="V124" s="602" t="str">
        <f>'Data manipulation'!$B$34</f>
        <v>Heat</v>
      </c>
      <c r="W124" s="254" t="s">
        <v>191</v>
      </c>
      <c r="X124" s="246">
        <v>2018</v>
      </c>
      <c r="Y124" s="434">
        <f>_xlfn.IFNA(INDEX('Data manipulation'!$C$23:$O$39,MATCH($V124,'Data manipulation'!$B$23:$B$39,0),MATCH($X124,'Data manipulation'!$C$22:$O$22,0))/1000,0)*SUMIFS('Regional split'!$F$4:$F$6,'Regional split'!$B$4:$B$6,Y$3)*SUMIFS('Data manipulation'!$V$39:$V$42,'Data manipulation'!$X$39:$X$42,$E124,'Data manipulation'!$Y$39:$Y$42,$D124)</f>
        <v>1.9492762520000004</v>
      </c>
      <c r="Z124" s="270">
        <f>_xlfn.IFNA(INDEX('Data manipulation'!$C$23:$O$39,MATCH($V124,'Data manipulation'!$B$23:$B$39,0),MATCH($X124,'Data manipulation'!$C$22:$O$22,0))/1000,0)*SUMIFS('Regional split'!$F$4:$F$6,'Regional split'!$B$4:$B$6,Z$3)*SUMIFS('Data manipulation'!$V$39:$V$42,'Data manipulation'!$X$39:$X$42,$E124,'Data manipulation'!$Y$39:$Y$42,$D124)</f>
        <v>0</v>
      </c>
      <c r="AA124" s="456">
        <f>_xlfn.IFNA(INDEX('Data manipulation'!$C$23:$O$39,MATCH($V124,'Data manipulation'!$B$23:$B$39,0),MATCH($X124,'Data manipulation'!$C$22:$O$22,0))/1000,0)*SUMIFS('Regional split'!$F$4:$F$6,'Regional split'!$B$4:$B$6,AA$3)*SUMIFS('Data manipulation'!$V$39:$V$42,'Data manipulation'!$X$39:$X$42,$E124,'Data manipulation'!$Y$39:$Y$42,$D124)</f>
        <v>0</v>
      </c>
      <c r="AB124" s="445">
        <f t="shared" si="178"/>
        <v>1.9102907269600005</v>
      </c>
      <c r="AC124" s="251">
        <f t="shared" si="179"/>
        <v>0</v>
      </c>
      <c r="AD124" s="446">
        <f t="shared" si="180"/>
        <v>0</v>
      </c>
      <c r="AU124" s="260"/>
      <c r="AZ124" s="252"/>
    </row>
    <row r="125" spans="2:52" ht="15" customHeight="1" thickBot="1">
      <c r="B125" s="233" t="str">
        <f t="shared" ref="B125:G125" si="208">B85</f>
        <v>RHTRMLPGE1</v>
      </c>
      <c r="C125" s="233" t="str">
        <f t="shared" si="208"/>
        <v>Residential Heating Technology Rural Multi - LPG - Existing 1</v>
      </c>
      <c r="D125" s="233" t="str">
        <f t="shared" si="208"/>
        <v>Rural</v>
      </c>
      <c r="E125" s="233" t="str">
        <f t="shared" si="208"/>
        <v>Multi storey</v>
      </c>
      <c r="F125" s="233" t="str">
        <f t="shared" si="208"/>
        <v>RESLPG</v>
      </c>
      <c r="G125" s="233" t="str">
        <f t="shared" si="208"/>
        <v>RESHRMB</v>
      </c>
      <c r="H125" s="261">
        <v>2018</v>
      </c>
      <c r="I125" s="297">
        <f t="shared" ref="I125" si="209">ROUNDUP(AB125/($O125*$P125)*$R125,1)</f>
        <v>0</v>
      </c>
      <c r="J125" s="297">
        <f t="shared" ref="J125" si="210">ROUNDUP(AC125/($O125*$P125)*$R125,1)</f>
        <v>0</v>
      </c>
      <c r="K125" s="297">
        <f t="shared" ref="K125" si="211">ROUNDUP(AD125/($O125*$P125)*$R125,1)</f>
        <v>0</v>
      </c>
      <c r="L125" s="462">
        <v>0.98</v>
      </c>
      <c r="M125" s="462">
        <v>0.98</v>
      </c>
      <c r="N125" s="462">
        <v>0.98</v>
      </c>
      <c r="O125" s="244">
        <f t="shared" si="186"/>
        <v>3.1536000000000002E-2</v>
      </c>
      <c r="P125" s="460">
        <v>0.2</v>
      </c>
      <c r="Q125" s="245">
        <v>30</v>
      </c>
      <c r="R125" s="227">
        <v>2</v>
      </c>
      <c r="T125" s="268">
        <f t="shared" si="106"/>
        <v>0</v>
      </c>
      <c r="U125" s="268"/>
      <c r="V125" s="602" t="s">
        <v>790</v>
      </c>
      <c r="W125" s="428" t="s">
        <v>790</v>
      </c>
      <c r="X125" s="246">
        <v>2018</v>
      </c>
      <c r="Y125" s="435">
        <f>_xlfn.IFNA(INDEX('Data manipulation'!$C$23:$O$39,MATCH($V125,'Data manipulation'!$B$23:$B$39,0),MATCH($X125,'Data manipulation'!$C$22:$O$22,0))/1000,0)*SUMIFS('Regional split'!$F$4:$F$6,'Regional split'!$B$4:$B$6,Y$3)*SUMIFS('Data manipulation'!$V$39:$V$42,'Data manipulation'!$X$39:$X$42,$E125,'Data manipulation'!$Y$39:$Y$42,$D125)</f>
        <v>0</v>
      </c>
      <c r="Z125" s="432">
        <f>_xlfn.IFNA(INDEX('Data manipulation'!$C$23:$O$39,MATCH($V125,'Data manipulation'!$B$23:$B$39,0),MATCH($X125,'Data manipulation'!$C$22:$O$22,0))/1000,0)*SUMIFS('Regional split'!$F$4:$F$6,'Regional split'!$B$4:$B$6,Z$3)*SUMIFS('Data manipulation'!$V$39:$V$42,'Data manipulation'!$X$39:$X$42,$E125,'Data manipulation'!$Y$39:$Y$42,$D125)</f>
        <v>0</v>
      </c>
      <c r="AA125" s="457">
        <f>_xlfn.IFNA(INDEX('Data manipulation'!$C$23:$O$39,MATCH($V125,'Data manipulation'!$B$23:$B$39,0),MATCH($X125,'Data manipulation'!$C$22:$O$22,0))/1000,0)*SUMIFS('Regional split'!$F$4:$F$6,'Regional split'!$B$4:$B$6,AA$3)*SUMIFS('Data manipulation'!$V$39:$V$42,'Data manipulation'!$X$39:$X$42,$E125,'Data manipulation'!$Y$39:$Y$42,$D125)</f>
        <v>0</v>
      </c>
      <c r="AB125" s="447">
        <f t="shared" si="178"/>
        <v>0</v>
      </c>
      <c r="AC125" s="433">
        <f t="shared" si="179"/>
        <v>0</v>
      </c>
      <c r="AD125" s="454">
        <f t="shared" si="180"/>
        <v>0</v>
      </c>
      <c r="AU125" s="260"/>
      <c r="AZ125" s="252"/>
    </row>
    <row r="126" spans="2:52" ht="15" customHeight="1">
      <c r="B126" s="227" t="str">
        <f>B86</f>
        <v>RHTUDNGAE1</v>
      </c>
      <c r="C126" s="227" t="str">
        <f t="shared" ref="C126:G126" si="212">C86</f>
        <v>Residential Heating Technology Urban Detached - Natural Gas - Existing 1</v>
      </c>
      <c r="D126" s="227" t="str">
        <f t="shared" si="212"/>
        <v>Urban</v>
      </c>
      <c r="E126" s="227" t="str">
        <f t="shared" si="212"/>
        <v>Detached</v>
      </c>
      <c r="F126" s="227" t="str">
        <f t="shared" si="212"/>
        <v>RESNGA,RESSNG,RESBGA</v>
      </c>
      <c r="G126" s="227" t="str">
        <f t="shared" si="212"/>
        <v>RESHUDB</v>
      </c>
      <c r="H126" s="230">
        <v>2019</v>
      </c>
      <c r="I126" s="250">
        <f>ROUNDUP(AB126/($O126*$P126)*$R126,1)</f>
        <v>74024.200000000012</v>
      </c>
      <c r="J126" s="250">
        <f>ROUNDUP(AC126/($O126*$P126)*$R126,1)</f>
        <v>0</v>
      </c>
      <c r="K126" s="250">
        <f>ROUNDUP(AD126/($O126*$P126)*$R126,1)</f>
        <v>0</v>
      </c>
      <c r="L126" s="462">
        <v>0.72</v>
      </c>
      <c r="M126" s="462">
        <v>0.72</v>
      </c>
      <c r="N126" s="462">
        <v>0.72</v>
      </c>
      <c r="O126" s="244">
        <f>31.536/1000</f>
        <v>3.1536000000000002E-2</v>
      </c>
      <c r="P126" s="460">
        <v>0.2</v>
      </c>
      <c r="Q126" s="245">
        <v>22</v>
      </c>
      <c r="R126" s="227">
        <v>2</v>
      </c>
      <c r="T126" s="268">
        <f t="shared" ref="T126:T165" si="213">SUM(I126:K126)*O126*P126/L126</f>
        <v>648.45199200000013</v>
      </c>
      <c r="U126" s="268"/>
      <c r="V126" s="602" t="str">
        <f>'Data manipulation'!$B$36</f>
        <v>Natural gas, biogas and LNG</v>
      </c>
      <c r="W126" s="246" t="s">
        <v>187</v>
      </c>
      <c r="X126" s="246">
        <v>2019</v>
      </c>
      <c r="Y126" s="434">
        <f>_xlfn.IFNA(INDEX('Data manipulation'!$C$23:$O$39,MATCH($V126,'Data manipulation'!$B$23:$B$39,0),MATCH($X126,'Data manipulation'!$C$22:$O$22,0))/1000,0)*SUMIFS('Regional split'!$F$4:$F$6,'Regional split'!$B$4:$B$6,Y$3)*SUMIFS('Data manipulation'!$V$39:$V$42,'Data manipulation'!$X$39:$X$42,$E126,'Data manipulation'!$Y$39:$Y$42,$D126)</f>
        <v>324.22556333999995</v>
      </c>
      <c r="Z126" s="270">
        <f>_xlfn.IFNA(INDEX('Data manipulation'!$C$23:$O$39,MATCH($V126,'Data manipulation'!$B$23:$B$39,0),MATCH($X126,'Data manipulation'!$C$22:$O$22,0))/1000,0)*SUMIFS('Regional split'!$F$4:$F$6,'Regional split'!$B$4:$B$6,Z$3)*SUMIFS('Data manipulation'!$V$39:$V$42,'Data manipulation'!$X$39:$X$42,$E126,'Data manipulation'!$Y$39:$Y$42,$D126)</f>
        <v>0</v>
      </c>
      <c r="AA126" s="456">
        <f>_xlfn.IFNA(INDEX('Data manipulation'!$C$23:$O$39,MATCH($V126,'Data manipulation'!$B$23:$B$39,0),MATCH($X126,'Data manipulation'!$C$22:$O$22,0))/1000,0)*SUMIFS('Regional split'!$F$4:$F$6,'Regional split'!$B$4:$B$6,AA$3)*SUMIFS('Data manipulation'!$V$39:$V$42,'Data manipulation'!$X$39:$X$42,$E126,'Data manipulation'!$Y$39:$Y$42,$D126)</f>
        <v>0</v>
      </c>
      <c r="AB126" s="445">
        <f t="shared" si="178"/>
        <v>233.44240560479994</v>
      </c>
      <c r="AC126" s="251">
        <f t="shared" si="179"/>
        <v>0</v>
      </c>
      <c r="AD126" s="446">
        <f t="shared" si="180"/>
        <v>0</v>
      </c>
      <c r="AE126" s="262"/>
      <c r="AU126" s="260"/>
      <c r="AZ126" s="252"/>
    </row>
    <row r="127" spans="2:52" ht="15" customHeight="1">
      <c r="B127" s="227" t="str">
        <f t="shared" ref="B127:G127" si="214">B87</f>
        <v>RHTUDDSLE1</v>
      </c>
      <c r="C127" s="227" t="str">
        <f t="shared" si="214"/>
        <v>Residential Heating Technology Urban Detached - Diesel - Existing 1</v>
      </c>
      <c r="D127" s="227" t="str">
        <f t="shared" si="214"/>
        <v>Urban</v>
      </c>
      <c r="E127" s="227" t="str">
        <f t="shared" si="214"/>
        <v>Detached</v>
      </c>
      <c r="F127" s="227" t="str">
        <f t="shared" si="214"/>
        <v>RESDSL,RESDSB</v>
      </c>
      <c r="G127" s="227" t="str">
        <f t="shared" si="214"/>
        <v>RESHUDB</v>
      </c>
      <c r="H127" s="230">
        <v>2019</v>
      </c>
      <c r="I127" s="250">
        <f t="shared" ref="I127:I134" si="215">ROUNDUP(AB127/($O127*$P127)*$R127,1)</f>
        <v>36840</v>
      </c>
      <c r="J127" s="250">
        <f t="shared" ref="J127:J133" si="216">ROUNDUP(AC127/($O127*$P127)*$R127,1)</f>
        <v>0</v>
      </c>
      <c r="K127" s="250">
        <f t="shared" ref="K127:K133" si="217">ROUNDUP(AD127/($O127*$P127)*$R127,1)</f>
        <v>0</v>
      </c>
      <c r="L127" s="462">
        <v>0.71</v>
      </c>
      <c r="M127" s="462">
        <v>0.71</v>
      </c>
      <c r="N127" s="462">
        <v>0.71</v>
      </c>
      <c r="O127" s="244">
        <f>31.536/1000</f>
        <v>3.1536000000000002E-2</v>
      </c>
      <c r="P127" s="460">
        <v>0.2</v>
      </c>
      <c r="Q127" s="245">
        <v>20</v>
      </c>
      <c r="R127" s="227">
        <v>2</v>
      </c>
      <c r="T127" s="268">
        <f t="shared" si="213"/>
        <v>327.26372957746486</v>
      </c>
      <c r="V127" s="602" t="str">
        <f>'Data manipulation'!$B$35</f>
        <v>Oil products</v>
      </c>
      <c r="W127" s="254" t="s">
        <v>749</v>
      </c>
      <c r="X127" s="246">
        <v>2019</v>
      </c>
      <c r="Y127" s="434">
        <f>_xlfn.IFNA(INDEX('Data manipulation'!$C$23:$O$39,MATCH($V127,'Data manipulation'!$B$23:$B$39,0),MATCH($X127,'Data manipulation'!$C$22:$O$22,0))/1000,0)*SUMIFS('Regional split'!$F$4:$F$6,'Regional split'!$B$4:$B$6,Y$3)*SUMIFS('Data manipulation'!$V$39:$V$42,'Data manipulation'!$X$39:$X$42,$E127,'Data manipulation'!$Y$39:$Y$42,$D127)</f>
        <v>163.63154724</v>
      </c>
      <c r="Z127" s="270">
        <f>_xlfn.IFNA(INDEX('Data manipulation'!$C$23:$O$39,MATCH($V127,'Data manipulation'!$B$23:$B$39,0),MATCH($X127,'Data manipulation'!$C$22:$O$22,0))/1000,0)*SUMIFS('Regional split'!$F$4:$F$6,'Regional split'!$B$4:$B$6,Z$3)*SUMIFS('Data manipulation'!$V$39:$V$42,'Data manipulation'!$X$39:$X$42,$E127,'Data manipulation'!$Y$39:$Y$42,$D127)</f>
        <v>0</v>
      </c>
      <c r="AA127" s="456">
        <f>_xlfn.IFNA(INDEX('Data manipulation'!$C$23:$O$39,MATCH($V127,'Data manipulation'!$B$23:$B$39,0),MATCH($X127,'Data manipulation'!$C$22:$O$22,0))/1000,0)*SUMIFS('Regional split'!$F$4:$F$6,'Regional split'!$B$4:$B$6,AA$3)*SUMIFS('Data manipulation'!$V$39:$V$42,'Data manipulation'!$X$39:$X$42,$E127,'Data manipulation'!$Y$39:$Y$42,$D127)</f>
        <v>0</v>
      </c>
      <c r="AB127" s="445">
        <f t="shared" si="178"/>
        <v>116.1783985404</v>
      </c>
      <c r="AC127" s="251">
        <f t="shared" si="179"/>
        <v>0</v>
      </c>
      <c r="AD127" s="446">
        <f t="shared" si="180"/>
        <v>0</v>
      </c>
      <c r="AE127" s="262"/>
      <c r="AU127" s="260"/>
      <c r="AZ127" s="252"/>
    </row>
    <row r="128" spans="2:52" ht="15" customHeight="1">
      <c r="B128" s="227" t="str">
        <f t="shared" ref="B128:G128" si="218">B88</f>
        <v>RHTUDWPEE1</v>
      </c>
      <c r="C128" s="227" t="str">
        <f t="shared" si="218"/>
        <v>Residential Heating Technology Urban Detached - Wood pellets - Existing 1</v>
      </c>
      <c r="D128" s="227" t="str">
        <f t="shared" si="218"/>
        <v>Urban</v>
      </c>
      <c r="E128" s="227" t="str">
        <f t="shared" si="218"/>
        <v>Detached</v>
      </c>
      <c r="F128" s="227" t="str">
        <f t="shared" si="218"/>
        <v>RESWPE</v>
      </c>
      <c r="G128" s="227" t="str">
        <f t="shared" si="218"/>
        <v>RESHUDB</v>
      </c>
      <c r="H128" s="230">
        <v>2019</v>
      </c>
      <c r="I128" s="250">
        <f t="shared" si="215"/>
        <v>0</v>
      </c>
      <c r="J128" s="250">
        <f t="shared" si="216"/>
        <v>0</v>
      </c>
      <c r="K128" s="250">
        <f t="shared" si="217"/>
        <v>0</v>
      </c>
      <c r="L128" s="462">
        <v>0.61</v>
      </c>
      <c r="M128" s="462">
        <v>0.61</v>
      </c>
      <c r="N128" s="462">
        <v>0.61</v>
      </c>
      <c r="O128" s="244">
        <f t="shared" ref="O128:O145" si="219">31.536/1000</f>
        <v>3.1536000000000002E-2</v>
      </c>
      <c r="P128" s="460">
        <v>0.2</v>
      </c>
      <c r="Q128" s="245">
        <v>20</v>
      </c>
      <c r="R128" s="227">
        <v>2</v>
      </c>
      <c r="T128" s="268">
        <f t="shared" si="213"/>
        <v>0</v>
      </c>
      <c r="U128" s="268"/>
      <c r="V128" s="602" t="s">
        <v>206</v>
      </c>
      <c r="W128" s="254" t="s">
        <v>896</v>
      </c>
      <c r="X128" s="246">
        <v>2019</v>
      </c>
      <c r="Y128" s="434">
        <f>_xlfn.IFNA(INDEX('Data manipulation'!$C$23:$O$39,MATCH($V128,'Data manipulation'!$B$23:$B$39,0),MATCH($X128,'Data manipulation'!$C$22:$O$22,0))/1000,0)*SUMIFS('Regional split'!$F$4:$F$6,'Regional split'!$B$4:$B$6,Y$3)*SUMIFS('Data manipulation'!$V$39:$V$42,'Data manipulation'!$X$39:$X$42,$E128,'Data manipulation'!$Y$39:$Y$42,$D128)</f>
        <v>0</v>
      </c>
      <c r="Z128" s="270">
        <f>_xlfn.IFNA(INDEX('Data manipulation'!$C$23:$O$39,MATCH($V128,'Data manipulation'!$B$23:$B$39,0),MATCH($X128,'Data manipulation'!$C$22:$O$22,0))/1000,0)*SUMIFS('Regional split'!$F$4:$F$6,'Regional split'!$B$4:$B$6,Z$3)*SUMIFS('Data manipulation'!$V$39:$V$42,'Data manipulation'!$X$39:$X$42,$E128,'Data manipulation'!$Y$39:$Y$42,$D128)</f>
        <v>0</v>
      </c>
      <c r="AA128" s="456">
        <f>_xlfn.IFNA(INDEX('Data manipulation'!$C$23:$O$39,MATCH($V128,'Data manipulation'!$B$23:$B$39,0),MATCH($X128,'Data manipulation'!$C$22:$O$22,0))/1000,0)*SUMIFS('Regional split'!$F$4:$F$6,'Regional split'!$B$4:$B$6,AA$3)*SUMIFS('Data manipulation'!$V$39:$V$42,'Data manipulation'!$X$39:$X$42,$E128,'Data manipulation'!$Y$39:$Y$42,$D128)</f>
        <v>0</v>
      </c>
      <c r="AB128" s="445">
        <f t="shared" si="178"/>
        <v>0</v>
      </c>
      <c r="AC128" s="251">
        <f t="shared" si="179"/>
        <v>0</v>
      </c>
      <c r="AD128" s="446">
        <f t="shared" si="180"/>
        <v>0</v>
      </c>
      <c r="AE128" s="262"/>
      <c r="AU128" s="260"/>
      <c r="AZ128" s="252"/>
    </row>
    <row r="129" spans="2:52" ht="15" customHeight="1">
      <c r="B129" s="227" t="str">
        <f t="shared" ref="B129:G129" si="220">B89</f>
        <v>RHTUDFIWE1</v>
      </c>
      <c r="C129" s="227" t="str">
        <f t="shared" si="220"/>
        <v>Residential Heating Technology Urban Detached - Fire wood - Existing 1</v>
      </c>
      <c r="D129" s="227" t="str">
        <f t="shared" si="220"/>
        <v>Urban</v>
      </c>
      <c r="E129" s="227" t="str">
        <f t="shared" si="220"/>
        <v>Detached</v>
      </c>
      <c r="F129" s="227" t="str">
        <f t="shared" si="220"/>
        <v>RESFIW</v>
      </c>
      <c r="G129" s="227" t="str">
        <f t="shared" si="220"/>
        <v>RESHUDB</v>
      </c>
      <c r="H129" s="230">
        <v>2019</v>
      </c>
      <c r="I129" s="250">
        <f t="shared" si="215"/>
        <v>18799.399999999998</v>
      </c>
      <c r="J129" s="250">
        <f t="shared" si="216"/>
        <v>0</v>
      </c>
      <c r="K129" s="250">
        <f t="shared" si="217"/>
        <v>0</v>
      </c>
      <c r="L129" s="462">
        <v>0.65000022993955098</v>
      </c>
      <c r="M129" s="462">
        <v>0.65000022993955098</v>
      </c>
      <c r="N129" s="462">
        <v>0.65000022993955098</v>
      </c>
      <c r="O129" s="244">
        <f t="shared" si="219"/>
        <v>3.1536000000000002E-2</v>
      </c>
      <c r="P129" s="460">
        <v>0.2</v>
      </c>
      <c r="Q129" s="245">
        <v>20</v>
      </c>
      <c r="R129" s="227">
        <v>2</v>
      </c>
      <c r="T129" s="268">
        <f t="shared" si="213"/>
        <v>182.41774420760893</v>
      </c>
      <c r="U129" s="268"/>
      <c r="V129" s="602" t="str">
        <f>'Data manipulation'!$B$31</f>
        <v>Primary solid biofuels</v>
      </c>
      <c r="W129" s="254" t="s">
        <v>196</v>
      </c>
      <c r="X129" s="246">
        <v>2019</v>
      </c>
      <c r="Y129" s="434">
        <f>_xlfn.IFNA(INDEX('Data manipulation'!$C$23:$O$39,MATCH($V129,'Data manipulation'!$B$23:$B$39,0),MATCH($X129,'Data manipulation'!$C$22:$O$22,0))/1000,0)*SUMIFS('Regional split'!$F$4:$F$6,'Regional split'!$B$4:$B$6,Y$3)*SUMIFS('Data manipulation'!$V$39:$V$42,'Data manipulation'!$X$39:$X$42,$E129,'Data manipulation'!$Y$39:$Y$42,$D129)</f>
        <v>91.208857739999985</v>
      </c>
      <c r="Z129" s="270">
        <f>_xlfn.IFNA(INDEX('Data manipulation'!$C$23:$O$39,MATCH($V129,'Data manipulation'!$B$23:$B$39,0),MATCH($X129,'Data manipulation'!$C$22:$O$22,0))/1000,0)*SUMIFS('Regional split'!$F$4:$F$6,'Regional split'!$B$4:$B$6,Z$3)*SUMIFS('Data manipulation'!$V$39:$V$42,'Data manipulation'!$X$39:$X$42,$E129,'Data manipulation'!$Y$39:$Y$42,$D129)</f>
        <v>0</v>
      </c>
      <c r="AA129" s="456">
        <f>_xlfn.IFNA(INDEX('Data manipulation'!$C$23:$O$39,MATCH($V129,'Data manipulation'!$B$23:$B$39,0),MATCH($X129,'Data manipulation'!$C$22:$O$22,0))/1000,0)*SUMIFS('Regional split'!$F$4:$F$6,'Regional split'!$B$4:$B$6,AA$3)*SUMIFS('Data manipulation'!$V$39:$V$42,'Data manipulation'!$X$39:$X$42,$E129,'Data manipulation'!$Y$39:$Y$42,$D129)</f>
        <v>0</v>
      </c>
      <c r="AB129" s="445">
        <f t="shared" si="178"/>
        <v>59.285778503523787</v>
      </c>
      <c r="AC129" s="251">
        <f t="shared" si="179"/>
        <v>0</v>
      </c>
      <c r="AD129" s="446">
        <f t="shared" si="180"/>
        <v>0</v>
      </c>
      <c r="AE129" s="262"/>
      <c r="AU129" s="260"/>
      <c r="AZ129" s="252"/>
    </row>
    <row r="130" spans="2:52" ht="15" customHeight="1">
      <c r="B130" s="233" t="str">
        <f t="shared" ref="B130:G130" si="221">B90</f>
        <v>RHTUDCOAE1</v>
      </c>
      <c r="C130" s="233" t="str">
        <f t="shared" si="221"/>
        <v>Residential Heating Technology Urban Detached - Coal - Existing 1</v>
      </c>
      <c r="D130" s="233" t="str">
        <f t="shared" si="221"/>
        <v>Urban</v>
      </c>
      <c r="E130" s="233" t="str">
        <f t="shared" si="221"/>
        <v>Detached</v>
      </c>
      <c r="F130" s="233" t="str">
        <f t="shared" si="221"/>
        <v>RESCOA</v>
      </c>
      <c r="G130" s="233" t="str">
        <f t="shared" si="221"/>
        <v>RESHUDB</v>
      </c>
      <c r="H130" s="230">
        <v>2019</v>
      </c>
      <c r="I130" s="250">
        <f t="shared" si="215"/>
        <v>1347.5</v>
      </c>
      <c r="J130" s="250">
        <f t="shared" si="216"/>
        <v>0</v>
      </c>
      <c r="K130" s="250">
        <f t="shared" si="217"/>
        <v>0</v>
      </c>
      <c r="L130" s="462">
        <v>0.7</v>
      </c>
      <c r="M130" s="462">
        <v>0.7</v>
      </c>
      <c r="N130" s="462">
        <v>0.7</v>
      </c>
      <c r="O130" s="244">
        <f t="shared" si="219"/>
        <v>3.1536000000000002E-2</v>
      </c>
      <c r="P130" s="460">
        <v>0.2</v>
      </c>
      <c r="Q130" s="245">
        <v>20</v>
      </c>
      <c r="R130" s="227">
        <v>2</v>
      </c>
      <c r="T130" s="268">
        <f t="shared" si="213"/>
        <v>12.141360000000002</v>
      </c>
      <c r="U130" s="268"/>
      <c r="V130" s="602" t="str">
        <f>'Data manipulation'!$B$23</f>
        <v>Solid fossil fuels, peat, peat products, oil shale and oil sands</v>
      </c>
      <c r="W130" s="254" t="s">
        <v>893</v>
      </c>
      <c r="X130" s="246">
        <v>2019</v>
      </c>
      <c r="Y130" s="434">
        <f>_xlfn.IFNA(INDEX('Data manipulation'!$C$23:$O$39,MATCH($V130,'Data manipulation'!$B$23:$B$39,0),MATCH($X130,'Data manipulation'!$C$22:$O$22,0))/1000,0)*SUMIFS('Regional split'!$F$4:$F$6,'Regional split'!$B$4:$B$6,Y$3)*SUMIFS('Data manipulation'!$V$39:$V$42,'Data manipulation'!$X$39:$X$42,$E130,'Data manipulation'!$Y$39:$Y$42,$D130)</f>
        <v>6.0705976799999997</v>
      </c>
      <c r="Z130" s="270">
        <f>_xlfn.IFNA(INDEX('Data manipulation'!$C$23:$O$39,MATCH($V130,'Data manipulation'!$B$23:$B$39,0),MATCH($X130,'Data manipulation'!$C$22:$O$22,0))/1000,0)*SUMIFS('Regional split'!$F$4:$F$6,'Regional split'!$B$4:$B$6,Z$3)*SUMIFS('Data manipulation'!$V$39:$V$42,'Data manipulation'!$X$39:$X$42,$E130,'Data manipulation'!$Y$39:$Y$42,$D130)</f>
        <v>0</v>
      </c>
      <c r="AA130" s="456">
        <f>_xlfn.IFNA(INDEX('Data manipulation'!$C$23:$O$39,MATCH($V130,'Data manipulation'!$B$23:$B$39,0),MATCH($X130,'Data manipulation'!$C$22:$O$22,0))/1000,0)*SUMIFS('Regional split'!$F$4:$F$6,'Regional split'!$B$4:$B$6,AA$3)*SUMIFS('Data manipulation'!$V$39:$V$42,'Data manipulation'!$X$39:$X$42,$E130,'Data manipulation'!$Y$39:$Y$42,$D130)</f>
        <v>0</v>
      </c>
      <c r="AB130" s="445">
        <f t="shared" si="178"/>
        <v>4.2494183759999995</v>
      </c>
      <c r="AC130" s="251">
        <f t="shared" si="179"/>
        <v>0</v>
      </c>
      <c r="AD130" s="446">
        <f t="shared" si="180"/>
        <v>0</v>
      </c>
      <c r="AE130" s="262"/>
      <c r="AU130" s="260"/>
      <c r="AZ130" s="252"/>
    </row>
    <row r="131" spans="2:52" ht="15" customHeight="1">
      <c r="B131" s="233" t="str">
        <f t="shared" ref="B131:G131" si="222">B91</f>
        <v>RHTUDSOLE1</v>
      </c>
      <c r="C131" s="233" t="str">
        <f t="shared" si="222"/>
        <v>Residential Heating Technology Urban Detached - Solar - Existing 1</v>
      </c>
      <c r="D131" s="233" t="str">
        <f t="shared" si="222"/>
        <v>Urban</v>
      </c>
      <c r="E131" s="233" t="str">
        <f t="shared" si="222"/>
        <v>Detached</v>
      </c>
      <c r="F131" s="233" t="str">
        <f t="shared" si="222"/>
        <v>RESSOL</v>
      </c>
      <c r="G131" s="233" t="str">
        <f t="shared" si="222"/>
        <v>RESHUDB</v>
      </c>
      <c r="H131" s="230">
        <v>2019</v>
      </c>
      <c r="I131" s="250">
        <f t="shared" si="215"/>
        <v>509.70000000000005</v>
      </c>
      <c r="J131" s="250">
        <f t="shared" si="216"/>
        <v>0</v>
      </c>
      <c r="K131" s="250">
        <f t="shared" si="217"/>
        <v>0</v>
      </c>
      <c r="L131" s="462">
        <v>1</v>
      </c>
      <c r="M131" s="462">
        <v>1</v>
      </c>
      <c r="N131" s="462">
        <v>1</v>
      </c>
      <c r="O131" s="244">
        <f t="shared" si="219"/>
        <v>3.1536000000000002E-2</v>
      </c>
      <c r="P131" s="460">
        <v>0.2</v>
      </c>
      <c r="Q131" s="245">
        <v>20</v>
      </c>
      <c r="R131" s="227">
        <v>2</v>
      </c>
      <c r="T131" s="268">
        <f t="shared" si="213"/>
        <v>3.2147798400000007</v>
      </c>
      <c r="U131" s="268"/>
      <c r="V131" s="602" t="str">
        <f>'Data manipulation'!$B$29</f>
        <v>Solar thermal</v>
      </c>
      <c r="W131" s="254" t="s">
        <v>188</v>
      </c>
      <c r="X131" s="246">
        <v>2019</v>
      </c>
      <c r="Y131" s="434">
        <f>_xlfn.IFNA(INDEX('Data manipulation'!$C$23:$O$39,MATCH($V131,'Data manipulation'!$B$23:$B$39,0),MATCH($X131,'Data manipulation'!$C$22:$O$22,0))/1000,0)*SUMIFS('Regional split'!$F$4:$F$6,'Regional split'!$B$4:$B$6,Y$3)*SUMIFS('Data manipulation'!$V$39:$V$42,'Data manipulation'!$X$39:$X$42,$E131,'Data manipulation'!$Y$39:$Y$42,$D131)</f>
        <v>1.60718922</v>
      </c>
      <c r="Z131" s="270">
        <f>_xlfn.IFNA(INDEX('Data manipulation'!$C$23:$O$39,MATCH($V131,'Data manipulation'!$B$23:$B$39,0),MATCH($X131,'Data manipulation'!$C$22:$O$22,0))/1000,0)*SUMIFS('Regional split'!$F$4:$F$6,'Regional split'!$B$4:$B$6,Z$3)*SUMIFS('Data manipulation'!$V$39:$V$42,'Data manipulation'!$X$39:$X$42,$E131,'Data manipulation'!$Y$39:$Y$42,$D131)</f>
        <v>0</v>
      </c>
      <c r="AA131" s="456">
        <f>_xlfn.IFNA(INDEX('Data manipulation'!$C$23:$O$39,MATCH($V131,'Data manipulation'!$B$23:$B$39,0),MATCH($X131,'Data manipulation'!$C$22:$O$22,0))/1000,0)*SUMIFS('Regional split'!$F$4:$F$6,'Regional split'!$B$4:$B$6,AA$3)*SUMIFS('Data manipulation'!$V$39:$V$42,'Data manipulation'!$X$39:$X$42,$E131,'Data manipulation'!$Y$39:$Y$42,$D131)</f>
        <v>0</v>
      </c>
      <c r="AB131" s="445">
        <f t="shared" si="178"/>
        <v>1.60718922</v>
      </c>
      <c r="AC131" s="251">
        <f t="shared" si="179"/>
        <v>0</v>
      </c>
      <c r="AD131" s="446">
        <f t="shared" si="180"/>
        <v>0</v>
      </c>
      <c r="AE131" s="262"/>
      <c r="AU131" s="260"/>
      <c r="AZ131" s="252"/>
    </row>
    <row r="132" spans="2:52" ht="15" customHeight="1">
      <c r="B132" s="233" t="str">
        <f t="shared" ref="B132:G132" si="223">B92</f>
        <v>RHTUDELCHE1</v>
      </c>
      <c r="C132" s="233" t="str">
        <f t="shared" si="223"/>
        <v>Residential Heating Technology Urban Detached - Electricity Heating - Existing 1</v>
      </c>
      <c r="D132" s="233" t="str">
        <f t="shared" si="223"/>
        <v>Urban</v>
      </c>
      <c r="E132" s="233" t="str">
        <f t="shared" si="223"/>
        <v>Detached</v>
      </c>
      <c r="F132" s="233" t="str">
        <f t="shared" si="223"/>
        <v>RESELCH</v>
      </c>
      <c r="G132" s="233" t="str">
        <f t="shared" si="223"/>
        <v>RESHUDB</v>
      </c>
      <c r="H132" s="230">
        <v>2019</v>
      </c>
      <c r="I132" s="250">
        <f t="shared" si="215"/>
        <v>3624.5</v>
      </c>
      <c r="J132" s="250">
        <f t="shared" si="216"/>
        <v>0</v>
      </c>
      <c r="K132" s="250">
        <f t="shared" si="217"/>
        <v>0</v>
      </c>
      <c r="L132" s="462">
        <v>1</v>
      </c>
      <c r="M132" s="462">
        <v>1</v>
      </c>
      <c r="N132" s="462">
        <v>1</v>
      </c>
      <c r="O132" s="244">
        <f t="shared" si="219"/>
        <v>3.1536000000000002E-2</v>
      </c>
      <c r="P132" s="460">
        <v>0.2</v>
      </c>
      <c r="Q132" s="245">
        <v>30</v>
      </c>
      <c r="R132" s="227">
        <v>2</v>
      </c>
      <c r="T132" s="268">
        <f t="shared" si="213"/>
        <v>22.860446400000001</v>
      </c>
      <c r="U132" s="268"/>
      <c r="V132" s="602" t="str">
        <f>'Data manipulation'!$B$33</f>
        <v>Electricity</v>
      </c>
      <c r="W132" s="254" t="s">
        <v>189</v>
      </c>
      <c r="X132" s="246">
        <v>2019</v>
      </c>
      <c r="Y132" s="434">
        <f>_xlfn.IFNA(INDEX('Data manipulation'!$C$23:$O$39,MATCH($V132,'Data manipulation'!$B$23:$B$39,0),MATCH($X132,'Data manipulation'!$C$22:$O$22,0))/1000,0)*SUMIFS('Regional split'!$F$4:$F$6,'Regional split'!$B$4:$B$6,Y$3)*SUMIFS('Data manipulation'!$V$39:$V$42,'Data manipulation'!$X$39:$X$42,$E132,'Data manipulation'!$Y$39:$Y$42,$D132)</f>
        <v>11.430063959999998</v>
      </c>
      <c r="Z132" s="270">
        <f>_xlfn.IFNA(INDEX('Data manipulation'!$C$23:$O$39,MATCH($V132,'Data manipulation'!$B$23:$B$39,0),MATCH($X132,'Data manipulation'!$C$22:$O$22,0))/1000,0)*SUMIFS('Regional split'!$F$4:$F$6,'Regional split'!$B$4:$B$6,Z$3)*SUMIFS('Data manipulation'!$V$39:$V$42,'Data manipulation'!$X$39:$X$42,$E132,'Data manipulation'!$Y$39:$Y$42,$D132)</f>
        <v>0</v>
      </c>
      <c r="AA132" s="456">
        <f>_xlfn.IFNA(INDEX('Data manipulation'!$C$23:$O$39,MATCH($V132,'Data manipulation'!$B$23:$B$39,0),MATCH($X132,'Data manipulation'!$C$22:$O$22,0))/1000,0)*SUMIFS('Regional split'!$F$4:$F$6,'Regional split'!$B$4:$B$6,AA$3)*SUMIFS('Data manipulation'!$V$39:$V$42,'Data manipulation'!$X$39:$X$42,$E132,'Data manipulation'!$Y$39:$Y$42,$D132)</f>
        <v>0</v>
      </c>
      <c r="AB132" s="445">
        <f t="shared" si="178"/>
        <v>11.430063959999998</v>
      </c>
      <c r="AC132" s="251">
        <f t="shared" si="179"/>
        <v>0</v>
      </c>
      <c r="AD132" s="446">
        <f t="shared" si="180"/>
        <v>0</v>
      </c>
      <c r="AU132" s="260"/>
      <c r="AZ132" s="252"/>
    </row>
    <row r="133" spans="2:52" ht="15" customHeight="1">
      <c r="B133" s="233" t="str">
        <f t="shared" ref="B133:G133" si="224">B93</f>
        <v>RHTUDELCHE2</v>
      </c>
      <c r="C133" s="233" t="str">
        <f t="shared" si="224"/>
        <v>Residential Heating Technology Urban Detached - Electricity Heating - Existing 2</v>
      </c>
      <c r="D133" s="233" t="str">
        <f t="shared" si="224"/>
        <v>Urban</v>
      </c>
      <c r="E133" s="233" t="str">
        <f t="shared" si="224"/>
        <v>Detached</v>
      </c>
      <c r="F133" s="233" t="str">
        <f t="shared" si="224"/>
        <v>RESELCH</v>
      </c>
      <c r="G133" s="233" t="str">
        <f t="shared" si="224"/>
        <v>RESHUDB</v>
      </c>
      <c r="H133" s="230">
        <v>2019</v>
      </c>
      <c r="I133" s="250">
        <f t="shared" si="215"/>
        <v>13499.5</v>
      </c>
      <c r="J133" s="250">
        <f t="shared" si="216"/>
        <v>0</v>
      </c>
      <c r="K133" s="250">
        <f t="shared" si="217"/>
        <v>0</v>
      </c>
      <c r="L133" s="462">
        <v>2.3149999999999999</v>
      </c>
      <c r="M133" s="462">
        <v>2.3149999999999999</v>
      </c>
      <c r="N133" s="462">
        <v>2.3149999999999999</v>
      </c>
      <c r="O133" s="244">
        <f t="shared" si="219"/>
        <v>3.1536000000000002E-2</v>
      </c>
      <c r="P133" s="460">
        <v>0.2</v>
      </c>
      <c r="Q133" s="245">
        <v>30</v>
      </c>
      <c r="R133" s="227">
        <v>2</v>
      </c>
      <c r="T133" s="268">
        <f t="shared" si="213"/>
        <v>36.779285701943849</v>
      </c>
      <c r="U133" s="268"/>
      <c r="V133" s="602" t="str">
        <f>'Data manipulation'!$B$30</f>
        <v>Ambient heat (heat pumps)</v>
      </c>
      <c r="W133" s="254" t="s">
        <v>190</v>
      </c>
      <c r="X133" s="246">
        <v>2019</v>
      </c>
      <c r="Y133" s="434">
        <f>_xlfn.IFNA(INDEX('Data manipulation'!$C$23:$O$39,MATCH($V133,'Data manipulation'!$B$23:$B$39,0),MATCH($X133,'Data manipulation'!$C$22:$O$22,0))/1000,0)*SUMIFS('Regional split'!$F$4:$F$6,'Regional split'!$B$4:$B$6,Y$3)*SUMIFS('Data manipulation'!$V$39:$V$42,'Data manipulation'!$X$39:$X$42,$E133,'Data manipulation'!$Y$39:$Y$42,$D133)</f>
        <v>18.389552999999999</v>
      </c>
      <c r="Z133" s="270">
        <f>_xlfn.IFNA(INDEX('Data manipulation'!$C$23:$O$39,MATCH($V133,'Data manipulation'!$B$23:$B$39,0),MATCH($X133,'Data manipulation'!$C$22:$O$22,0))/1000,0)*SUMIFS('Regional split'!$F$4:$F$6,'Regional split'!$B$4:$B$6,Z$3)*SUMIFS('Data manipulation'!$V$39:$V$42,'Data manipulation'!$X$39:$X$42,$E133,'Data manipulation'!$Y$39:$Y$42,$D133)</f>
        <v>0</v>
      </c>
      <c r="AA133" s="456">
        <f>_xlfn.IFNA(INDEX('Data manipulation'!$C$23:$O$39,MATCH($V133,'Data manipulation'!$B$23:$B$39,0),MATCH($X133,'Data manipulation'!$C$22:$O$22,0))/1000,0)*SUMIFS('Regional split'!$F$4:$F$6,'Regional split'!$B$4:$B$6,AA$3)*SUMIFS('Data manipulation'!$V$39:$V$42,'Data manipulation'!$X$39:$X$42,$E133,'Data manipulation'!$Y$39:$Y$42,$D133)</f>
        <v>0</v>
      </c>
      <c r="AB133" s="445">
        <f t="shared" si="178"/>
        <v>42.571815194999999</v>
      </c>
      <c r="AC133" s="251">
        <f t="shared" si="179"/>
        <v>0</v>
      </c>
      <c r="AD133" s="446">
        <f t="shared" si="180"/>
        <v>0</v>
      </c>
      <c r="AU133" s="260"/>
      <c r="AZ133" s="252"/>
    </row>
    <row r="134" spans="2:52" ht="15" customHeight="1">
      <c r="B134" s="233" t="str">
        <f t="shared" ref="B134:G134" si="225">B94</f>
        <v>RHTUDHCEE1</v>
      </c>
      <c r="C134" s="233" t="str">
        <f t="shared" si="225"/>
        <v>Residential Heating Technology Urban Detached - District heating Central - Existing 1</v>
      </c>
      <c r="D134" s="233" t="str">
        <f t="shared" si="225"/>
        <v>Urban</v>
      </c>
      <c r="E134" s="233" t="str">
        <f t="shared" si="225"/>
        <v>Detached</v>
      </c>
      <c r="F134" s="233" t="str">
        <f t="shared" si="225"/>
        <v>RESHCE</v>
      </c>
      <c r="G134" s="233" t="str">
        <f t="shared" si="225"/>
        <v>RESHUDX</v>
      </c>
      <c r="H134" s="230">
        <v>2019</v>
      </c>
      <c r="I134" s="250">
        <f t="shared" si="215"/>
        <v>17623.699999999997</v>
      </c>
      <c r="J134" s="572">
        <v>0</v>
      </c>
      <c r="K134" s="572">
        <v>0</v>
      </c>
      <c r="L134" s="462">
        <v>0.95</v>
      </c>
      <c r="M134" s="462">
        <v>0.95</v>
      </c>
      <c r="N134" s="462">
        <v>0.95</v>
      </c>
      <c r="O134" s="244">
        <f t="shared" si="219"/>
        <v>3.1536000000000002E-2</v>
      </c>
      <c r="P134" s="460">
        <v>0.2</v>
      </c>
      <c r="Q134" s="245">
        <v>30</v>
      </c>
      <c r="R134" s="227">
        <v>2</v>
      </c>
      <c r="T134" s="268">
        <f t="shared" si="213"/>
        <v>117.0065269894737</v>
      </c>
      <c r="U134" s="268"/>
      <c r="V134" s="602" t="str">
        <f>'Data manipulation'!$B$34</f>
        <v>Heat</v>
      </c>
      <c r="W134" s="254" t="s">
        <v>191</v>
      </c>
      <c r="X134" s="246">
        <v>2019</v>
      </c>
      <c r="Y134" s="434">
        <f>_xlfn.IFNA(INDEX('Data manipulation'!$C$23:$O$39,MATCH($V134,'Data manipulation'!$B$23:$B$39,0),MATCH($X134,'Data manipulation'!$C$22:$O$22,0))/1000,0)*SUMIFS('Regional split'!$F$4:$F$6,'Regional split'!$B$4:$B$6,Y$3)*SUMIFS('Data manipulation'!$V$39:$V$42,'Data manipulation'!$X$39:$X$42,$E134,'Data manipulation'!$Y$39:$Y$42,$D134)</f>
        <v>58.503241439999996</v>
      </c>
      <c r="Z134" s="270">
        <f>_xlfn.IFNA(INDEX('Data manipulation'!$C$23:$O$39,MATCH($V134,'Data manipulation'!$B$23:$B$39,0),MATCH($X134,'Data manipulation'!$C$22:$O$22,0))/1000,0)*SUMIFS('Regional split'!$F$4:$F$6,'Regional split'!$B$4:$B$6,Z$3)*SUMIFS('Data manipulation'!$V$39:$V$42,'Data manipulation'!$X$39:$X$42,$E134,'Data manipulation'!$Y$39:$Y$42,$D134)</f>
        <v>0</v>
      </c>
      <c r="AA134" s="456">
        <f>_xlfn.IFNA(INDEX('Data manipulation'!$C$23:$O$39,MATCH($V134,'Data manipulation'!$B$23:$B$39,0),MATCH($X134,'Data manipulation'!$C$22:$O$22,0))/1000,0)*SUMIFS('Regional split'!$F$4:$F$6,'Regional split'!$B$4:$B$6,AA$3)*SUMIFS('Data manipulation'!$V$39:$V$42,'Data manipulation'!$X$39:$X$42,$E134,'Data manipulation'!$Y$39:$Y$42,$D134)</f>
        <v>0</v>
      </c>
      <c r="AB134" s="445">
        <f t="shared" si="178"/>
        <v>55.578079367999997</v>
      </c>
      <c r="AC134" s="251">
        <f t="shared" si="179"/>
        <v>0</v>
      </c>
      <c r="AD134" s="446">
        <f t="shared" si="180"/>
        <v>0</v>
      </c>
      <c r="AU134" s="260"/>
      <c r="AZ134" s="252"/>
    </row>
    <row r="135" spans="2:52" ht="15" customHeight="1" thickBot="1">
      <c r="B135" s="255" t="str">
        <f t="shared" ref="B135:G135" si="226">B95</f>
        <v>RHTUDLPGE1</v>
      </c>
      <c r="C135" s="255" t="str">
        <f t="shared" si="226"/>
        <v>Residential Heating Technology Urban Detached - LPG - Existing 1</v>
      </c>
      <c r="D135" s="535" t="str">
        <f t="shared" si="226"/>
        <v>Urban</v>
      </c>
      <c r="E135" s="535" t="str">
        <f t="shared" si="226"/>
        <v>Detached</v>
      </c>
      <c r="F135" s="255" t="str">
        <f t="shared" si="226"/>
        <v>RESLPG</v>
      </c>
      <c r="G135" s="255" t="str">
        <f t="shared" si="226"/>
        <v>RESHUDB</v>
      </c>
      <c r="H135" s="423">
        <v>2019</v>
      </c>
      <c r="I135" s="297">
        <f t="shared" ref="I135" si="227">ROUNDUP(AB135/($O135*$P135)*$R135,1)</f>
        <v>3543.6</v>
      </c>
      <c r="J135" s="297">
        <f t="shared" ref="J135" si="228">ROUNDUP(AC135/($O135*$P135)*$R135,1)</f>
        <v>0</v>
      </c>
      <c r="K135" s="297">
        <f t="shared" ref="K135" si="229">ROUNDUP(AD135/($O135*$P135)*$R135,1)</f>
        <v>0</v>
      </c>
      <c r="L135" s="463">
        <v>0.95</v>
      </c>
      <c r="M135" s="463">
        <v>0.95</v>
      </c>
      <c r="N135" s="463">
        <v>0.95</v>
      </c>
      <c r="O135" s="257">
        <f t="shared" si="219"/>
        <v>3.1536000000000002E-2</v>
      </c>
      <c r="P135" s="460">
        <v>0.2</v>
      </c>
      <c r="Q135" s="258">
        <v>30</v>
      </c>
      <c r="R135" s="227">
        <v>2</v>
      </c>
      <c r="T135" s="268">
        <f t="shared" si="213"/>
        <v>23.526519915789478</v>
      </c>
      <c r="U135" s="268"/>
      <c r="V135" s="602" t="str">
        <f>'Data manipulation'!$B$25</f>
        <v>Liquefied natural gas</v>
      </c>
      <c r="W135" s="428" t="s">
        <v>790</v>
      </c>
      <c r="X135" s="246">
        <v>2019</v>
      </c>
      <c r="Y135" s="435">
        <f>_xlfn.IFNA(INDEX('Data manipulation'!$C$23:$O$39,MATCH($V135,'Data manipulation'!$B$23:$B$39,0),MATCH($X135,'Data manipulation'!$C$22:$O$22,0))/1000,0)*SUMIFS('Regional split'!$F$4:$F$6,'Regional split'!$B$4:$B$6,Y$3)*SUMIFS('Data manipulation'!$V$39:$V$42,'Data manipulation'!$X$39:$X$42,$E135,'Data manipulation'!$Y$39:$Y$42,$D135)</f>
        <v>11.763091619999999</v>
      </c>
      <c r="Z135" s="432">
        <f>_xlfn.IFNA(INDEX('Data manipulation'!$C$23:$O$39,MATCH($V135,'Data manipulation'!$B$23:$B$39,0),MATCH($X135,'Data manipulation'!$C$22:$O$22,0))/1000,0)*SUMIFS('Regional split'!$F$4:$F$6,'Regional split'!$B$4:$B$6,Z$3)*SUMIFS('Data manipulation'!$V$39:$V$42,'Data manipulation'!$X$39:$X$42,$E135,'Data manipulation'!$Y$39:$Y$42,$D135)</f>
        <v>0</v>
      </c>
      <c r="AA135" s="457">
        <f>_xlfn.IFNA(INDEX('Data manipulation'!$C$23:$O$39,MATCH($V135,'Data manipulation'!$B$23:$B$39,0),MATCH($X135,'Data manipulation'!$C$22:$O$22,0))/1000,0)*SUMIFS('Regional split'!$F$4:$F$6,'Regional split'!$B$4:$B$6,AA$3)*SUMIFS('Data manipulation'!$V$39:$V$42,'Data manipulation'!$X$39:$X$42,$E135,'Data manipulation'!$Y$39:$Y$42,$D135)</f>
        <v>0</v>
      </c>
      <c r="AB135" s="452">
        <f t="shared" si="178"/>
        <v>11.174937038999998</v>
      </c>
      <c r="AC135" s="277">
        <f t="shared" si="179"/>
        <v>0</v>
      </c>
      <c r="AD135" s="448">
        <f t="shared" si="180"/>
        <v>0</v>
      </c>
      <c r="AU135" s="260"/>
      <c r="AZ135" s="252"/>
    </row>
    <row r="136" spans="2:52" ht="15" customHeight="1">
      <c r="B136" s="233" t="str">
        <f t="shared" ref="B136:G136" si="230">B96</f>
        <v>RHTRDNGAE1</v>
      </c>
      <c r="C136" s="233" t="str">
        <f t="shared" si="230"/>
        <v>Residential Heating Technology Rural Detached - Natural Gas - Existing 1</v>
      </c>
      <c r="D136" s="233" t="str">
        <f t="shared" si="230"/>
        <v>Rural</v>
      </c>
      <c r="E136" s="233" t="str">
        <f t="shared" si="230"/>
        <v>Detached</v>
      </c>
      <c r="F136" s="233" t="str">
        <f t="shared" si="230"/>
        <v>RESNGA,RESSNG</v>
      </c>
      <c r="G136" s="233" t="str">
        <f t="shared" si="230"/>
        <v>RESHRDB</v>
      </c>
      <c r="H136" s="259">
        <v>2019</v>
      </c>
      <c r="I136" s="250">
        <f>ROUNDUP(AB136/($O136*$P136)*$R136,1)</f>
        <v>61689.2</v>
      </c>
      <c r="J136" s="250">
        <f>ROUNDUP(AC136/($O136*$P136)*$R136,1)</f>
        <v>0</v>
      </c>
      <c r="K136" s="250">
        <f>ROUNDUP(AD136/($O136*$P136)*$R136,1)</f>
        <v>0</v>
      </c>
      <c r="L136" s="462">
        <v>0.79</v>
      </c>
      <c r="M136" s="462">
        <v>0.79</v>
      </c>
      <c r="N136" s="462">
        <v>0.79</v>
      </c>
      <c r="O136" s="244">
        <f t="shared" si="219"/>
        <v>3.1536000000000002E-2</v>
      </c>
      <c r="P136" s="460">
        <v>0.2</v>
      </c>
      <c r="Q136" s="245">
        <v>25</v>
      </c>
      <c r="R136" s="227">
        <v>2</v>
      </c>
      <c r="T136" s="268">
        <f t="shared" si="213"/>
        <v>492.51407878481012</v>
      </c>
      <c r="U136" s="268"/>
      <c r="V136" s="602" t="str">
        <f>'Data manipulation'!$B$36</f>
        <v>Natural gas, biogas and LNG</v>
      </c>
      <c r="W136" s="246" t="s">
        <v>187</v>
      </c>
      <c r="X136" s="246">
        <v>2019</v>
      </c>
      <c r="Y136" s="434">
        <f>_xlfn.IFNA(INDEX('Data manipulation'!$C$23:$O$39,MATCH($V136,'Data manipulation'!$B$23:$B$39,0),MATCH($X136,'Data manipulation'!$C$22:$O$22,0))/1000,0)*SUMIFS('Regional split'!$F$4:$F$6,'Regional split'!$B$4:$B$6,Y$3)*SUMIFS('Data manipulation'!$V$39:$V$42,'Data manipulation'!$X$39:$X$42,$E136,'Data manipulation'!$Y$39:$Y$42,$D136)</f>
        <v>246.25703501299998</v>
      </c>
      <c r="Z136" s="270">
        <f>_xlfn.IFNA(INDEX('Data manipulation'!$C$23:$O$39,MATCH($V136,'Data manipulation'!$B$23:$B$39,0),MATCH($X136,'Data manipulation'!$C$22:$O$22,0))/1000,0)*SUMIFS('Regional split'!$F$4:$F$6,'Regional split'!$B$4:$B$6,Z$3)*SUMIFS('Data manipulation'!$V$39:$V$42,'Data manipulation'!$X$39:$X$42,$E136,'Data manipulation'!$Y$39:$Y$42,$D136)</f>
        <v>0</v>
      </c>
      <c r="AA136" s="456">
        <f>_xlfn.IFNA(INDEX('Data manipulation'!$C$23:$O$39,MATCH($V136,'Data manipulation'!$B$23:$B$39,0),MATCH($X136,'Data manipulation'!$C$22:$O$22,0))/1000,0)*SUMIFS('Regional split'!$F$4:$F$6,'Regional split'!$B$4:$B$6,AA$3)*SUMIFS('Data manipulation'!$V$39:$V$42,'Data manipulation'!$X$39:$X$42,$E136,'Data manipulation'!$Y$39:$Y$42,$D136)</f>
        <v>0</v>
      </c>
      <c r="AB136" s="453">
        <f t="shared" si="178"/>
        <v>194.54305766026999</v>
      </c>
      <c r="AC136" s="278">
        <f t="shared" si="179"/>
        <v>0</v>
      </c>
      <c r="AD136" s="449">
        <f t="shared" si="180"/>
        <v>0</v>
      </c>
      <c r="AU136" s="260"/>
      <c r="AZ136" s="252"/>
    </row>
    <row r="137" spans="2:52" ht="15" customHeight="1">
      <c r="B137" s="233" t="str">
        <f t="shared" ref="B137:G137" si="231">B97</f>
        <v>RHTRDDSLE1</v>
      </c>
      <c r="C137" s="233" t="str">
        <f t="shared" si="231"/>
        <v>Residential Heating Technology Rural Detached - Diesel - Existing 1</v>
      </c>
      <c r="D137" s="233" t="str">
        <f t="shared" si="231"/>
        <v>Rural</v>
      </c>
      <c r="E137" s="233" t="str">
        <f t="shared" si="231"/>
        <v>Detached</v>
      </c>
      <c r="F137" s="233" t="str">
        <f t="shared" si="231"/>
        <v>RESDSL,RESDSB</v>
      </c>
      <c r="G137" s="233" t="str">
        <f t="shared" si="231"/>
        <v>RESHRDB</v>
      </c>
      <c r="H137" s="259">
        <v>2019</v>
      </c>
      <c r="I137" s="250">
        <f t="shared" ref="I137:I143" si="232">ROUNDUP(AB137/($O137*$P137)*$R137,1)</f>
        <v>31133.599999999999</v>
      </c>
      <c r="J137" s="250">
        <f t="shared" ref="J137:J143" si="233">ROUNDUP(AC137/($O137*$P137)*$R137,1)</f>
        <v>0</v>
      </c>
      <c r="K137" s="250">
        <f t="shared" ref="K137:K143" si="234">ROUNDUP(AD137/($O137*$P137)*$R137,1)</f>
        <v>0</v>
      </c>
      <c r="L137" s="462">
        <v>0.79</v>
      </c>
      <c r="M137" s="462">
        <v>0.79</v>
      </c>
      <c r="N137" s="462">
        <v>0.79</v>
      </c>
      <c r="O137" s="244">
        <f t="shared" si="219"/>
        <v>3.1536000000000002E-2</v>
      </c>
      <c r="P137" s="460">
        <v>0.2</v>
      </c>
      <c r="Q137" s="245">
        <v>20</v>
      </c>
      <c r="R137" s="227">
        <v>2</v>
      </c>
      <c r="T137" s="268">
        <f t="shared" si="213"/>
        <v>248.56435686075949</v>
      </c>
      <c r="V137" s="602" t="str">
        <f>'Data manipulation'!$B$35</f>
        <v>Oil products</v>
      </c>
      <c r="W137" s="254" t="s">
        <v>749</v>
      </c>
      <c r="X137" s="246">
        <v>2019</v>
      </c>
      <c r="Y137" s="434">
        <f>_xlfn.IFNA(INDEX('Data manipulation'!$C$23:$O$39,MATCH($V137,'Data manipulation'!$B$23:$B$39,0),MATCH($X137,'Data manipulation'!$C$22:$O$22,0))/1000,0)*SUMIFS('Regional split'!$F$4:$F$6,'Regional split'!$B$4:$B$6,Y$3)*SUMIFS('Data manipulation'!$V$39:$V$42,'Data manipulation'!$X$39:$X$42,$E137,'Data manipulation'!$Y$39:$Y$42,$D137)</f>
        <v>124.28205611800001</v>
      </c>
      <c r="Z137" s="270">
        <f>_xlfn.IFNA(INDEX('Data manipulation'!$C$23:$O$39,MATCH($V137,'Data manipulation'!$B$23:$B$39,0),MATCH($X137,'Data manipulation'!$C$22:$O$22,0))/1000,0)*SUMIFS('Regional split'!$F$4:$F$6,'Regional split'!$B$4:$B$6,Z$3)*SUMIFS('Data manipulation'!$V$39:$V$42,'Data manipulation'!$X$39:$X$42,$E137,'Data manipulation'!$Y$39:$Y$42,$D137)</f>
        <v>0</v>
      </c>
      <c r="AA137" s="456">
        <f>_xlfn.IFNA(INDEX('Data manipulation'!$C$23:$O$39,MATCH($V137,'Data manipulation'!$B$23:$B$39,0),MATCH($X137,'Data manipulation'!$C$22:$O$22,0))/1000,0)*SUMIFS('Regional split'!$F$4:$F$6,'Regional split'!$B$4:$B$6,AA$3)*SUMIFS('Data manipulation'!$V$39:$V$42,'Data manipulation'!$X$39:$X$42,$E137,'Data manipulation'!$Y$39:$Y$42,$D137)</f>
        <v>0</v>
      </c>
      <c r="AB137" s="445">
        <f t="shared" si="178"/>
        <v>98.182824333220012</v>
      </c>
      <c r="AC137" s="251">
        <f t="shared" si="179"/>
        <v>0</v>
      </c>
      <c r="AD137" s="446">
        <f t="shared" si="180"/>
        <v>0</v>
      </c>
      <c r="AU137" s="260"/>
      <c r="AZ137" s="252"/>
    </row>
    <row r="138" spans="2:52" ht="15" customHeight="1">
      <c r="B138" s="233" t="str">
        <f t="shared" ref="B138:G138" si="235">B98</f>
        <v>RHTRDWPEE1</v>
      </c>
      <c r="C138" s="233" t="str">
        <f t="shared" si="235"/>
        <v>Residential Heating Technology Rural Detached - Wood pellets - Existing 1</v>
      </c>
      <c r="D138" s="233" t="str">
        <f t="shared" si="235"/>
        <v>Rural</v>
      </c>
      <c r="E138" s="233" t="str">
        <f t="shared" si="235"/>
        <v>Detached</v>
      </c>
      <c r="F138" s="233" t="str">
        <f t="shared" si="235"/>
        <v>RESWPE</v>
      </c>
      <c r="G138" s="233" t="str">
        <f t="shared" si="235"/>
        <v>RESHRDB</v>
      </c>
      <c r="H138" s="259">
        <v>2019</v>
      </c>
      <c r="I138" s="250">
        <f t="shared" si="232"/>
        <v>0</v>
      </c>
      <c r="J138" s="250">
        <f t="shared" si="233"/>
        <v>0</v>
      </c>
      <c r="K138" s="250">
        <f t="shared" si="234"/>
        <v>0</v>
      </c>
      <c r="L138" s="462">
        <v>0.67</v>
      </c>
      <c r="M138" s="462">
        <v>0.67</v>
      </c>
      <c r="N138" s="462">
        <v>0.67</v>
      </c>
      <c r="O138" s="244">
        <f>31.536/1000</f>
        <v>3.1536000000000002E-2</v>
      </c>
      <c r="P138" s="460">
        <v>0.2</v>
      </c>
      <c r="Q138" s="245">
        <v>20</v>
      </c>
      <c r="R138" s="227">
        <v>2</v>
      </c>
      <c r="T138" s="268">
        <f t="shared" si="213"/>
        <v>0</v>
      </c>
      <c r="U138" s="268"/>
      <c r="V138" s="602" t="s">
        <v>206</v>
      </c>
      <c r="W138" s="254" t="s">
        <v>896</v>
      </c>
      <c r="X138" s="246">
        <v>2019</v>
      </c>
      <c r="Y138" s="434">
        <f>_xlfn.IFNA(INDEX('Data manipulation'!$C$23:$O$39,MATCH($V138,'Data manipulation'!$B$23:$B$39,0),MATCH($X138,'Data manipulation'!$C$22:$O$22,0))/1000,0)*SUMIFS('Regional split'!$F$4:$F$6,'Regional split'!$B$4:$B$6,Y$3)*SUMIFS('Data manipulation'!$V$39:$V$42,'Data manipulation'!$X$39:$X$42,$E138,'Data manipulation'!$Y$39:$Y$42,$D138)</f>
        <v>0</v>
      </c>
      <c r="Z138" s="270">
        <f>_xlfn.IFNA(INDEX('Data manipulation'!$C$23:$O$39,MATCH($V138,'Data manipulation'!$B$23:$B$39,0),MATCH($X138,'Data manipulation'!$C$22:$O$22,0))/1000,0)*SUMIFS('Regional split'!$F$4:$F$6,'Regional split'!$B$4:$B$6,Z$3)*SUMIFS('Data manipulation'!$V$39:$V$42,'Data manipulation'!$X$39:$X$42,$E138,'Data manipulation'!$Y$39:$Y$42,$D138)</f>
        <v>0</v>
      </c>
      <c r="AA138" s="456">
        <f>_xlfn.IFNA(INDEX('Data manipulation'!$C$23:$O$39,MATCH($V138,'Data manipulation'!$B$23:$B$39,0),MATCH($X138,'Data manipulation'!$C$22:$O$22,0))/1000,0)*SUMIFS('Regional split'!$F$4:$F$6,'Regional split'!$B$4:$B$6,AA$3)*SUMIFS('Data manipulation'!$V$39:$V$42,'Data manipulation'!$X$39:$X$42,$E138,'Data manipulation'!$Y$39:$Y$42,$D138)</f>
        <v>0</v>
      </c>
      <c r="AB138" s="445">
        <f t="shared" si="178"/>
        <v>0</v>
      </c>
      <c r="AC138" s="251">
        <f t="shared" si="179"/>
        <v>0</v>
      </c>
      <c r="AD138" s="446">
        <f t="shared" si="180"/>
        <v>0</v>
      </c>
      <c r="AU138" s="260"/>
      <c r="AZ138" s="252"/>
    </row>
    <row r="139" spans="2:52" ht="15" customHeight="1">
      <c r="B139" s="233" t="str">
        <f t="shared" ref="B139:G139" si="236">B99</f>
        <v>RHTRDFIWE1</v>
      </c>
      <c r="C139" s="233" t="str">
        <f t="shared" si="236"/>
        <v>Residential Heating Technology Rural Detached - Fire wood - Existing 1</v>
      </c>
      <c r="D139" s="233" t="str">
        <f t="shared" si="236"/>
        <v>Rural</v>
      </c>
      <c r="E139" s="233" t="str">
        <f t="shared" si="236"/>
        <v>Detached</v>
      </c>
      <c r="F139" s="233" t="str">
        <f t="shared" si="236"/>
        <v>RESFIW</v>
      </c>
      <c r="G139" s="233" t="str">
        <f t="shared" si="236"/>
        <v>RESHRDB</v>
      </c>
      <c r="H139" s="259">
        <v>2019</v>
      </c>
      <c r="I139" s="250">
        <f t="shared" si="232"/>
        <v>14718</v>
      </c>
      <c r="J139" s="250">
        <f t="shared" si="233"/>
        <v>0</v>
      </c>
      <c r="K139" s="250">
        <f t="shared" si="234"/>
        <v>0</v>
      </c>
      <c r="L139" s="462">
        <v>0.67</v>
      </c>
      <c r="M139" s="462">
        <v>0.67</v>
      </c>
      <c r="N139" s="462">
        <v>0.67</v>
      </c>
      <c r="O139" s="244">
        <f>31.536/1000</f>
        <v>3.1536000000000002E-2</v>
      </c>
      <c r="P139" s="460">
        <v>0.2</v>
      </c>
      <c r="Q139" s="245">
        <v>20</v>
      </c>
      <c r="R139" s="227">
        <v>2</v>
      </c>
      <c r="T139" s="268">
        <f t="shared" si="213"/>
        <v>138.55129791044777</v>
      </c>
      <c r="U139" s="268"/>
      <c r="V139" s="602" t="str">
        <f>'Data manipulation'!$B$31</f>
        <v>Primary solid biofuels</v>
      </c>
      <c r="W139" s="254" t="s">
        <v>196</v>
      </c>
      <c r="X139" s="246">
        <v>2019</v>
      </c>
      <c r="Y139" s="434">
        <f>_xlfn.IFNA(INDEX('Data manipulation'!$C$23:$O$39,MATCH($V139,'Data manipulation'!$B$23:$B$39,0),MATCH($X139,'Data manipulation'!$C$22:$O$22,0))/1000,0)*SUMIFS('Regional split'!$F$4:$F$6,'Regional split'!$B$4:$B$6,Y$3)*SUMIFS('Data manipulation'!$V$39:$V$42,'Data manipulation'!$X$39:$X$42,$E139,'Data manipulation'!$Y$39:$Y$42,$D139)</f>
        <v>69.275299093000001</v>
      </c>
      <c r="Z139" s="270">
        <f>_xlfn.IFNA(INDEX('Data manipulation'!$C$23:$O$39,MATCH($V139,'Data manipulation'!$B$23:$B$39,0),MATCH($X139,'Data manipulation'!$C$22:$O$22,0))/1000,0)*SUMIFS('Regional split'!$F$4:$F$6,'Regional split'!$B$4:$B$6,Z$3)*SUMIFS('Data manipulation'!$V$39:$V$42,'Data manipulation'!$X$39:$X$42,$E139,'Data manipulation'!$Y$39:$Y$42,$D139)</f>
        <v>0</v>
      </c>
      <c r="AA139" s="456">
        <f>_xlfn.IFNA(INDEX('Data manipulation'!$C$23:$O$39,MATCH($V139,'Data manipulation'!$B$23:$B$39,0),MATCH($X139,'Data manipulation'!$C$22:$O$22,0))/1000,0)*SUMIFS('Regional split'!$F$4:$F$6,'Regional split'!$B$4:$B$6,AA$3)*SUMIFS('Data manipulation'!$V$39:$V$42,'Data manipulation'!$X$39:$X$42,$E139,'Data manipulation'!$Y$39:$Y$42,$D139)</f>
        <v>0</v>
      </c>
      <c r="AB139" s="445">
        <f t="shared" si="178"/>
        <v>46.414450392310002</v>
      </c>
      <c r="AC139" s="251">
        <f t="shared" si="179"/>
        <v>0</v>
      </c>
      <c r="AD139" s="446">
        <f t="shared" si="180"/>
        <v>0</v>
      </c>
      <c r="AU139" s="260"/>
      <c r="AZ139" s="252"/>
    </row>
    <row r="140" spans="2:52" ht="15" customHeight="1">
      <c r="B140" s="233" t="str">
        <f t="shared" ref="B140:G140" si="237">B100</f>
        <v>RHTRDCOAE1</v>
      </c>
      <c r="C140" s="233" t="str">
        <f t="shared" si="237"/>
        <v>Residential Heating Technology Rural Detached - Coal - Existing 1</v>
      </c>
      <c r="D140" s="233" t="str">
        <f t="shared" si="237"/>
        <v>Rural</v>
      </c>
      <c r="E140" s="233" t="str">
        <f t="shared" si="237"/>
        <v>Detached</v>
      </c>
      <c r="F140" s="233" t="str">
        <f t="shared" si="237"/>
        <v>RESCOA</v>
      </c>
      <c r="G140" s="233" t="str">
        <f t="shared" si="237"/>
        <v>RESHRDB</v>
      </c>
      <c r="H140" s="259">
        <v>2019</v>
      </c>
      <c r="I140" s="250">
        <f t="shared" si="232"/>
        <v>1052.6999999999998</v>
      </c>
      <c r="J140" s="250">
        <f t="shared" si="233"/>
        <v>0</v>
      </c>
      <c r="K140" s="250">
        <f t="shared" si="234"/>
        <v>0</v>
      </c>
      <c r="L140" s="462">
        <v>0.72</v>
      </c>
      <c r="M140" s="462">
        <v>0.72</v>
      </c>
      <c r="N140" s="462">
        <v>0.72</v>
      </c>
      <c r="O140" s="244">
        <f t="shared" si="219"/>
        <v>3.1536000000000002E-2</v>
      </c>
      <c r="P140" s="460">
        <v>0.2</v>
      </c>
      <c r="Q140" s="245">
        <v>20</v>
      </c>
      <c r="R140" s="227">
        <v>2</v>
      </c>
      <c r="T140" s="268">
        <f t="shared" si="213"/>
        <v>9.2216519999999988</v>
      </c>
      <c r="U140" s="268"/>
      <c r="V140" s="602" t="str">
        <f>'Data manipulation'!$B$23</f>
        <v>Solid fossil fuels, peat, peat products, oil shale and oil sands</v>
      </c>
      <c r="W140" s="254" t="s">
        <v>893</v>
      </c>
      <c r="X140" s="246">
        <v>2019</v>
      </c>
      <c r="Y140" s="434">
        <f>_xlfn.IFNA(INDEX('Data manipulation'!$C$23:$O$39,MATCH($V140,'Data manipulation'!$B$23:$B$39,0),MATCH($X140,'Data manipulation'!$C$22:$O$22,0))/1000,0)*SUMIFS('Regional split'!$F$4:$F$6,'Regional split'!$B$4:$B$6,Y$3)*SUMIFS('Data manipulation'!$V$39:$V$42,'Data manipulation'!$X$39:$X$42,$E140,'Data manipulation'!$Y$39:$Y$42,$D140)</f>
        <v>4.6107634759999998</v>
      </c>
      <c r="Z140" s="270">
        <f>_xlfn.IFNA(INDEX('Data manipulation'!$C$23:$O$39,MATCH($V140,'Data manipulation'!$B$23:$B$39,0),MATCH($X140,'Data manipulation'!$C$22:$O$22,0))/1000,0)*SUMIFS('Regional split'!$F$4:$F$6,'Regional split'!$B$4:$B$6,Z$3)*SUMIFS('Data manipulation'!$V$39:$V$42,'Data manipulation'!$X$39:$X$42,$E140,'Data manipulation'!$Y$39:$Y$42,$D140)</f>
        <v>0</v>
      </c>
      <c r="AA140" s="456">
        <f>_xlfn.IFNA(INDEX('Data manipulation'!$C$23:$O$39,MATCH($V140,'Data manipulation'!$B$23:$B$39,0),MATCH($X140,'Data manipulation'!$C$22:$O$22,0))/1000,0)*SUMIFS('Regional split'!$F$4:$F$6,'Regional split'!$B$4:$B$6,AA$3)*SUMIFS('Data manipulation'!$V$39:$V$42,'Data manipulation'!$X$39:$X$42,$E140,'Data manipulation'!$Y$39:$Y$42,$D140)</f>
        <v>0</v>
      </c>
      <c r="AB140" s="445">
        <f t="shared" si="178"/>
        <v>3.3197497027199998</v>
      </c>
      <c r="AC140" s="251">
        <f t="shared" si="179"/>
        <v>0</v>
      </c>
      <c r="AD140" s="446">
        <f t="shared" si="180"/>
        <v>0</v>
      </c>
      <c r="AU140" s="260"/>
      <c r="AZ140" s="252"/>
    </row>
    <row r="141" spans="2:52" ht="15" customHeight="1">
      <c r="B141" s="233" t="str">
        <f t="shared" ref="B141:G141" si="238">B101</f>
        <v>RHTRDSOLE1</v>
      </c>
      <c r="C141" s="233" t="str">
        <f t="shared" si="238"/>
        <v>Residential Heating Technology Rural Detached - Solar - Existing 1</v>
      </c>
      <c r="D141" s="233" t="str">
        <f t="shared" si="238"/>
        <v>Rural</v>
      </c>
      <c r="E141" s="233" t="str">
        <f t="shared" si="238"/>
        <v>Detached</v>
      </c>
      <c r="F141" s="233" t="str">
        <f t="shared" si="238"/>
        <v>RESSOL</v>
      </c>
      <c r="G141" s="233" t="str">
        <f t="shared" si="238"/>
        <v>RESHRDB</v>
      </c>
      <c r="H141" s="259">
        <v>2019</v>
      </c>
      <c r="I141" s="250">
        <f t="shared" si="232"/>
        <v>387.1</v>
      </c>
      <c r="J141" s="250">
        <f t="shared" si="233"/>
        <v>0</v>
      </c>
      <c r="K141" s="250">
        <f t="shared" si="234"/>
        <v>0</v>
      </c>
      <c r="L141" s="462">
        <v>1</v>
      </c>
      <c r="M141" s="462">
        <v>1</v>
      </c>
      <c r="N141" s="462">
        <v>1</v>
      </c>
      <c r="O141" s="244">
        <f t="shared" si="219"/>
        <v>3.1536000000000002E-2</v>
      </c>
      <c r="P141" s="460">
        <v>0.2</v>
      </c>
      <c r="Q141" s="245">
        <v>20</v>
      </c>
      <c r="R141" s="227">
        <v>2</v>
      </c>
      <c r="T141" s="268">
        <f t="shared" si="213"/>
        <v>2.4415171200000003</v>
      </c>
      <c r="U141" s="268"/>
      <c r="V141" s="602" t="str">
        <f>'Data manipulation'!$B$29</f>
        <v>Solar thermal</v>
      </c>
      <c r="W141" s="254" t="s">
        <v>188</v>
      </c>
      <c r="X141" s="246">
        <v>2019</v>
      </c>
      <c r="Y141" s="434">
        <f>_xlfn.IFNA(INDEX('Data manipulation'!$C$23:$O$39,MATCH($V141,'Data manipulation'!$B$23:$B$39,0),MATCH($X141,'Data manipulation'!$C$22:$O$22,0))/1000,0)*SUMIFS('Regional split'!$F$4:$F$6,'Regional split'!$B$4:$B$6,Y$3)*SUMIFS('Data manipulation'!$V$39:$V$42,'Data manipulation'!$X$39:$X$42,$E141,'Data manipulation'!$Y$39:$Y$42,$D141)</f>
        <v>1.2206984789999999</v>
      </c>
      <c r="Z141" s="270">
        <f>_xlfn.IFNA(INDEX('Data manipulation'!$C$23:$O$39,MATCH($V141,'Data manipulation'!$B$23:$B$39,0),MATCH($X141,'Data manipulation'!$C$22:$O$22,0))/1000,0)*SUMIFS('Regional split'!$F$4:$F$6,'Regional split'!$B$4:$B$6,Z$3)*SUMIFS('Data manipulation'!$V$39:$V$42,'Data manipulation'!$X$39:$X$42,$E141,'Data manipulation'!$Y$39:$Y$42,$D141)</f>
        <v>0</v>
      </c>
      <c r="AA141" s="456">
        <f>_xlfn.IFNA(INDEX('Data manipulation'!$C$23:$O$39,MATCH($V141,'Data manipulation'!$B$23:$B$39,0),MATCH($X141,'Data manipulation'!$C$22:$O$22,0))/1000,0)*SUMIFS('Regional split'!$F$4:$F$6,'Regional split'!$B$4:$B$6,AA$3)*SUMIFS('Data manipulation'!$V$39:$V$42,'Data manipulation'!$X$39:$X$42,$E141,'Data manipulation'!$Y$39:$Y$42,$D141)</f>
        <v>0</v>
      </c>
      <c r="AB141" s="445">
        <f t="shared" si="178"/>
        <v>1.2206984789999999</v>
      </c>
      <c r="AC141" s="251">
        <f t="shared" si="179"/>
        <v>0</v>
      </c>
      <c r="AD141" s="446">
        <f t="shared" si="180"/>
        <v>0</v>
      </c>
      <c r="AU141" s="260"/>
      <c r="AZ141" s="252"/>
    </row>
    <row r="142" spans="2:52" ht="15" customHeight="1">
      <c r="B142" s="233" t="str">
        <f t="shared" ref="B142:G142" si="239">B102</f>
        <v>RHTRDELCHE1</v>
      </c>
      <c r="C142" s="233" t="str">
        <f t="shared" si="239"/>
        <v>Residential Heating Technology Rural Detached - Electricity Heating - Existing 1</v>
      </c>
      <c r="D142" s="233" t="str">
        <f t="shared" si="239"/>
        <v>Rural</v>
      </c>
      <c r="E142" s="233" t="str">
        <f t="shared" si="239"/>
        <v>Detached</v>
      </c>
      <c r="F142" s="233" t="str">
        <f t="shared" si="239"/>
        <v>RESELCH</v>
      </c>
      <c r="G142" s="233" t="str">
        <f t="shared" si="239"/>
        <v>RESHRDB</v>
      </c>
      <c r="H142" s="259">
        <v>2019</v>
      </c>
      <c r="I142" s="250">
        <f t="shared" si="232"/>
        <v>2752.9</v>
      </c>
      <c r="J142" s="250">
        <f t="shared" si="233"/>
        <v>0</v>
      </c>
      <c r="K142" s="250">
        <f t="shared" si="234"/>
        <v>0</v>
      </c>
      <c r="L142" s="462">
        <v>1</v>
      </c>
      <c r="M142" s="462">
        <v>1</v>
      </c>
      <c r="N142" s="462">
        <v>1</v>
      </c>
      <c r="O142" s="244">
        <f t="shared" si="219"/>
        <v>3.1536000000000002E-2</v>
      </c>
      <c r="P142" s="460">
        <v>0.2</v>
      </c>
      <c r="Q142" s="245">
        <v>30</v>
      </c>
      <c r="R142" s="227">
        <v>2</v>
      </c>
      <c r="T142" s="268">
        <f t="shared" si="213"/>
        <v>17.363090880000001</v>
      </c>
      <c r="U142" s="268"/>
      <c r="V142" s="602" t="str">
        <f>'Data manipulation'!$B$33</f>
        <v>Electricity</v>
      </c>
      <c r="W142" s="254" t="s">
        <v>189</v>
      </c>
      <c r="X142" s="246">
        <v>2019</v>
      </c>
      <c r="Y142" s="434">
        <f>_xlfn.IFNA(INDEX('Data manipulation'!$C$23:$O$39,MATCH($V142,'Data manipulation'!$B$23:$B$39,0),MATCH($X142,'Data manipulation'!$C$22:$O$22,0))/1000,0)*SUMIFS('Regional split'!$F$4:$F$6,'Regional split'!$B$4:$B$6,Y$3)*SUMIFS('Data manipulation'!$V$39:$V$42,'Data manipulation'!$X$39:$X$42,$E142,'Data manipulation'!$Y$39:$Y$42,$D142)</f>
        <v>8.6814057219999992</v>
      </c>
      <c r="Z142" s="270">
        <f>_xlfn.IFNA(INDEX('Data manipulation'!$C$23:$O$39,MATCH($V142,'Data manipulation'!$B$23:$B$39,0),MATCH($X142,'Data manipulation'!$C$22:$O$22,0))/1000,0)*SUMIFS('Regional split'!$F$4:$F$6,'Regional split'!$B$4:$B$6,Z$3)*SUMIFS('Data manipulation'!$V$39:$V$42,'Data manipulation'!$X$39:$X$42,$E142,'Data manipulation'!$Y$39:$Y$42,$D142)</f>
        <v>0</v>
      </c>
      <c r="AA142" s="456">
        <f>_xlfn.IFNA(INDEX('Data manipulation'!$C$23:$O$39,MATCH($V142,'Data manipulation'!$B$23:$B$39,0),MATCH($X142,'Data manipulation'!$C$22:$O$22,0))/1000,0)*SUMIFS('Regional split'!$F$4:$F$6,'Regional split'!$B$4:$B$6,AA$3)*SUMIFS('Data manipulation'!$V$39:$V$42,'Data manipulation'!$X$39:$X$42,$E142,'Data manipulation'!$Y$39:$Y$42,$D142)</f>
        <v>0</v>
      </c>
      <c r="AB142" s="445">
        <f t="shared" si="178"/>
        <v>8.6814057219999992</v>
      </c>
      <c r="AC142" s="251">
        <f t="shared" si="179"/>
        <v>0</v>
      </c>
      <c r="AD142" s="446">
        <f t="shared" si="180"/>
        <v>0</v>
      </c>
      <c r="AU142" s="260"/>
      <c r="AZ142" s="252"/>
    </row>
    <row r="143" spans="2:52" ht="15" customHeight="1">
      <c r="B143" s="233" t="str">
        <f t="shared" ref="B143:G143" si="240">B103</f>
        <v>RHTRDELCHE2</v>
      </c>
      <c r="C143" s="233" t="str">
        <f t="shared" si="240"/>
        <v>Residential Heating Technology Rural Detached - Electricity Heating - Existing 2</v>
      </c>
      <c r="D143" s="233" t="str">
        <f t="shared" si="240"/>
        <v>Rural</v>
      </c>
      <c r="E143" s="233" t="str">
        <f t="shared" si="240"/>
        <v>Detached</v>
      </c>
      <c r="F143" s="233" t="str">
        <f t="shared" si="240"/>
        <v>RESELCH</v>
      </c>
      <c r="G143" s="233" t="str">
        <f t="shared" si="240"/>
        <v>RESHRDB</v>
      </c>
      <c r="H143" s="259">
        <v>2019</v>
      </c>
      <c r="I143" s="250">
        <f t="shared" si="232"/>
        <v>10253.200000000001</v>
      </c>
      <c r="J143" s="250">
        <f t="shared" si="233"/>
        <v>0</v>
      </c>
      <c r="K143" s="250">
        <f t="shared" si="234"/>
        <v>0</v>
      </c>
      <c r="L143" s="462">
        <v>2.3149999999999999</v>
      </c>
      <c r="M143" s="462">
        <v>2.3149999999999999</v>
      </c>
      <c r="N143" s="462">
        <v>2.3149999999999999</v>
      </c>
      <c r="O143" s="244">
        <f t="shared" si="219"/>
        <v>3.1536000000000002E-2</v>
      </c>
      <c r="P143" s="460">
        <v>0.2</v>
      </c>
      <c r="Q143" s="245">
        <v>30</v>
      </c>
      <c r="R143" s="227">
        <v>2</v>
      </c>
      <c r="T143" s="268">
        <f t="shared" si="213"/>
        <v>27.934765892008645</v>
      </c>
      <c r="U143" s="268"/>
      <c r="V143" s="602" t="str">
        <f>'Data manipulation'!$B$30</f>
        <v>Ambient heat (heat pumps)</v>
      </c>
      <c r="W143" s="254" t="s">
        <v>190</v>
      </c>
      <c r="X143" s="246">
        <v>2019</v>
      </c>
      <c r="Y143" s="434">
        <f>_xlfn.IFNA(INDEX('Data manipulation'!$C$23:$O$39,MATCH($V143,'Data manipulation'!$B$23:$B$39,0),MATCH($X143,'Data manipulation'!$C$22:$O$22,0))/1000,0)*SUMIFS('Regional split'!$F$4:$F$6,'Regional split'!$B$4:$B$6,Y$3)*SUMIFS('Data manipulation'!$V$39:$V$42,'Data manipulation'!$X$39:$X$42,$E143,'Data manipulation'!$Y$39:$Y$42,$D143)</f>
        <v>13.96730335</v>
      </c>
      <c r="Z143" s="270">
        <f>_xlfn.IFNA(INDEX('Data manipulation'!$C$23:$O$39,MATCH($V143,'Data manipulation'!$B$23:$B$39,0),MATCH($X143,'Data manipulation'!$C$22:$O$22,0))/1000,0)*SUMIFS('Regional split'!$F$4:$F$6,'Regional split'!$B$4:$B$6,Z$3)*SUMIFS('Data manipulation'!$V$39:$V$42,'Data manipulation'!$X$39:$X$42,$E143,'Data manipulation'!$Y$39:$Y$42,$D143)</f>
        <v>0</v>
      </c>
      <c r="AA143" s="456">
        <f>_xlfn.IFNA(INDEX('Data manipulation'!$C$23:$O$39,MATCH($V143,'Data manipulation'!$B$23:$B$39,0),MATCH($X143,'Data manipulation'!$C$22:$O$22,0))/1000,0)*SUMIFS('Regional split'!$F$4:$F$6,'Regional split'!$B$4:$B$6,AA$3)*SUMIFS('Data manipulation'!$V$39:$V$42,'Data manipulation'!$X$39:$X$42,$E143,'Data manipulation'!$Y$39:$Y$42,$D143)</f>
        <v>0</v>
      </c>
      <c r="AB143" s="445">
        <f t="shared" si="178"/>
        <v>32.334307255249996</v>
      </c>
      <c r="AC143" s="251">
        <f t="shared" si="179"/>
        <v>0</v>
      </c>
      <c r="AD143" s="446">
        <f t="shared" si="180"/>
        <v>0</v>
      </c>
      <c r="AU143" s="260"/>
      <c r="AZ143" s="252"/>
    </row>
    <row r="144" spans="2:52" ht="15" customHeight="1">
      <c r="B144" s="233" t="str">
        <f t="shared" ref="B144:G144" si="241">B104</f>
        <v>RHTRDHCEE1</v>
      </c>
      <c r="C144" s="233" t="str">
        <f t="shared" si="241"/>
        <v>Residential Heating Technology Rural Detached - District heating Central - Existing 1</v>
      </c>
      <c r="D144" s="233" t="str">
        <f t="shared" si="241"/>
        <v>Rural</v>
      </c>
      <c r="E144" s="233" t="str">
        <f t="shared" si="241"/>
        <v>Detached</v>
      </c>
      <c r="F144" s="233" t="str">
        <f t="shared" si="241"/>
        <v>RESHDE</v>
      </c>
      <c r="G144" s="233" t="str">
        <f t="shared" si="241"/>
        <v>RESHRDX</v>
      </c>
      <c r="H144" s="261">
        <v>2019</v>
      </c>
      <c r="I144" s="572">
        <v>0</v>
      </c>
      <c r="J144" s="572">
        <v>0</v>
      </c>
      <c r="K144" s="572">
        <v>0</v>
      </c>
      <c r="L144" s="462">
        <v>0.98</v>
      </c>
      <c r="M144" s="462">
        <v>0.98</v>
      </c>
      <c r="N144" s="462">
        <v>0.98</v>
      </c>
      <c r="O144" s="244">
        <f t="shared" si="219"/>
        <v>3.1536000000000002E-2</v>
      </c>
      <c r="P144" s="460">
        <v>0.2</v>
      </c>
      <c r="Q144" s="245">
        <v>30</v>
      </c>
      <c r="R144" s="227">
        <v>2</v>
      </c>
      <c r="T144" s="268">
        <f t="shared" si="213"/>
        <v>0</v>
      </c>
      <c r="U144" s="268"/>
      <c r="V144" s="602" t="str">
        <f>'Data manipulation'!$B$34</f>
        <v>Heat</v>
      </c>
      <c r="W144" s="254" t="s">
        <v>191</v>
      </c>
      <c r="X144" s="246">
        <v>2019</v>
      </c>
      <c r="Y144" s="434">
        <f>_xlfn.IFNA(INDEX('Data manipulation'!$C$23:$O$39,MATCH($V144,'Data manipulation'!$B$23:$B$39,0),MATCH($X144,'Data manipulation'!$C$22:$O$22,0))/1000,0)*SUMIFS('Regional split'!$F$4:$F$6,'Regional split'!$B$4:$B$6,Y$3)*SUMIFS('Data manipulation'!$V$39:$V$42,'Data manipulation'!$X$39:$X$42,$E144,'Data manipulation'!$Y$39:$Y$42,$D144)</f>
        <v>44.434604807999996</v>
      </c>
      <c r="Z144" s="270">
        <f>_xlfn.IFNA(INDEX('Data manipulation'!$C$23:$O$39,MATCH($V144,'Data manipulation'!$B$23:$B$39,0),MATCH($X144,'Data manipulation'!$C$22:$O$22,0))/1000,0)*SUMIFS('Regional split'!$F$4:$F$6,'Regional split'!$B$4:$B$6,Z$3)*SUMIFS('Data manipulation'!$V$39:$V$42,'Data manipulation'!$X$39:$X$42,$E144,'Data manipulation'!$Y$39:$Y$42,$D144)</f>
        <v>0</v>
      </c>
      <c r="AA144" s="456">
        <f>_xlfn.IFNA(INDEX('Data manipulation'!$C$23:$O$39,MATCH($V144,'Data manipulation'!$B$23:$B$39,0),MATCH($X144,'Data manipulation'!$C$22:$O$22,0))/1000,0)*SUMIFS('Regional split'!$F$4:$F$6,'Regional split'!$B$4:$B$6,AA$3)*SUMIFS('Data manipulation'!$V$39:$V$42,'Data manipulation'!$X$39:$X$42,$E144,'Data manipulation'!$Y$39:$Y$42,$D144)</f>
        <v>0</v>
      </c>
      <c r="AB144" s="445">
        <f t="shared" si="178"/>
        <v>43.545912711839996</v>
      </c>
      <c r="AC144" s="251">
        <f t="shared" si="179"/>
        <v>0</v>
      </c>
      <c r="AD144" s="446">
        <f t="shared" si="180"/>
        <v>0</v>
      </c>
      <c r="AU144" s="260"/>
      <c r="AZ144" s="252"/>
    </row>
    <row r="145" spans="2:52" ht="15" customHeight="1" thickBot="1">
      <c r="B145" s="233" t="str">
        <f t="shared" ref="B145:G145" si="242">B105</f>
        <v>RHTRDLPGE1</v>
      </c>
      <c r="C145" s="233" t="str">
        <f t="shared" si="242"/>
        <v>Residential Heating Technology Rural Detached - LPG - Existing 1</v>
      </c>
      <c r="D145" s="233" t="str">
        <f t="shared" si="242"/>
        <v>Rural</v>
      </c>
      <c r="E145" s="233" t="str">
        <f t="shared" si="242"/>
        <v>Detached</v>
      </c>
      <c r="F145" s="233" t="str">
        <f t="shared" si="242"/>
        <v>RESLPG</v>
      </c>
      <c r="G145" s="233" t="str">
        <f t="shared" si="242"/>
        <v>RESHRDB</v>
      </c>
      <c r="H145" s="261">
        <v>2019</v>
      </c>
      <c r="I145" s="297">
        <f t="shared" ref="I145" si="243">ROUNDUP(AB145/($O145*$P145)*$R145,1)</f>
        <v>0</v>
      </c>
      <c r="J145" s="297">
        <f t="shared" ref="J145" si="244">ROUNDUP(AC145/($O145*$P145)*$R145,1)</f>
        <v>0</v>
      </c>
      <c r="K145" s="297">
        <f t="shared" ref="K145" si="245">ROUNDUP(AD145/($O145*$P145)*$R145,1)</f>
        <v>0</v>
      </c>
      <c r="L145" s="462">
        <v>0.98</v>
      </c>
      <c r="M145" s="462">
        <v>0.98</v>
      </c>
      <c r="N145" s="462">
        <v>0.98</v>
      </c>
      <c r="O145" s="244">
        <f t="shared" si="219"/>
        <v>3.1536000000000002E-2</v>
      </c>
      <c r="P145" s="460">
        <v>0.2</v>
      </c>
      <c r="Q145" s="245">
        <v>30</v>
      </c>
      <c r="R145" s="227">
        <v>2</v>
      </c>
      <c r="T145" s="268">
        <f t="shared" si="213"/>
        <v>0</v>
      </c>
      <c r="U145" s="268"/>
      <c r="V145" s="602" t="s">
        <v>790</v>
      </c>
      <c r="W145" s="428" t="s">
        <v>790</v>
      </c>
      <c r="X145" s="246">
        <v>2019</v>
      </c>
      <c r="Y145" s="435">
        <f>_xlfn.IFNA(INDEX('Data manipulation'!$C$23:$O$39,MATCH($V145,'Data manipulation'!$B$23:$B$39,0),MATCH($X145,'Data manipulation'!$C$22:$O$22,0))/1000,0)*SUMIFS('Regional split'!$F$4:$F$6,'Regional split'!$B$4:$B$6,Y$3)*SUMIFS('Data manipulation'!$V$39:$V$42,'Data manipulation'!$X$39:$X$42,$E145,'Data manipulation'!$Y$39:$Y$42,$D145)</f>
        <v>0</v>
      </c>
      <c r="Z145" s="432">
        <f>_xlfn.IFNA(INDEX('Data manipulation'!$C$23:$O$39,MATCH($V145,'Data manipulation'!$B$23:$B$39,0),MATCH($X145,'Data manipulation'!$C$22:$O$22,0))/1000,0)*SUMIFS('Regional split'!$F$4:$F$6,'Regional split'!$B$4:$B$6,Z$3)*SUMIFS('Data manipulation'!$V$39:$V$42,'Data manipulation'!$X$39:$X$42,$E145,'Data manipulation'!$Y$39:$Y$42,$D145)</f>
        <v>0</v>
      </c>
      <c r="AA145" s="457">
        <f>_xlfn.IFNA(INDEX('Data manipulation'!$C$23:$O$39,MATCH($V145,'Data manipulation'!$B$23:$B$39,0),MATCH($X145,'Data manipulation'!$C$22:$O$22,0))/1000,0)*SUMIFS('Regional split'!$F$4:$F$6,'Regional split'!$B$4:$B$6,AA$3)*SUMIFS('Data manipulation'!$V$39:$V$42,'Data manipulation'!$X$39:$X$42,$E145,'Data manipulation'!$Y$39:$Y$42,$D145)</f>
        <v>0</v>
      </c>
      <c r="AB145" s="447">
        <f t="shared" si="178"/>
        <v>0</v>
      </c>
      <c r="AC145" s="433">
        <f t="shared" si="179"/>
        <v>0</v>
      </c>
      <c r="AD145" s="454">
        <f t="shared" si="180"/>
        <v>0</v>
      </c>
      <c r="AU145" s="260"/>
      <c r="AZ145" s="252"/>
    </row>
    <row r="146" spans="2:52" ht="15" customHeight="1">
      <c r="B146" s="227" t="str">
        <f t="shared" ref="B146:E146" si="246">B106</f>
        <v>RHTUMNGAE1</v>
      </c>
      <c r="C146" s="227" t="str">
        <f t="shared" si="246"/>
        <v>Residential Heating Technology Urban Multi - Natural Gas - Existing 1</v>
      </c>
      <c r="D146" s="227" t="str">
        <f t="shared" si="246"/>
        <v>Urban</v>
      </c>
      <c r="E146" s="227" t="str">
        <f t="shared" si="246"/>
        <v>Multi storey</v>
      </c>
      <c r="F146" s="227" t="str">
        <f>F106</f>
        <v>RESNGA,RESSNG</v>
      </c>
      <c r="G146" s="227" t="str">
        <f>G106</f>
        <v>RESHUMB</v>
      </c>
      <c r="H146" s="230">
        <v>2019</v>
      </c>
      <c r="I146" s="250">
        <f>ROUNDUP(AB146/($O146*$P146)*$R146,1)</f>
        <v>43533.299999999996</v>
      </c>
      <c r="J146" s="250">
        <f>ROUNDUP(AC146/($O146*$P146)*$R146,1)</f>
        <v>0</v>
      </c>
      <c r="K146" s="250">
        <f>ROUNDUP(AD146/($O146*$P146)*$R146,1)</f>
        <v>0</v>
      </c>
      <c r="L146" s="462">
        <v>0.72</v>
      </c>
      <c r="M146" s="462">
        <v>0.72</v>
      </c>
      <c r="N146" s="462">
        <v>0.72</v>
      </c>
      <c r="O146" s="244">
        <f>31.536/1000</f>
        <v>3.1536000000000002E-2</v>
      </c>
      <c r="P146" s="460">
        <v>0.2</v>
      </c>
      <c r="Q146" s="245">
        <v>22</v>
      </c>
      <c r="R146" s="227">
        <v>2</v>
      </c>
      <c r="T146" s="268">
        <f t="shared" si="213"/>
        <v>381.35170800000003</v>
      </c>
      <c r="U146" s="268"/>
      <c r="V146" s="602" t="str">
        <f>'Data manipulation'!$B$36</f>
        <v>Natural gas, biogas and LNG</v>
      </c>
      <c r="W146" s="246" t="s">
        <v>187</v>
      </c>
      <c r="X146" s="246">
        <v>2019</v>
      </c>
      <c r="Y146" s="434">
        <f>_xlfn.IFNA(INDEX('Data manipulation'!$C$23:$O$39,MATCH($V146,'Data manipulation'!$B$23:$B$39,0),MATCH($X146,'Data manipulation'!$C$22:$O$22,0))/1000,0)*SUMIFS('Regional split'!$F$4:$F$6,'Regional split'!$B$4:$B$6,Y$3)*SUMIFS('Data manipulation'!$V$39:$V$42,'Data manipulation'!$X$39:$X$42,$E146,'Data manipulation'!$Y$39:$Y$42,$D146)</f>
        <v>190.67550986899997</v>
      </c>
      <c r="Z146" s="270">
        <f>_xlfn.IFNA(INDEX('Data manipulation'!$C$23:$O$39,MATCH($V146,'Data manipulation'!$B$23:$B$39,0),MATCH($X146,'Data manipulation'!$C$22:$O$22,0))/1000,0)*SUMIFS('Regional split'!$F$4:$F$6,'Regional split'!$B$4:$B$6,Z$3)*SUMIFS('Data manipulation'!$V$39:$V$42,'Data manipulation'!$X$39:$X$42,$E146,'Data manipulation'!$Y$39:$Y$42,$D146)</f>
        <v>0</v>
      </c>
      <c r="AA146" s="456">
        <f>_xlfn.IFNA(INDEX('Data manipulation'!$C$23:$O$39,MATCH($V146,'Data manipulation'!$B$23:$B$39,0),MATCH($X146,'Data manipulation'!$C$22:$O$22,0))/1000,0)*SUMIFS('Regional split'!$F$4:$F$6,'Regional split'!$B$4:$B$6,AA$3)*SUMIFS('Data manipulation'!$V$39:$V$42,'Data manipulation'!$X$39:$X$42,$E146,'Data manipulation'!$Y$39:$Y$42,$D146)</f>
        <v>0</v>
      </c>
      <c r="AB146" s="445">
        <f t="shared" ref="AB146:AB165" si="247">Y146*L146</f>
        <v>137.28636710567997</v>
      </c>
      <c r="AC146" s="251">
        <f t="shared" ref="AC146:AC165" si="248">Z146*M146</f>
        <v>0</v>
      </c>
      <c r="AD146" s="446">
        <f t="shared" ref="AD146:AD165" si="249">AA146*N146</f>
        <v>0</v>
      </c>
      <c r="AE146" s="262"/>
      <c r="AU146" s="260"/>
      <c r="AZ146" s="252"/>
    </row>
    <row r="147" spans="2:52" ht="15" customHeight="1">
      <c r="B147" s="227" t="str">
        <f t="shared" ref="B147:G147" si="250">B107</f>
        <v>RHTUMDSLE1</v>
      </c>
      <c r="C147" s="227" t="str">
        <f t="shared" si="250"/>
        <v>Residential Heating Technology Urban Multi - Diesel - Existing 1</v>
      </c>
      <c r="D147" s="227" t="str">
        <f t="shared" si="250"/>
        <v>Urban</v>
      </c>
      <c r="E147" s="227" t="str">
        <f t="shared" si="250"/>
        <v>Multi storey</v>
      </c>
      <c r="F147" s="227" t="str">
        <f t="shared" si="250"/>
        <v>RESDSL,RESDSB</v>
      </c>
      <c r="G147" s="227" t="str">
        <f t="shared" si="250"/>
        <v>RESHUMB</v>
      </c>
      <c r="H147" s="230">
        <v>2019</v>
      </c>
      <c r="I147" s="250">
        <f t="shared" ref="I147:I154" si="251">ROUNDUP(AB147/($O147*$P147)*$R147,1)</f>
        <v>21665.399999999998</v>
      </c>
      <c r="J147" s="250">
        <f t="shared" ref="J147:J153" si="252">ROUNDUP(AC147/($O147*$P147)*$R147,1)</f>
        <v>0</v>
      </c>
      <c r="K147" s="250">
        <f t="shared" ref="K147:K153" si="253">ROUNDUP(AD147/($O147*$P147)*$R147,1)</f>
        <v>0</v>
      </c>
      <c r="L147" s="462">
        <v>0.71</v>
      </c>
      <c r="M147" s="462">
        <v>0.71</v>
      </c>
      <c r="N147" s="462">
        <v>0.71</v>
      </c>
      <c r="O147" s="244">
        <f>31.536/1000</f>
        <v>3.1536000000000002E-2</v>
      </c>
      <c r="P147" s="460">
        <v>0.2</v>
      </c>
      <c r="Q147" s="245">
        <v>20</v>
      </c>
      <c r="R147" s="227">
        <v>2</v>
      </c>
      <c r="T147" s="268">
        <f t="shared" si="213"/>
        <v>192.46198715492957</v>
      </c>
      <c r="V147" s="602" t="str">
        <f>'Data manipulation'!$B$35</f>
        <v>Oil products</v>
      </c>
      <c r="W147" s="254" t="s">
        <v>749</v>
      </c>
      <c r="X147" s="246">
        <v>2019</v>
      </c>
      <c r="Y147" s="434">
        <f>_xlfn.IFNA(INDEX('Data manipulation'!$C$23:$O$39,MATCH($V147,'Data manipulation'!$B$23:$B$39,0),MATCH($X147,'Data manipulation'!$C$22:$O$22,0))/1000,0)*SUMIFS('Regional split'!$F$4:$F$6,'Regional split'!$B$4:$B$6,Y$3)*SUMIFS('Data manipulation'!$V$39:$V$42,'Data manipulation'!$X$39:$X$42,$E147,'Data manipulation'!$Y$39:$Y$42,$D147)</f>
        <v>96.230933734000004</v>
      </c>
      <c r="Z147" s="270">
        <f>_xlfn.IFNA(INDEX('Data manipulation'!$C$23:$O$39,MATCH($V147,'Data manipulation'!$B$23:$B$39,0),MATCH($X147,'Data manipulation'!$C$22:$O$22,0))/1000,0)*SUMIFS('Regional split'!$F$4:$F$6,'Regional split'!$B$4:$B$6,Z$3)*SUMIFS('Data manipulation'!$V$39:$V$42,'Data manipulation'!$X$39:$X$42,$E147,'Data manipulation'!$Y$39:$Y$42,$D147)</f>
        <v>0</v>
      </c>
      <c r="AA147" s="456">
        <f>_xlfn.IFNA(INDEX('Data manipulation'!$C$23:$O$39,MATCH($V147,'Data manipulation'!$B$23:$B$39,0),MATCH($X147,'Data manipulation'!$C$22:$O$22,0))/1000,0)*SUMIFS('Regional split'!$F$4:$F$6,'Regional split'!$B$4:$B$6,AA$3)*SUMIFS('Data manipulation'!$V$39:$V$42,'Data manipulation'!$X$39:$X$42,$E147,'Data manipulation'!$Y$39:$Y$42,$D147)</f>
        <v>0</v>
      </c>
      <c r="AB147" s="445">
        <f t="shared" si="247"/>
        <v>68.323962951140004</v>
      </c>
      <c r="AC147" s="251">
        <f t="shared" si="248"/>
        <v>0</v>
      </c>
      <c r="AD147" s="446">
        <f t="shared" si="249"/>
        <v>0</v>
      </c>
      <c r="AE147" s="262"/>
      <c r="AU147" s="260"/>
      <c r="AZ147" s="252"/>
    </row>
    <row r="148" spans="2:52" ht="15" customHeight="1">
      <c r="B148" s="227" t="str">
        <f t="shared" ref="B148:G148" si="254">B108</f>
        <v>RHTUMWPEE1</v>
      </c>
      <c r="C148" s="227" t="str">
        <f t="shared" si="254"/>
        <v>Residential Heating Technology Urban Multi - Wood pellets - Existing 1</v>
      </c>
      <c r="D148" s="227" t="str">
        <f t="shared" si="254"/>
        <v>Urban</v>
      </c>
      <c r="E148" s="227" t="str">
        <f t="shared" si="254"/>
        <v>Multi storey</v>
      </c>
      <c r="F148" s="227" t="str">
        <f t="shared" si="254"/>
        <v>RESWPE</v>
      </c>
      <c r="G148" s="227" t="str">
        <f t="shared" si="254"/>
        <v>RESHUMB</v>
      </c>
      <c r="H148" s="230">
        <v>2019</v>
      </c>
      <c r="I148" s="250">
        <f t="shared" si="251"/>
        <v>0</v>
      </c>
      <c r="J148" s="250">
        <f t="shared" si="252"/>
        <v>0</v>
      </c>
      <c r="K148" s="250">
        <f t="shared" si="253"/>
        <v>0</v>
      </c>
      <c r="L148" s="462">
        <v>0.61</v>
      </c>
      <c r="M148" s="462">
        <v>0.61</v>
      </c>
      <c r="N148" s="462">
        <v>0.61</v>
      </c>
      <c r="O148" s="244">
        <f t="shared" ref="O148:O165" si="255">31.536/1000</f>
        <v>3.1536000000000002E-2</v>
      </c>
      <c r="P148" s="460">
        <v>0.2</v>
      </c>
      <c r="Q148" s="245">
        <v>20</v>
      </c>
      <c r="R148" s="227">
        <v>2</v>
      </c>
      <c r="T148" s="268">
        <f t="shared" si="213"/>
        <v>0</v>
      </c>
      <c r="U148" s="268"/>
      <c r="V148" s="602" t="s">
        <v>206</v>
      </c>
      <c r="W148" s="254" t="s">
        <v>896</v>
      </c>
      <c r="X148" s="246">
        <v>2019</v>
      </c>
      <c r="Y148" s="434">
        <f>_xlfn.IFNA(INDEX('Data manipulation'!$C$23:$O$39,MATCH($V148,'Data manipulation'!$B$23:$B$39,0),MATCH($X148,'Data manipulation'!$C$22:$O$22,0))/1000,0)*SUMIFS('Regional split'!$F$4:$F$6,'Regional split'!$B$4:$B$6,Y$3)*SUMIFS('Data manipulation'!$V$39:$V$42,'Data manipulation'!$X$39:$X$42,$E148,'Data manipulation'!$Y$39:$Y$42,$D148)</f>
        <v>0</v>
      </c>
      <c r="Z148" s="270">
        <f>_xlfn.IFNA(INDEX('Data manipulation'!$C$23:$O$39,MATCH($V148,'Data manipulation'!$B$23:$B$39,0),MATCH($X148,'Data manipulation'!$C$22:$O$22,0))/1000,0)*SUMIFS('Regional split'!$F$4:$F$6,'Regional split'!$B$4:$B$6,Z$3)*SUMIFS('Data manipulation'!$V$39:$V$42,'Data manipulation'!$X$39:$X$42,$E148,'Data manipulation'!$Y$39:$Y$42,$D148)</f>
        <v>0</v>
      </c>
      <c r="AA148" s="456">
        <f>_xlfn.IFNA(INDEX('Data manipulation'!$C$23:$O$39,MATCH($V148,'Data manipulation'!$B$23:$B$39,0),MATCH($X148,'Data manipulation'!$C$22:$O$22,0))/1000,0)*SUMIFS('Regional split'!$F$4:$F$6,'Regional split'!$B$4:$B$6,AA$3)*SUMIFS('Data manipulation'!$V$39:$V$42,'Data manipulation'!$X$39:$X$42,$E148,'Data manipulation'!$Y$39:$Y$42,$D148)</f>
        <v>0</v>
      </c>
      <c r="AB148" s="445">
        <f t="shared" si="247"/>
        <v>0</v>
      </c>
      <c r="AC148" s="251">
        <f t="shared" si="248"/>
        <v>0</v>
      </c>
      <c r="AD148" s="446">
        <f t="shared" si="249"/>
        <v>0</v>
      </c>
      <c r="AE148" s="262"/>
      <c r="AU148" s="260"/>
      <c r="AZ148" s="252"/>
    </row>
    <row r="149" spans="2:52" ht="15" customHeight="1">
      <c r="B149" s="227" t="str">
        <f t="shared" ref="B149:G149" si="256">B109</f>
        <v>RHTUMFIWE1</v>
      </c>
      <c r="C149" s="227" t="str">
        <f t="shared" si="256"/>
        <v>Residential Heating Technology Urban Multi - Fire wood - Existing 1</v>
      </c>
      <c r="D149" s="227" t="str">
        <f t="shared" si="256"/>
        <v>Urban</v>
      </c>
      <c r="E149" s="227" t="str">
        <f t="shared" si="256"/>
        <v>Multi storey</v>
      </c>
      <c r="F149" s="227" t="str">
        <f t="shared" si="256"/>
        <v>RESFIW</v>
      </c>
      <c r="G149" s="227" t="str">
        <f t="shared" si="256"/>
        <v>RESHUMB</v>
      </c>
      <c r="H149" s="230">
        <v>2019</v>
      </c>
      <c r="I149" s="250">
        <f t="shared" si="251"/>
        <v>11055.9</v>
      </c>
      <c r="J149" s="250">
        <f t="shared" si="252"/>
        <v>0</v>
      </c>
      <c r="K149" s="250">
        <f t="shared" si="253"/>
        <v>0</v>
      </c>
      <c r="L149" s="462">
        <v>0.65000022993955098</v>
      </c>
      <c r="M149" s="462">
        <v>0.65000022993955098</v>
      </c>
      <c r="N149" s="462">
        <v>0.65000022993955098</v>
      </c>
      <c r="O149" s="244">
        <f t="shared" si="255"/>
        <v>3.1536000000000002E-2</v>
      </c>
      <c r="P149" s="460">
        <v>0.2</v>
      </c>
      <c r="Q149" s="245">
        <v>20</v>
      </c>
      <c r="R149" s="227">
        <v>2</v>
      </c>
      <c r="T149" s="268">
        <f t="shared" si="213"/>
        <v>107.27961201872952</v>
      </c>
      <c r="U149" s="268"/>
      <c r="V149" s="602" t="str">
        <f>'Data manipulation'!$B$31</f>
        <v>Primary solid biofuels</v>
      </c>
      <c r="W149" s="254" t="s">
        <v>196</v>
      </c>
      <c r="X149" s="246">
        <v>2019</v>
      </c>
      <c r="Y149" s="434">
        <f>_xlfn.IFNA(INDEX('Data manipulation'!$C$23:$O$39,MATCH($V149,'Data manipulation'!$B$23:$B$39,0),MATCH($X149,'Data manipulation'!$C$22:$O$22,0))/1000,0)*SUMIFS('Regional split'!$F$4:$F$6,'Regional split'!$B$4:$B$6,Y$3)*SUMIFS('Data manipulation'!$V$39:$V$42,'Data manipulation'!$X$39:$X$42,$E149,'Data manipulation'!$Y$39:$Y$42,$D149)</f>
        <v>53.639494908999993</v>
      </c>
      <c r="Z149" s="270">
        <f>_xlfn.IFNA(INDEX('Data manipulation'!$C$23:$O$39,MATCH($V149,'Data manipulation'!$B$23:$B$39,0),MATCH($X149,'Data manipulation'!$C$22:$O$22,0))/1000,0)*SUMIFS('Regional split'!$F$4:$F$6,'Regional split'!$B$4:$B$6,Z$3)*SUMIFS('Data manipulation'!$V$39:$V$42,'Data manipulation'!$X$39:$X$42,$E149,'Data manipulation'!$Y$39:$Y$42,$D149)</f>
        <v>0</v>
      </c>
      <c r="AA149" s="456">
        <f>_xlfn.IFNA(INDEX('Data manipulation'!$C$23:$O$39,MATCH($V149,'Data manipulation'!$B$23:$B$39,0),MATCH($X149,'Data manipulation'!$C$22:$O$22,0))/1000,0)*SUMIFS('Regional split'!$F$4:$F$6,'Regional split'!$B$4:$B$6,AA$3)*SUMIFS('Data manipulation'!$V$39:$V$42,'Data manipulation'!$X$39:$X$42,$E149,'Data manipulation'!$Y$39:$Y$42,$D149)</f>
        <v>0</v>
      </c>
      <c r="AB149" s="445">
        <f t="shared" si="247"/>
        <v>34.865684024691369</v>
      </c>
      <c r="AC149" s="251">
        <f t="shared" si="248"/>
        <v>0</v>
      </c>
      <c r="AD149" s="446">
        <f t="shared" si="249"/>
        <v>0</v>
      </c>
      <c r="AE149" s="262"/>
      <c r="AU149" s="260"/>
      <c r="AZ149" s="252"/>
    </row>
    <row r="150" spans="2:52" ht="15" customHeight="1">
      <c r="B150" s="233" t="str">
        <f t="shared" ref="B150:G150" si="257">B110</f>
        <v>RHTUMCOAE1</v>
      </c>
      <c r="C150" s="233" t="str">
        <f t="shared" si="257"/>
        <v>Residential Heating Technology Urban Multi - Coal - Existing 1</v>
      </c>
      <c r="D150" s="233" t="str">
        <f t="shared" si="257"/>
        <v>Urban</v>
      </c>
      <c r="E150" s="233" t="str">
        <f t="shared" si="257"/>
        <v>Multi storey</v>
      </c>
      <c r="F150" s="233" t="str">
        <f t="shared" si="257"/>
        <v>RESCOA</v>
      </c>
      <c r="G150" s="233" t="str">
        <f t="shared" si="257"/>
        <v>RESHUMB</v>
      </c>
      <c r="H150" s="230">
        <v>2019</v>
      </c>
      <c r="I150" s="250">
        <f t="shared" si="251"/>
        <v>792.5</v>
      </c>
      <c r="J150" s="250">
        <f t="shared" si="252"/>
        <v>0</v>
      </c>
      <c r="K150" s="250">
        <f t="shared" si="253"/>
        <v>0</v>
      </c>
      <c r="L150" s="462">
        <v>0.7</v>
      </c>
      <c r="M150" s="462">
        <v>0.7</v>
      </c>
      <c r="N150" s="462">
        <v>0.7</v>
      </c>
      <c r="O150" s="244">
        <f t="shared" si="255"/>
        <v>3.1536000000000002E-2</v>
      </c>
      <c r="P150" s="460">
        <v>0.2</v>
      </c>
      <c r="Q150" s="245">
        <v>20</v>
      </c>
      <c r="R150" s="227">
        <v>2</v>
      </c>
      <c r="T150" s="268">
        <f t="shared" si="213"/>
        <v>7.14065142857143</v>
      </c>
      <c r="U150" s="268"/>
      <c r="V150" s="602" t="str">
        <f>'Data manipulation'!$B$23</f>
        <v>Solid fossil fuels, peat, peat products, oil shale and oil sands</v>
      </c>
      <c r="W150" s="254" t="s">
        <v>893</v>
      </c>
      <c r="X150" s="246">
        <v>2019</v>
      </c>
      <c r="Y150" s="434">
        <f>_xlfn.IFNA(INDEX('Data manipulation'!$C$23:$O$39,MATCH($V150,'Data manipulation'!$B$23:$B$39,0),MATCH($X150,'Data manipulation'!$C$22:$O$22,0))/1000,0)*SUMIFS('Regional split'!$F$4:$F$6,'Regional split'!$B$4:$B$6,Y$3)*SUMIFS('Data manipulation'!$V$39:$V$42,'Data manipulation'!$X$39:$X$42,$E150,'Data manipulation'!$Y$39:$Y$42,$D150)</f>
        <v>3.5700895880000001</v>
      </c>
      <c r="Z150" s="270">
        <f>_xlfn.IFNA(INDEX('Data manipulation'!$C$23:$O$39,MATCH($V150,'Data manipulation'!$B$23:$B$39,0),MATCH($X150,'Data manipulation'!$C$22:$O$22,0))/1000,0)*SUMIFS('Regional split'!$F$4:$F$6,'Regional split'!$B$4:$B$6,Z$3)*SUMIFS('Data manipulation'!$V$39:$V$42,'Data manipulation'!$X$39:$X$42,$E150,'Data manipulation'!$Y$39:$Y$42,$D150)</f>
        <v>0</v>
      </c>
      <c r="AA150" s="456">
        <f>_xlfn.IFNA(INDEX('Data manipulation'!$C$23:$O$39,MATCH($V150,'Data manipulation'!$B$23:$B$39,0),MATCH($X150,'Data manipulation'!$C$22:$O$22,0))/1000,0)*SUMIFS('Regional split'!$F$4:$F$6,'Regional split'!$B$4:$B$6,AA$3)*SUMIFS('Data manipulation'!$V$39:$V$42,'Data manipulation'!$X$39:$X$42,$E150,'Data manipulation'!$Y$39:$Y$42,$D150)</f>
        <v>0</v>
      </c>
      <c r="AB150" s="445">
        <f t="shared" si="247"/>
        <v>2.4990627115999997</v>
      </c>
      <c r="AC150" s="251">
        <f t="shared" si="248"/>
        <v>0</v>
      </c>
      <c r="AD150" s="446">
        <f t="shared" si="249"/>
        <v>0</v>
      </c>
      <c r="AE150" s="262"/>
      <c r="AU150" s="260"/>
      <c r="AZ150" s="252"/>
    </row>
    <row r="151" spans="2:52" ht="15" customHeight="1">
      <c r="B151" s="233" t="str">
        <f t="shared" ref="B151:G151" si="258">B111</f>
        <v>RHTUMSOLE1</v>
      </c>
      <c r="C151" s="233" t="str">
        <f t="shared" si="258"/>
        <v>Residential Heating Technology Urban Multi - Solar - Existing 1</v>
      </c>
      <c r="D151" s="233" t="str">
        <f t="shared" si="258"/>
        <v>Urban</v>
      </c>
      <c r="E151" s="233" t="str">
        <f t="shared" si="258"/>
        <v>Multi storey</v>
      </c>
      <c r="F151" s="233" t="str">
        <f t="shared" si="258"/>
        <v>RESSOL</v>
      </c>
      <c r="G151" s="233" t="str">
        <f t="shared" si="258"/>
        <v>RESHUMB</v>
      </c>
      <c r="H151" s="230">
        <v>2019</v>
      </c>
      <c r="I151" s="250">
        <f t="shared" si="251"/>
        <v>299.8</v>
      </c>
      <c r="J151" s="250">
        <f t="shared" si="252"/>
        <v>0</v>
      </c>
      <c r="K151" s="250">
        <f t="shared" si="253"/>
        <v>0</v>
      </c>
      <c r="L151" s="462">
        <v>1</v>
      </c>
      <c r="M151" s="462">
        <v>1</v>
      </c>
      <c r="N151" s="462">
        <v>1</v>
      </c>
      <c r="O151" s="244">
        <f t="shared" si="255"/>
        <v>3.1536000000000002E-2</v>
      </c>
      <c r="P151" s="460">
        <v>0.2</v>
      </c>
      <c r="Q151" s="245">
        <v>20</v>
      </c>
      <c r="R151" s="227">
        <v>2</v>
      </c>
      <c r="T151" s="268">
        <f t="shared" si="213"/>
        <v>1.8908985600000001</v>
      </c>
      <c r="U151" s="268"/>
      <c r="V151" s="602" t="str">
        <f>'Data manipulation'!$B$29</f>
        <v>Solar thermal</v>
      </c>
      <c r="W151" s="254" t="s">
        <v>188</v>
      </c>
      <c r="X151" s="246">
        <v>2019</v>
      </c>
      <c r="Y151" s="434">
        <f>_xlfn.IFNA(INDEX('Data manipulation'!$C$23:$O$39,MATCH($V151,'Data manipulation'!$B$23:$B$39,0),MATCH($X151,'Data manipulation'!$C$22:$O$22,0))/1000,0)*SUMIFS('Regional split'!$F$4:$F$6,'Regional split'!$B$4:$B$6,Y$3)*SUMIFS('Data manipulation'!$V$39:$V$42,'Data manipulation'!$X$39:$X$42,$E151,'Data manipulation'!$Y$39:$Y$42,$D151)</f>
        <v>0.94518032699999999</v>
      </c>
      <c r="Z151" s="270">
        <f>_xlfn.IFNA(INDEX('Data manipulation'!$C$23:$O$39,MATCH($V151,'Data manipulation'!$B$23:$B$39,0),MATCH($X151,'Data manipulation'!$C$22:$O$22,0))/1000,0)*SUMIFS('Regional split'!$F$4:$F$6,'Regional split'!$B$4:$B$6,Z$3)*SUMIFS('Data manipulation'!$V$39:$V$42,'Data manipulation'!$X$39:$X$42,$E151,'Data manipulation'!$Y$39:$Y$42,$D151)</f>
        <v>0</v>
      </c>
      <c r="AA151" s="456">
        <f>_xlfn.IFNA(INDEX('Data manipulation'!$C$23:$O$39,MATCH($V151,'Data manipulation'!$B$23:$B$39,0),MATCH($X151,'Data manipulation'!$C$22:$O$22,0))/1000,0)*SUMIFS('Regional split'!$F$4:$F$6,'Regional split'!$B$4:$B$6,AA$3)*SUMIFS('Data manipulation'!$V$39:$V$42,'Data manipulation'!$X$39:$X$42,$E151,'Data manipulation'!$Y$39:$Y$42,$D151)</f>
        <v>0</v>
      </c>
      <c r="AB151" s="445">
        <f t="shared" si="247"/>
        <v>0.94518032699999999</v>
      </c>
      <c r="AC151" s="251">
        <f t="shared" si="248"/>
        <v>0</v>
      </c>
      <c r="AD151" s="446">
        <f t="shared" si="249"/>
        <v>0</v>
      </c>
      <c r="AE151" s="262"/>
      <c r="AU151" s="260"/>
      <c r="AZ151" s="252"/>
    </row>
    <row r="152" spans="2:52" ht="15" customHeight="1">
      <c r="B152" s="233" t="str">
        <f t="shared" ref="B152:G152" si="259">B112</f>
        <v>RHTUMELCHE1</v>
      </c>
      <c r="C152" s="233" t="str">
        <f t="shared" si="259"/>
        <v>Residential Heating Technology Urban Multi - Electricity Heating - Existing 1</v>
      </c>
      <c r="D152" s="233" t="str">
        <f t="shared" si="259"/>
        <v>Urban</v>
      </c>
      <c r="E152" s="233" t="str">
        <f t="shared" si="259"/>
        <v>Multi storey</v>
      </c>
      <c r="F152" s="233" t="str">
        <f t="shared" si="259"/>
        <v>RESELCH</v>
      </c>
      <c r="G152" s="233" t="str">
        <f t="shared" si="259"/>
        <v>RESHUMB</v>
      </c>
      <c r="H152" s="230">
        <v>2019</v>
      </c>
      <c r="I152" s="250">
        <f t="shared" si="251"/>
        <v>2131.6</v>
      </c>
      <c r="J152" s="250">
        <f t="shared" si="252"/>
        <v>0</v>
      </c>
      <c r="K152" s="250">
        <f t="shared" si="253"/>
        <v>0</v>
      </c>
      <c r="L152" s="462">
        <v>1</v>
      </c>
      <c r="M152" s="462">
        <v>1</v>
      </c>
      <c r="N152" s="462">
        <v>1</v>
      </c>
      <c r="O152" s="244">
        <f t="shared" si="255"/>
        <v>3.1536000000000002E-2</v>
      </c>
      <c r="P152" s="460">
        <v>0.2</v>
      </c>
      <c r="Q152" s="245">
        <v>30</v>
      </c>
      <c r="R152" s="227">
        <v>2</v>
      </c>
      <c r="T152" s="268">
        <f t="shared" si="213"/>
        <v>13.44442752</v>
      </c>
      <c r="U152" s="268"/>
      <c r="V152" s="602" t="str">
        <f>'Data manipulation'!$B$33</f>
        <v>Electricity</v>
      </c>
      <c r="W152" s="254" t="s">
        <v>189</v>
      </c>
      <c r="X152" s="246">
        <v>2019</v>
      </c>
      <c r="Y152" s="434">
        <f>_xlfn.IFNA(INDEX('Data manipulation'!$C$23:$O$39,MATCH($V152,'Data manipulation'!$B$23:$B$39,0),MATCH($X152,'Data manipulation'!$C$22:$O$22,0))/1000,0)*SUMIFS('Regional split'!$F$4:$F$6,'Regional split'!$B$4:$B$6,Y$3)*SUMIFS('Data manipulation'!$V$39:$V$42,'Data manipulation'!$X$39:$X$42,$E152,'Data manipulation'!$Y$39:$Y$42,$D152)</f>
        <v>6.7219661859999995</v>
      </c>
      <c r="Z152" s="270">
        <f>_xlfn.IFNA(INDEX('Data manipulation'!$C$23:$O$39,MATCH($V152,'Data manipulation'!$B$23:$B$39,0),MATCH($X152,'Data manipulation'!$C$22:$O$22,0))/1000,0)*SUMIFS('Regional split'!$F$4:$F$6,'Regional split'!$B$4:$B$6,Z$3)*SUMIFS('Data manipulation'!$V$39:$V$42,'Data manipulation'!$X$39:$X$42,$E152,'Data manipulation'!$Y$39:$Y$42,$D152)</f>
        <v>0</v>
      </c>
      <c r="AA152" s="456">
        <f>_xlfn.IFNA(INDEX('Data manipulation'!$C$23:$O$39,MATCH($V152,'Data manipulation'!$B$23:$B$39,0),MATCH($X152,'Data manipulation'!$C$22:$O$22,0))/1000,0)*SUMIFS('Regional split'!$F$4:$F$6,'Regional split'!$B$4:$B$6,AA$3)*SUMIFS('Data manipulation'!$V$39:$V$42,'Data manipulation'!$X$39:$X$42,$E152,'Data manipulation'!$Y$39:$Y$42,$D152)</f>
        <v>0</v>
      </c>
      <c r="AB152" s="445">
        <f t="shared" si="247"/>
        <v>6.7219661859999995</v>
      </c>
      <c r="AC152" s="251">
        <f t="shared" si="248"/>
        <v>0</v>
      </c>
      <c r="AD152" s="446">
        <f t="shared" si="249"/>
        <v>0</v>
      </c>
      <c r="AU152" s="260"/>
      <c r="AZ152" s="252"/>
    </row>
    <row r="153" spans="2:52" ht="15" customHeight="1">
      <c r="B153" s="233" t="str">
        <f t="shared" ref="B153:G153" si="260">B113</f>
        <v>RHTUMELCHE2</v>
      </c>
      <c r="C153" s="233" t="str">
        <f t="shared" si="260"/>
        <v>Residential Heating Technology Urban Multi - Electricity Heating - Existing 2</v>
      </c>
      <c r="D153" s="233" t="str">
        <f t="shared" si="260"/>
        <v>Urban</v>
      </c>
      <c r="E153" s="233" t="str">
        <f t="shared" si="260"/>
        <v>Multi storey</v>
      </c>
      <c r="F153" s="233" t="str">
        <f t="shared" si="260"/>
        <v>RESELCH</v>
      </c>
      <c r="G153" s="233" t="str">
        <f t="shared" si="260"/>
        <v>RESHUMB</v>
      </c>
      <c r="H153" s="230">
        <v>2019</v>
      </c>
      <c r="I153" s="250">
        <f t="shared" si="251"/>
        <v>7939</v>
      </c>
      <c r="J153" s="250">
        <f t="shared" si="252"/>
        <v>0</v>
      </c>
      <c r="K153" s="250">
        <f t="shared" si="253"/>
        <v>0</v>
      </c>
      <c r="L153" s="462">
        <v>2.3149999999999999</v>
      </c>
      <c r="M153" s="462">
        <v>2.3149999999999999</v>
      </c>
      <c r="N153" s="462">
        <v>2.3149999999999999</v>
      </c>
      <c r="O153" s="244">
        <f t="shared" si="255"/>
        <v>3.1536000000000002E-2</v>
      </c>
      <c r="P153" s="460">
        <v>0.2</v>
      </c>
      <c r="Q153" s="245">
        <v>30</v>
      </c>
      <c r="R153" s="227">
        <v>2</v>
      </c>
      <c r="T153" s="268">
        <f t="shared" si="213"/>
        <v>21.629745485961124</v>
      </c>
      <c r="U153" s="268"/>
      <c r="V153" s="602" t="str">
        <f>'Data manipulation'!$B$30</f>
        <v>Ambient heat (heat pumps)</v>
      </c>
      <c r="W153" s="254" t="s">
        <v>190</v>
      </c>
      <c r="X153" s="246">
        <v>2019</v>
      </c>
      <c r="Y153" s="434">
        <f>_xlfn.IFNA(INDEX('Data manipulation'!$C$23:$O$39,MATCH($V153,'Data manipulation'!$B$23:$B$39,0),MATCH($X153,'Data manipulation'!$C$22:$O$22,0))/1000,0)*SUMIFS('Regional split'!$F$4:$F$6,'Regional split'!$B$4:$B$6,Y$3)*SUMIFS('Data manipulation'!$V$39:$V$42,'Data manipulation'!$X$39:$X$42,$E153,'Data manipulation'!$Y$39:$Y$42,$D153)</f>
        <v>10.81480855</v>
      </c>
      <c r="Z153" s="270">
        <f>_xlfn.IFNA(INDEX('Data manipulation'!$C$23:$O$39,MATCH($V153,'Data manipulation'!$B$23:$B$39,0),MATCH($X153,'Data manipulation'!$C$22:$O$22,0))/1000,0)*SUMIFS('Regional split'!$F$4:$F$6,'Regional split'!$B$4:$B$6,Z$3)*SUMIFS('Data manipulation'!$V$39:$V$42,'Data manipulation'!$X$39:$X$42,$E153,'Data manipulation'!$Y$39:$Y$42,$D153)</f>
        <v>0</v>
      </c>
      <c r="AA153" s="456">
        <f>_xlfn.IFNA(INDEX('Data manipulation'!$C$23:$O$39,MATCH($V153,'Data manipulation'!$B$23:$B$39,0),MATCH($X153,'Data manipulation'!$C$22:$O$22,0))/1000,0)*SUMIFS('Regional split'!$F$4:$F$6,'Regional split'!$B$4:$B$6,AA$3)*SUMIFS('Data manipulation'!$V$39:$V$42,'Data manipulation'!$X$39:$X$42,$E153,'Data manipulation'!$Y$39:$Y$42,$D153)</f>
        <v>0</v>
      </c>
      <c r="AB153" s="445">
        <f t="shared" si="247"/>
        <v>25.036281793250001</v>
      </c>
      <c r="AC153" s="251">
        <f t="shared" si="248"/>
        <v>0</v>
      </c>
      <c r="AD153" s="446">
        <f t="shared" si="249"/>
        <v>0</v>
      </c>
      <c r="AU153" s="260"/>
      <c r="AZ153" s="252"/>
    </row>
    <row r="154" spans="2:52" ht="15" customHeight="1">
      <c r="B154" s="233" t="str">
        <f t="shared" ref="B154:G154" si="261">B114</f>
        <v>RHTUMHCEE1</v>
      </c>
      <c r="C154" s="233" t="str">
        <f t="shared" si="261"/>
        <v>Residential Heating Technology Urban Multi - District heating Central - Existing 1</v>
      </c>
      <c r="D154" s="233" t="str">
        <f t="shared" si="261"/>
        <v>Urban</v>
      </c>
      <c r="E154" s="233" t="str">
        <f t="shared" si="261"/>
        <v>Multi storey</v>
      </c>
      <c r="F154" s="233" t="str">
        <f t="shared" si="261"/>
        <v>RESHCE</v>
      </c>
      <c r="G154" s="233" t="str">
        <f t="shared" si="261"/>
        <v>RESHUMX</v>
      </c>
      <c r="H154" s="230">
        <v>2019</v>
      </c>
      <c r="I154" s="250">
        <f t="shared" si="251"/>
        <v>10364.5</v>
      </c>
      <c r="J154" s="572">
        <v>0</v>
      </c>
      <c r="K154" s="572">
        <v>0</v>
      </c>
      <c r="L154" s="462">
        <v>0.95</v>
      </c>
      <c r="M154" s="462">
        <v>0.95</v>
      </c>
      <c r="N154" s="462">
        <v>0.95</v>
      </c>
      <c r="O154" s="244">
        <f t="shared" si="255"/>
        <v>3.1536000000000002E-2</v>
      </c>
      <c r="P154" s="460">
        <v>0.2</v>
      </c>
      <c r="Q154" s="245">
        <v>30</v>
      </c>
      <c r="R154" s="227">
        <v>2</v>
      </c>
      <c r="T154" s="268">
        <f t="shared" si="213"/>
        <v>68.811552000000006</v>
      </c>
      <c r="U154" s="268"/>
      <c r="V154" s="602" t="str">
        <f>'Data manipulation'!$B$34</f>
        <v>Heat</v>
      </c>
      <c r="W154" s="254" t="s">
        <v>191</v>
      </c>
      <c r="X154" s="246">
        <v>2019</v>
      </c>
      <c r="Y154" s="434">
        <f>_xlfn.IFNA(INDEX('Data manipulation'!$C$23:$O$39,MATCH($V154,'Data manipulation'!$B$23:$B$39,0),MATCH($X154,'Data manipulation'!$C$22:$O$22,0))/1000,0)*SUMIFS('Regional split'!$F$4:$F$6,'Regional split'!$B$4:$B$6,Y$3)*SUMIFS('Data manipulation'!$V$39:$V$42,'Data manipulation'!$X$39:$X$42,$E154,'Data manipulation'!$Y$39:$Y$42,$D154)</f>
        <v>34.405477703999999</v>
      </c>
      <c r="Z154" s="270">
        <f>_xlfn.IFNA(INDEX('Data manipulation'!$C$23:$O$39,MATCH($V154,'Data manipulation'!$B$23:$B$39,0),MATCH($X154,'Data manipulation'!$C$22:$O$22,0))/1000,0)*SUMIFS('Regional split'!$F$4:$F$6,'Regional split'!$B$4:$B$6,Z$3)*SUMIFS('Data manipulation'!$V$39:$V$42,'Data manipulation'!$X$39:$X$42,$E154,'Data manipulation'!$Y$39:$Y$42,$D154)</f>
        <v>0</v>
      </c>
      <c r="AA154" s="456">
        <f>_xlfn.IFNA(INDEX('Data manipulation'!$C$23:$O$39,MATCH($V154,'Data manipulation'!$B$23:$B$39,0),MATCH($X154,'Data manipulation'!$C$22:$O$22,0))/1000,0)*SUMIFS('Regional split'!$F$4:$F$6,'Regional split'!$B$4:$B$6,AA$3)*SUMIFS('Data manipulation'!$V$39:$V$42,'Data manipulation'!$X$39:$X$42,$E154,'Data manipulation'!$Y$39:$Y$42,$D154)</f>
        <v>0</v>
      </c>
      <c r="AB154" s="445">
        <f t="shared" si="247"/>
        <v>32.685203818799998</v>
      </c>
      <c r="AC154" s="251">
        <f t="shared" si="248"/>
        <v>0</v>
      </c>
      <c r="AD154" s="446">
        <f t="shared" si="249"/>
        <v>0</v>
      </c>
      <c r="AU154" s="260"/>
      <c r="AZ154" s="252"/>
    </row>
    <row r="155" spans="2:52" ht="15" customHeight="1" thickBot="1">
      <c r="B155" s="255" t="str">
        <f t="shared" ref="B155:G155" si="262">B115</f>
        <v>RHTUMLPGE1</v>
      </c>
      <c r="C155" s="255" t="str">
        <f t="shared" si="262"/>
        <v>Residential Heating Technology Urban Multi - LPG - Existing 1</v>
      </c>
      <c r="D155" s="535" t="str">
        <f t="shared" si="262"/>
        <v>Urban</v>
      </c>
      <c r="E155" s="535" t="str">
        <f t="shared" si="262"/>
        <v>Multi storey</v>
      </c>
      <c r="F155" s="255" t="str">
        <f t="shared" si="262"/>
        <v>RESLPG</v>
      </c>
      <c r="G155" s="255" t="str">
        <f t="shared" si="262"/>
        <v>RESHUMB</v>
      </c>
      <c r="H155" s="423">
        <v>2019</v>
      </c>
      <c r="I155" s="297">
        <f t="shared" ref="I155" si="263">ROUNDUP(AB155/($O155*$P155)*$R155,1)</f>
        <v>0</v>
      </c>
      <c r="J155" s="297">
        <f t="shared" ref="J155" si="264">ROUNDUP(AC155/($O155*$P155)*$R155,1)</f>
        <v>0</v>
      </c>
      <c r="K155" s="297">
        <f t="shared" ref="K155" si="265">ROUNDUP(AD155/($O155*$P155)*$R155,1)</f>
        <v>0</v>
      </c>
      <c r="L155" s="463">
        <v>0.95</v>
      </c>
      <c r="M155" s="463">
        <v>0.95</v>
      </c>
      <c r="N155" s="463">
        <v>0.95</v>
      </c>
      <c r="O155" s="257">
        <f t="shared" si="255"/>
        <v>3.1536000000000002E-2</v>
      </c>
      <c r="P155" s="460">
        <v>0.2</v>
      </c>
      <c r="Q155" s="258">
        <v>30</v>
      </c>
      <c r="R155" s="227">
        <v>2</v>
      </c>
      <c r="T155" s="268">
        <f t="shared" si="213"/>
        <v>0</v>
      </c>
      <c r="U155" s="268"/>
      <c r="V155" s="602" t="s">
        <v>790</v>
      </c>
      <c r="W155" s="428" t="s">
        <v>790</v>
      </c>
      <c r="X155" s="246">
        <v>2019</v>
      </c>
      <c r="Y155" s="435">
        <f>_xlfn.IFNA(INDEX('Data manipulation'!$C$23:$O$39,MATCH($V155,'Data manipulation'!$B$23:$B$39,0),MATCH($X155,'Data manipulation'!$C$22:$O$22,0))/1000,0)*SUMIFS('Regional split'!$F$4:$F$6,'Regional split'!$B$4:$B$6,Y$3)*SUMIFS('Data manipulation'!$V$39:$V$42,'Data manipulation'!$X$39:$X$42,$E155,'Data manipulation'!$Y$39:$Y$42,$D155)</f>
        <v>0</v>
      </c>
      <c r="Z155" s="432">
        <f>_xlfn.IFNA(INDEX('Data manipulation'!$C$23:$O$39,MATCH($V155,'Data manipulation'!$B$23:$B$39,0),MATCH($X155,'Data manipulation'!$C$22:$O$22,0))/1000,0)*SUMIFS('Regional split'!$F$4:$F$6,'Regional split'!$B$4:$B$6,Z$3)*SUMIFS('Data manipulation'!$V$39:$V$42,'Data manipulation'!$X$39:$X$42,$E155,'Data manipulation'!$Y$39:$Y$42,$D155)</f>
        <v>0</v>
      </c>
      <c r="AA155" s="457">
        <f>_xlfn.IFNA(INDEX('Data manipulation'!$C$23:$O$39,MATCH($V155,'Data manipulation'!$B$23:$B$39,0),MATCH($X155,'Data manipulation'!$C$22:$O$22,0))/1000,0)*SUMIFS('Regional split'!$F$4:$F$6,'Regional split'!$B$4:$B$6,AA$3)*SUMIFS('Data manipulation'!$V$39:$V$42,'Data manipulation'!$X$39:$X$42,$E155,'Data manipulation'!$Y$39:$Y$42,$D155)</f>
        <v>0</v>
      </c>
      <c r="AB155" s="452">
        <f t="shared" si="247"/>
        <v>0</v>
      </c>
      <c r="AC155" s="277">
        <f t="shared" si="248"/>
        <v>0</v>
      </c>
      <c r="AD155" s="448">
        <f t="shared" si="249"/>
        <v>0</v>
      </c>
      <c r="AU155" s="260"/>
      <c r="AZ155" s="252"/>
    </row>
    <row r="156" spans="2:52" ht="15" customHeight="1">
      <c r="B156" s="233" t="str">
        <f t="shared" ref="B156:G156" si="266">B116</f>
        <v>RHTRMNGAE1</v>
      </c>
      <c r="C156" s="233" t="str">
        <f t="shared" si="266"/>
        <v>Residential Heating Technology Rural Multi - Natural Gas - Existing 1</v>
      </c>
      <c r="D156" s="233" t="str">
        <f t="shared" si="266"/>
        <v>Rural</v>
      </c>
      <c r="E156" s="233" t="str">
        <f t="shared" si="266"/>
        <v>Multi storey</v>
      </c>
      <c r="F156" s="233" t="str">
        <f t="shared" si="266"/>
        <v>RESNGA,RESSNG</v>
      </c>
      <c r="G156" s="233" t="str">
        <f t="shared" si="266"/>
        <v>RESHRMB</v>
      </c>
      <c r="H156" s="259">
        <v>2019</v>
      </c>
      <c r="I156" s="250">
        <f>ROUNDUP(AB156/($O156*$P156)*$R156,1)</f>
        <v>2707.4</v>
      </c>
      <c r="J156" s="250">
        <f>ROUNDUP(AC156/($O156*$P156)*$R156,1)</f>
        <v>0</v>
      </c>
      <c r="K156" s="250">
        <f>ROUNDUP(AD156/($O156*$P156)*$R156,1)</f>
        <v>0</v>
      </c>
      <c r="L156" s="462">
        <v>0.79</v>
      </c>
      <c r="M156" s="462">
        <v>0.79</v>
      </c>
      <c r="N156" s="462">
        <v>0.79</v>
      </c>
      <c r="O156" s="244">
        <f t="shared" si="255"/>
        <v>3.1536000000000002E-2</v>
      </c>
      <c r="P156" s="460">
        <v>0.2</v>
      </c>
      <c r="Q156" s="245">
        <v>25</v>
      </c>
      <c r="R156" s="227">
        <v>2</v>
      </c>
      <c r="T156" s="268">
        <f t="shared" si="213"/>
        <v>21.615333265822784</v>
      </c>
      <c r="U156" s="268"/>
      <c r="V156" s="602" t="str">
        <f>'Data manipulation'!$B$36</f>
        <v>Natural gas, biogas and LNG</v>
      </c>
      <c r="W156" s="246" t="s">
        <v>187</v>
      </c>
      <c r="X156" s="246">
        <v>2019</v>
      </c>
      <c r="Y156" s="434">
        <f>_xlfn.IFNA(INDEX('Data manipulation'!$C$23:$O$39,MATCH($V156,'Data manipulation'!$B$23:$B$39,0),MATCH($X156,'Data manipulation'!$C$22:$O$22,0))/1000,0)*SUMIFS('Regional split'!$F$4:$F$6,'Regional split'!$B$4:$B$6,Y$3)*SUMIFS('Data manipulation'!$V$39:$V$42,'Data manipulation'!$X$39:$X$42,$E156,'Data manipulation'!$Y$39:$Y$42,$D156)</f>
        <v>10.807518777999999</v>
      </c>
      <c r="Z156" s="270">
        <f>_xlfn.IFNA(INDEX('Data manipulation'!$C$23:$O$39,MATCH($V156,'Data manipulation'!$B$23:$B$39,0),MATCH($X156,'Data manipulation'!$C$22:$O$22,0))/1000,0)*SUMIFS('Regional split'!$F$4:$F$6,'Regional split'!$B$4:$B$6,Z$3)*SUMIFS('Data manipulation'!$V$39:$V$42,'Data manipulation'!$X$39:$X$42,$E156,'Data manipulation'!$Y$39:$Y$42,$D156)</f>
        <v>0</v>
      </c>
      <c r="AA156" s="456">
        <f>_xlfn.IFNA(INDEX('Data manipulation'!$C$23:$O$39,MATCH($V156,'Data manipulation'!$B$23:$B$39,0),MATCH($X156,'Data manipulation'!$C$22:$O$22,0))/1000,0)*SUMIFS('Regional split'!$F$4:$F$6,'Regional split'!$B$4:$B$6,AA$3)*SUMIFS('Data manipulation'!$V$39:$V$42,'Data manipulation'!$X$39:$X$42,$E156,'Data manipulation'!$Y$39:$Y$42,$D156)</f>
        <v>0</v>
      </c>
      <c r="AB156" s="453">
        <f t="shared" si="247"/>
        <v>8.5379398346199995</v>
      </c>
      <c r="AC156" s="278">
        <f t="shared" si="248"/>
        <v>0</v>
      </c>
      <c r="AD156" s="449">
        <f t="shared" si="249"/>
        <v>0</v>
      </c>
      <c r="AU156" s="260"/>
      <c r="AZ156" s="252"/>
    </row>
    <row r="157" spans="2:52" ht="15" customHeight="1">
      <c r="B157" s="233" t="str">
        <f t="shared" ref="B157:G157" si="267">B117</f>
        <v>RHTRMDSLE1</v>
      </c>
      <c r="C157" s="233" t="str">
        <f t="shared" si="267"/>
        <v>Residential Heating Technology Rural Multi - Diesel - Existing 1</v>
      </c>
      <c r="D157" s="233" t="str">
        <f t="shared" si="267"/>
        <v>Rural</v>
      </c>
      <c r="E157" s="233" t="str">
        <f t="shared" si="267"/>
        <v>Multi storey</v>
      </c>
      <c r="F157" s="233" t="str">
        <f t="shared" si="267"/>
        <v>RESDSL,RESDSB</v>
      </c>
      <c r="G157" s="233" t="str">
        <f t="shared" si="267"/>
        <v>RESHRMB</v>
      </c>
      <c r="H157" s="259">
        <v>2019</v>
      </c>
      <c r="I157" s="250">
        <f t="shared" ref="I157:I163" si="268">ROUNDUP(AB157/($O157*$P157)*$R157,1)</f>
        <v>1366.3999999999999</v>
      </c>
      <c r="J157" s="250">
        <f t="shared" ref="J157:J163" si="269">ROUNDUP(AC157/($O157*$P157)*$R157,1)</f>
        <v>0</v>
      </c>
      <c r="K157" s="250">
        <f t="shared" ref="K157:K163" si="270">ROUNDUP(AD157/($O157*$P157)*$R157,1)</f>
        <v>0</v>
      </c>
      <c r="L157" s="462">
        <v>0.79</v>
      </c>
      <c r="M157" s="462">
        <v>0.79</v>
      </c>
      <c r="N157" s="462">
        <v>0.79</v>
      </c>
      <c r="O157" s="244">
        <f t="shared" si="255"/>
        <v>3.1536000000000002E-2</v>
      </c>
      <c r="P157" s="460">
        <v>0.2</v>
      </c>
      <c r="Q157" s="245">
        <v>20</v>
      </c>
      <c r="R157" s="227">
        <v>2</v>
      </c>
      <c r="T157" s="268">
        <f t="shared" si="213"/>
        <v>10.909060860759492</v>
      </c>
      <c r="V157" s="602" t="str">
        <f>'Data manipulation'!$B$35</f>
        <v>Oil products</v>
      </c>
      <c r="W157" s="254" t="s">
        <v>749</v>
      </c>
      <c r="X157" s="246">
        <v>2019</v>
      </c>
      <c r="Y157" s="434">
        <f>_xlfn.IFNA(INDEX('Data manipulation'!$C$23:$O$39,MATCH($V157,'Data manipulation'!$B$23:$B$39,0),MATCH($X157,'Data manipulation'!$C$22:$O$22,0))/1000,0)*SUMIFS('Regional split'!$F$4:$F$6,'Regional split'!$B$4:$B$6,Y$3)*SUMIFS('Data manipulation'!$V$39:$V$42,'Data manipulation'!$X$39:$X$42,$E157,'Data manipulation'!$Y$39:$Y$42,$D157)</f>
        <v>5.4543849080000006</v>
      </c>
      <c r="Z157" s="270">
        <f>_xlfn.IFNA(INDEX('Data manipulation'!$C$23:$O$39,MATCH($V157,'Data manipulation'!$B$23:$B$39,0),MATCH($X157,'Data manipulation'!$C$22:$O$22,0))/1000,0)*SUMIFS('Regional split'!$F$4:$F$6,'Regional split'!$B$4:$B$6,Z$3)*SUMIFS('Data manipulation'!$V$39:$V$42,'Data manipulation'!$X$39:$X$42,$E157,'Data manipulation'!$Y$39:$Y$42,$D157)</f>
        <v>0</v>
      </c>
      <c r="AA157" s="456">
        <f>_xlfn.IFNA(INDEX('Data manipulation'!$C$23:$O$39,MATCH($V157,'Data manipulation'!$B$23:$B$39,0),MATCH($X157,'Data manipulation'!$C$22:$O$22,0))/1000,0)*SUMIFS('Regional split'!$F$4:$F$6,'Regional split'!$B$4:$B$6,AA$3)*SUMIFS('Data manipulation'!$V$39:$V$42,'Data manipulation'!$X$39:$X$42,$E157,'Data manipulation'!$Y$39:$Y$42,$D157)</f>
        <v>0</v>
      </c>
      <c r="AB157" s="445">
        <f t="shared" si="247"/>
        <v>4.3089640773200006</v>
      </c>
      <c r="AC157" s="251">
        <f t="shared" si="248"/>
        <v>0</v>
      </c>
      <c r="AD157" s="446">
        <f t="shared" si="249"/>
        <v>0</v>
      </c>
      <c r="AU157" s="260"/>
      <c r="AZ157" s="252"/>
    </row>
    <row r="158" spans="2:52" ht="15" customHeight="1">
      <c r="B158" s="233" t="str">
        <f t="shared" ref="B158:G158" si="271">B118</f>
        <v>RHTRMWPEE1</v>
      </c>
      <c r="C158" s="233" t="str">
        <f t="shared" si="271"/>
        <v>Residential Heating Technology Rural Multi - Wood pellets - Existing 1</v>
      </c>
      <c r="D158" s="233" t="str">
        <f t="shared" si="271"/>
        <v>Rural</v>
      </c>
      <c r="E158" s="233" t="str">
        <f t="shared" si="271"/>
        <v>Multi storey</v>
      </c>
      <c r="F158" s="233" t="str">
        <f t="shared" si="271"/>
        <v>RESWPE</v>
      </c>
      <c r="G158" s="233" t="str">
        <f t="shared" si="271"/>
        <v>RESHRMB</v>
      </c>
      <c r="H158" s="259">
        <v>2019</v>
      </c>
      <c r="I158" s="250">
        <f t="shared" si="268"/>
        <v>0</v>
      </c>
      <c r="J158" s="250">
        <f t="shared" si="269"/>
        <v>0</v>
      </c>
      <c r="K158" s="250">
        <f t="shared" si="270"/>
        <v>0</v>
      </c>
      <c r="L158" s="462">
        <v>0.67</v>
      </c>
      <c r="M158" s="462">
        <v>0.67</v>
      </c>
      <c r="N158" s="462">
        <v>0.67</v>
      </c>
      <c r="O158" s="244">
        <f>31.536/1000</f>
        <v>3.1536000000000002E-2</v>
      </c>
      <c r="P158" s="460">
        <v>0.2</v>
      </c>
      <c r="Q158" s="245">
        <v>20</v>
      </c>
      <c r="R158" s="227">
        <v>2</v>
      </c>
      <c r="T158" s="268">
        <f t="shared" si="213"/>
        <v>0</v>
      </c>
      <c r="U158" s="268"/>
      <c r="V158" s="602" t="s">
        <v>206</v>
      </c>
      <c r="W158" s="254" t="s">
        <v>896</v>
      </c>
      <c r="X158" s="246">
        <v>2019</v>
      </c>
      <c r="Y158" s="434">
        <f>_xlfn.IFNA(INDEX('Data manipulation'!$C$23:$O$39,MATCH($V158,'Data manipulation'!$B$23:$B$39,0),MATCH($X158,'Data manipulation'!$C$22:$O$22,0))/1000,0)*SUMIFS('Regional split'!$F$4:$F$6,'Regional split'!$B$4:$B$6,Y$3)*SUMIFS('Data manipulation'!$V$39:$V$42,'Data manipulation'!$X$39:$X$42,$E158,'Data manipulation'!$Y$39:$Y$42,$D158)</f>
        <v>0</v>
      </c>
      <c r="Z158" s="270">
        <f>_xlfn.IFNA(INDEX('Data manipulation'!$C$23:$O$39,MATCH($V158,'Data manipulation'!$B$23:$B$39,0),MATCH($X158,'Data manipulation'!$C$22:$O$22,0))/1000,0)*SUMIFS('Regional split'!$F$4:$F$6,'Regional split'!$B$4:$B$6,Z$3)*SUMIFS('Data manipulation'!$V$39:$V$42,'Data manipulation'!$X$39:$X$42,$E158,'Data manipulation'!$Y$39:$Y$42,$D158)</f>
        <v>0</v>
      </c>
      <c r="AA158" s="456">
        <f>_xlfn.IFNA(INDEX('Data manipulation'!$C$23:$O$39,MATCH($V158,'Data manipulation'!$B$23:$B$39,0),MATCH($X158,'Data manipulation'!$C$22:$O$22,0))/1000,0)*SUMIFS('Regional split'!$F$4:$F$6,'Regional split'!$B$4:$B$6,AA$3)*SUMIFS('Data manipulation'!$V$39:$V$42,'Data manipulation'!$X$39:$X$42,$E158,'Data manipulation'!$Y$39:$Y$42,$D158)</f>
        <v>0</v>
      </c>
      <c r="AB158" s="445">
        <f t="shared" si="247"/>
        <v>0</v>
      </c>
      <c r="AC158" s="251">
        <f t="shared" si="248"/>
        <v>0</v>
      </c>
      <c r="AD158" s="446">
        <f t="shared" si="249"/>
        <v>0</v>
      </c>
      <c r="AU158" s="260"/>
      <c r="AZ158" s="252"/>
    </row>
    <row r="159" spans="2:52" ht="15" customHeight="1">
      <c r="B159" s="233" t="str">
        <f t="shared" ref="B159:G159" si="272">B119</f>
        <v>RHTRMFIWE1</v>
      </c>
      <c r="C159" s="233" t="str">
        <f t="shared" si="272"/>
        <v>Residential Heating Technology Rural Multi - Fire wood - Existing 1</v>
      </c>
      <c r="D159" s="233" t="str">
        <f t="shared" si="272"/>
        <v>Rural</v>
      </c>
      <c r="E159" s="233" t="str">
        <f t="shared" si="272"/>
        <v>Multi storey</v>
      </c>
      <c r="F159" s="233" t="str">
        <f t="shared" si="272"/>
        <v>RESFIW</v>
      </c>
      <c r="G159" s="233" t="str">
        <f t="shared" si="272"/>
        <v>RESHRMB</v>
      </c>
      <c r="H159" s="259">
        <v>2019</v>
      </c>
      <c r="I159" s="250">
        <f t="shared" si="268"/>
        <v>646</v>
      </c>
      <c r="J159" s="250">
        <f t="shared" si="269"/>
        <v>0</v>
      </c>
      <c r="K159" s="250">
        <f t="shared" si="270"/>
        <v>0</v>
      </c>
      <c r="L159" s="462">
        <v>0.67</v>
      </c>
      <c r="M159" s="462">
        <v>0.67</v>
      </c>
      <c r="N159" s="462">
        <v>0.67</v>
      </c>
      <c r="O159" s="244">
        <f>31.536/1000</f>
        <v>3.1536000000000002E-2</v>
      </c>
      <c r="P159" s="460">
        <v>0.2</v>
      </c>
      <c r="Q159" s="245">
        <v>20</v>
      </c>
      <c r="R159" s="227">
        <v>2</v>
      </c>
      <c r="T159" s="268">
        <f t="shared" si="213"/>
        <v>6.0812704477611943</v>
      </c>
      <c r="U159" s="268"/>
      <c r="V159" s="602" t="str">
        <f>'Data manipulation'!$B$31</f>
        <v>Primary solid biofuels</v>
      </c>
      <c r="W159" s="254" t="s">
        <v>196</v>
      </c>
      <c r="X159" s="246">
        <v>2019</v>
      </c>
      <c r="Y159" s="434">
        <f>_xlfn.IFNA(INDEX('Data manipulation'!$C$23:$O$39,MATCH($V159,'Data manipulation'!$B$23:$B$39,0),MATCH($X159,'Data manipulation'!$C$22:$O$22,0))/1000,0)*SUMIFS('Regional split'!$F$4:$F$6,'Regional split'!$B$4:$B$6,Y$3)*SUMIFS('Data manipulation'!$V$39:$V$42,'Data manipulation'!$X$39:$X$42,$E159,'Data manipulation'!$Y$39:$Y$42,$D159)</f>
        <v>3.0402952579999996</v>
      </c>
      <c r="Z159" s="270">
        <f>_xlfn.IFNA(INDEX('Data manipulation'!$C$23:$O$39,MATCH($V159,'Data manipulation'!$B$23:$B$39,0),MATCH($X159,'Data manipulation'!$C$22:$O$22,0))/1000,0)*SUMIFS('Regional split'!$F$4:$F$6,'Regional split'!$B$4:$B$6,Z$3)*SUMIFS('Data manipulation'!$V$39:$V$42,'Data manipulation'!$X$39:$X$42,$E159,'Data manipulation'!$Y$39:$Y$42,$D159)</f>
        <v>0</v>
      </c>
      <c r="AA159" s="456">
        <f>_xlfn.IFNA(INDEX('Data manipulation'!$C$23:$O$39,MATCH($V159,'Data manipulation'!$B$23:$B$39,0),MATCH($X159,'Data manipulation'!$C$22:$O$22,0))/1000,0)*SUMIFS('Regional split'!$F$4:$F$6,'Regional split'!$B$4:$B$6,AA$3)*SUMIFS('Data manipulation'!$V$39:$V$42,'Data manipulation'!$X$39:$X$42,$E159,'Data manipulation'!$Y$39:$Y$42,$D159)</f>
        <v>0</v>
      </c>
      <c r="AB159" s="445">
        <f t="shared" si="247"/>
        <v>2.0369978228599996</v>
      </c>
      <c r="AC159" s="251">
        <f t="shared" si="248"/>
        <v>0</v>
      </c>
      <c r="AD159" s="446">
        <f t="shared" si="249"/>
        <v>0</v>
      </c>
      <c r="AU159" s="260"/>
      <c r="AZ159" s="252"/>
    </row>
    <row r="160" spans="2:52" ht="15" customHeight="1">
      <c r="B160" s="233" t="str">
        <f t="shared" ref="B160:G160" si="273">B120</f>
        <v>RHTRMCOAE1</v>
      </c>
      <c r="C160" s="233" t="str">
        <f t="shared" si="273"/>
        <v>Residential Heating Technology Rural Multi - Coal - Existing 1</v>
      </c>
      <c r="D160" s="233" t="str">
        <f t="shared" si="273"/>
        <v>Rural</v>
      </c>
      <c r="E160" s="233" t="str">
        <f t="shared" si="273"/>
        <v>Multi storey</v>
      </c>
      <c r="F160" s="233" t="str">
        <f t="shared" si="273"/>
        <v>RESCOA</v>
      </c>
      <c r="G160" s="233" t="str">
        <f t="shared" si="273"/>
        <v>RESHRMB</v>
      </c>
      <c r="H160" s="259">
        <v>2019</v>
      </c>
      <c r="I160" s="250">
        <f t="shared" si="268"/>
        <v>46.2</v>
      </c>
      <c r="J160" s="250">
        <f t="shared" si="269"/>
        <v>0</v>
      </c>
      <c r="K160" s="250">
        <f t="shared" si="270"/>
        <v>0</v>
      </c>
      <c r="L160" s="462">
        <v>0.72</v>
      </c>
      <c r="M160" s="462">
        <v>0.72</v>
      </c>
      <c r="N160" s="462">
        <v>0.72</v>
      </c>
      <c r="O160" s="244">
        <f t="shared" si="255"/>
        <v>3.1536000000000002E-2</v>
      </c>
      <c r="P160" s="460">
        <v>0.2</v>
      </c>
      <c r="Q160" s="245">
        <v>20</v>
      </c>
      <c r="R160" s="227">
        <v>2</v>
      </c>
      <c r="T160" s="268">
        <f t="shared" si="213"/>
        <v>0.40471200000000007</v>
      </c>
      <c r="U160" s="268"/>
      <c r="V160" s="602" t="str">
        <f>'Data manipulation'!$B$23</f>
        <v>Solid fossil fuels, peat, peat products, oil shale and oil sands</v>
      </c>
      <c r="W160" s="254" t="s">
        <v>893</v>
      </c>
      <c r="X160" s="246">
        <v>2019</v>
      </c>
      <c r="Y160" s="434">
        <f>_xlfn.IFNA(INDEX('Data manipulation'!$C$23:$O$39,MATCH($V160,'Data manipulation'!$B$23:$B$39,0),MATCH($X160,'Data manipulation'!$C$22:$O$22,0))/1000,0)*SUMIFS('Regional split'!$F$4:$F$6,'Regional split'!$B$4:$B$6,Y$3)*SUMIFS('Data manipulation'!$V$39:$V$42,'Data manipulation'!$X$39:$X$42,$E160,'Data manipulation'!$Y$39:$Y$42,$D160)</f>
        <v>0.20235325600000001</v>
      </c>
      <c r="Z160" s="270">
        <f>_xlfn.IFNA(INDEX('Data manipulation'!$C$23:$O$39,MATCH($V160,'Data manipulation'!$B$23:$B$39,0),MATCH($X160,'Data manipulation'!$C$22:$O$22,0))/1000,0)*SUMIFS('Regional split'!$F$4:$F$6,'Regional split'!$B$4:$B$6,Z$3)*SUMIFS('Data manipulation'!$V$39:$V$42,'Data manipulation'!$X$39:$X$42,$E160,'Data manipulation'!$Y$39:$Y$42,$D160)</f>
        <v>0</v>
      </c>
      <c r="AA160" s="456">
        <f>_xlfn.IFNA(INDEX('Data manipulation'!$C$23:$O$39,MATCH($V160,'Data manipulation'!$B$23:$B$39,0),MATCH($X160,'Data manipulation'!$C$22:$O$22,0))/1000,0)*SUMIFS('Regional split'!$F$4:$F$6,'Regional split'!$B$4:$B$6,AA$3)*SUMIFS('Data manipulation'!$V$39:$V$42,'Data manipulation'!$X$39:$X$42,$E160,'Data manipulation'!$Y$39:$Y$42,$D160)</f>
        <v>0</v>
      </c>
      <c r="AB160" s="445">
        <f t="shared" si="247"/>
        <v>0.14569434432</v>
      </c>
      <c r="AC160" s="251">
        <f t="shared" si="248"/>
        <v>0</v>
      </c>
      <c r="AD160" s="446">
        <f t="shared" si="249"/>
        <v>0</v>
      </c>
      <c r="AU160" s="260"/>
      <c r="AZ160" s="252"/>
    </row>
    <row r="161" spans="2:52" ht="15" customHeight="1">
      <c r="B161" s="233" t="str">
        <f t="shared" ref="B161:G161" si="274">B121</f>
        <v>RHTRMSOLE1</v>
      </c>
      <c r="C161" s="233" t="str">
        <f t="shared" si="274"/>
        <v>Residential Heating Technology Rural Multi - Solar - Existing 1</v>
      </c>
      <c r="D161" s="233" t="str">
        <f t="shared" si="274"/>
        <v>Rural</v>
      </c>
      <c r="E161" s="233" t="str">
        <f t="shared" si="274"/>
        <v>Multi storey</v>
      </c>
      <c r="F161" s="233" t="str">
        <f t="shared" si="274"/>
        <v>RESSOL</v>
      </c>
      <c r="G161" s="233" t="str">
        <f t="shared" si="274"/>
        <v>RESHRMB</v>
      </c>
      <c r="H161" s="259">
        <v>2019</v>
      </c>
      <c r="I161" s="250">
        <f t="shared" si="268"/>
        <v>17</v>
      </c>
      <c r="J161" s="250">
        <f t="shared" si="269"/>
        <v>0</v>
      </c>
      <c r="K161" s="250">
        <f t="shared" si="270"/>
        <v>0</v>
      </c>
      <c r="L161" s="462">
        <v>1</v>
      </c>
      <c r="M161" s="462">
        <v>1</v>
      </c>
      <c r="N161" s="462">
        <v>1</v>
      </c>
      <c r="O161" s="244">
        <f t="shared" si="255"/>
        <v>3.1536000000000002E-2</v>
      </c>
      <c r="P161" s="460">
        <v>0.2</v>
      </c>
      <c r="Q161" s="245">
        <v>20</v>
      </c>
      <c r="R161" s="227">
        <v>2</v>
      </c>
      <c r="T161" s="268">
        <f t="shared" si="213"/>
        <v>0.10722240000000001</v>
      </c>
      <c r="U161" s="268"/>
      <c r="V161" s="602" t="str">
        <f>'Data manipulation'!$B$29</f>
        <v>Solar thermal</v>
      </c>
      <c r="W161" s="254" t="s">
        <v>188</v>
      </c>
      <c r="X161" s="246">
        <v>2019</v>
      </c>
      <c r="Y161" s="434">
        <f>_xlfn.IFNA(INDEX('Data manipulation'!$C$23:$O$39,MATCH($V161,'Data manipulation'!$B$23:$B$39,0),MATCH($X161,'Data manipulation'!$C$22:$O$22,0))/1000,0)*SUMIFS('Regional split'!$F$4:$F$6,'Regional split'!$B$4:$B$6,Y$3)*SUMIFS('Data manipulation'!$V$39:$V$42,'Data manipulation'!$X$39:$X$42,$E161,'Data manipulation'!$Y$39:$Y$42,$D161)</f>
        <v>5.3572974000000002E-2</v>
      </c>
      <c r="Z161" s="270">
        <f>_xlfn.IFNA(INDEX('Data manipulation'!$C$23:$O$39,MATCH($V161,'Data manipulation'!$B$23:$B$39,0),MATCH($X161,'Data manipulation'!$C$22:$O$22,0))/1000,0)*SUMIFS('Regional split'!$F$4:$F$6,'Regional split'!$B$4:$B$6,Z$3)*SUMIFS('Data manipulation'!$V$39:$V$42,'Data manipulation'!$X$39:$X$42,$E161,'Data manipulation'!$Y$39:$Y$42,$D161)</f>
        <v>0</v>
      </c>
      <c r="AA161" s="456">
        <f>_xlfn.IFNA(INDEX('Data manipulation'!$C$23:$O$39,MATCH($V161,'Data manipulation'!$B$23:$B$39,0),MATCH($X161,'Data manipulation'!$C$22:$O$22,0))/1000,0)*SUMIFS('Regional split'!$F$4:$F$6,'Regional split'!$B$4:$B$6,AA$3)*SUMIFS('Data manipulation'!$V$39:$V$42,'Data manipulation'!$X$39:$X$42,$E161,'Data manipulation'!$Y$39:$Y$42,$D161)</f>
        <v>0</v>
      </c>
      <c r="AB161" s="445">
        <f t="shared" si="247"/>
        <v>5.3572974000000002E-2</v>
      </c>
      <c r="AC161" s="251">
        <f t="shared" si="248"/>
        <v>0</v>
      </c>
      <c r="AD161" s="446">
        <f t="shared" si="249"/>
        <v>0</v>
      </c>
      <c r="AU161" s="260"/>
      <c r="AZ161" s="252"/>
    </row>
    <row r="162" spans="2:52" ht="15" customHeight="1">
      <c r="B162" s="233" t="str">
        <f t="shared" ref="B162:G162" si="275">B122</f>
        <v>RHTRMELCHE1</v>
      </c>
      <c r="C162" s="233" t="str">
        <f t="shared" si="275"/>
        <v>Residential Heating Technology Rural Multi - Electricity Heating - Existing 1</v>
      </c>
      <c r="D162" s="233" t="str">
        <f t="shared" si="275"/>
        <v>Rural</v>
      </c>
      <c r="E162" s="233" t="str">
        <f t="shared" si="275"/>
        <v>Multi storey</v>
      </c>
      <c r="F162" s="233" t="str">
        <f t="shared" si="275"/>
        <v>RESELCH</v>
      </c>
      <c r="G162" s="233" t="str">
        <f t="shared" si="275"/>
        <v>RESHRMB</v>
      </c>
      <c r="H162" s="259">
        <v>2019</v>
      </c>
      <c r="I162" s="250">
        <f t="shared" si="268"/>
        <v>120.89999999999999</v>
      </c>
      <c r="J162" s="250">
        <f t="shared" si="269"/>
        <v>0</v>
      </c>
      <c r="K162" s="250">
        <f t="shared" si="270"/>
        <v>0</v>
      </c>
      <c r="L162" s="462">
        <v>1</v>
      </c>
      <c r="M162" s="462">
        <v>1</v>
      </c>
      <c r="N162" s="462">
        <v>1</v>
      </c>
      <c r="O162" s="244">
        <f t="shared" si="255"/>
        <v>3.1536000000000002E-2</v>
      </c>
      <c r="P162" s="460">
        <v>0.2</v>
      </c>
      <c r="Q162" s="245">
        <v>30</v>
      </c>
      <c r="R162" s="227">
        <v>2</v>
      </c>
      <c r="T162" s="268">
        <f t="shared" si="213"/>
        <v>0.76254048000000008</v>
      </c>
      <c r="U162" s="268"/>
      <c r="V162" s="602" t="str">
        <f>'Data manipulation'!$B$33</f>
        <v>Electricity</v>
      </c>
      <c r="W162" s="254" t="s">
        <v>189</v>
      </c>
      <c r="X162" s="246">
        <v>2019</v>
      </c>
      <c r="Y162" s="434">
        <f>_xlfn.IFNA(INDEX('Data manipulation'!$C$23:$O$39,MATCH($V162,'Data manipulation'!$B$23:$B$39,0),MATCH($X162,'Data manipulation'!$C$22:$O$22,0))/1000,0)*SUMIFS('Regional split'!$F$4:$F$6,'Regional split'!$B$4:$B$6,Y$3)*SUMIFS('Data manipulation'!$V$39:$V$42,'Data manipulation'!$X$39:$X$42,$E162,'Data manipulation'!$Y$39:$Y$42,$D162)</f>
        <v>0.38100213199999999</v>
      </c>
      <c r="Z162" s="270">
        <f>_xlfn.IFNA(INDEX('Data manipulation'!$C$23:$O$39,MATCH($V162,'Data manipulation'!$B$23:$B$39,0),MATCH($X162,'Data manipulation'!$C$22:$O$22,0))/1000,0)*SUMIFS('Regional split'!$F$4:$F$6,'Regional split'!$B$4:$B$6,Z$3)*SUMIFS('Data manipulation'!$V$39:$V$42,'Data manipulation'!$X$39:$X$42,$E162,'Data manipulation'!$Y$39:$Y$42,$D162)</f>
        <v>0</v>
      </c>
      <c r="AA162" s="456">
        <f>_xlfn.IFNA(INDEX('Data manipulation'!$C$23:$O$39,MATCH($V162,'Data manipulation'!$B$23:$B$39,0),MATCH($X162,'Data manipulation'!$C$22:$O$22,0))/1000,0)*SUMIFS('Regional split'!$F$4:$F$6,'Regional split'!$B$4:$B$6,AA$3)*SUMIFS('Data manipulation'!$V$39:$V$42,'Data manipulation'!$X$39:$X$42,$E162,'Data manipulation'!$Y$39:$Y$42,$D162)</f>
        <v>0</v>
      </c>
      <c r="AB162" s="445">
        <f t="shared" si="247"/>
        <v>0.38100213199999999</v>
      </c>
      <c r="AC162" s="251">
        <f t="shared" si="248"/>
        <v>0</v>
      </c>
      <c r="AD162" s="446">
        <f t="shared" si="249"/>
        <v>0</v>
      </c>
      <c r="AU162" s="260"/>
      <c r="AZ162" s="252"/>
    </row>
    <row r="163" spans="2:52" ht="15" customHeight="1">
      <c r="B163" s="233" t="str">
        <f t="shared" ref="B163:G163" si="276">B123</f>
        <v>RHTRMELCHE2</v>
      </c>
      <c r="C163" s="233" t="str">
        <f t="shared" si="276"/>
        <v>Residential Heating Technology Rural Multi - Electricity Heating - Existing 2</v>
      </c>
      <c r="D163" s="233" t="str">
        <f t="shared" si="276"/>
        <v>Rural</v>
      </c>
      <c r="E163" s="233" t="str">
        <f t="shared" si="276"/>
        <v>Multi storey</v>
      </c>
      <c r="F163" s="233" t="str">
        <f t="shared" si="276"/>
        <v>RESELCH</v>
      </c>
      <c r="G163" s="233" t="str">
        <f t="shared" si="276"/>
        <v>RESHRMB</v>
      </c>
      <c r="H163" s="259">
        <v>2019</v>
      </c>
      <c r="I163" s="250">
        <f t="shared" si="268"/>
        <v>450</v>
      </c>
      <c r="J163" s="250">
        <f t="shared" si="269"/>
        <v>0</v>
      </c>
      <c r="K163" s="250">
        <f t="shared" si="270"/>
        <v>0</v>
      </c>
      <c r="L163" s="462">
        <v>2.3149999999999999</v>
      </c>
      <c r="M163" s="462">
        <v>2.3149999999999999</v>
      </c>
      <c r="N163" s="462">
        <v>2.3149999999999999</v>
      </c>
      <c r="O163" s="244">
        <f t="shared" si="255"/>
        <v>3.1536000000000002E-2</v>
      </c>
      <c r="P163" s="460">
        <v>0.2</v>
      </c>
      <c r="Q163" s="245">
        <v>30</v>
      </c>
      <c r="R163" s="227">
        <v>2</v>
      </c>
      <c r="T163" s="268">
        <f t="shared" si="213"/>
        <v>1.2260215982721383</v>
      </c>
      <c r="U163" s="268"/>
      <c r="V163" s="602" t="str">
        <f>'Data manipulation'!$B$30</f>
        <v>Ambient heat (heat pumps)</v>
      </c>
      <c r="W163" s="254" t="s">
        <v>190</v>
      </c>
      <c r="X163" s="246">
        <v>2019</v>
      </c>
      <c r="Y163" s="434">
        <f>_xlfn.IFNA(INDEX('Data manipulation'!$C$23:$O$39,MATCH($V163,'Data manipulation'!$B$23:$B$39,0),MATCH($X163,'Data manipulation'!$C$22:$O$22,0))/1000,0)*SUMIFS('Regional split'!$F$4:$F$6,'Regional split'!$B$4:$B$6,Y$3)*SUMIFS('Data manipulation'!$V$39:$V$42,'Data manipulation'!$X$39:$X$42,$E163,'Data manipulation'!$Y$39:$Y$42,$D163)</f>
        <v>0.61298509999999995</v>
      </c>
      <c r="Z163" s="270">
        <f>_xlfn.IFNA(INDEX('Data manipulation'!$C$23:$O$39,MATCH($V163,'Data manipulation'!$B$23:$B$39,0),MATCH($X163,'Data manipulation'!$C$22:$O$22,0))/1000,0)*SUMIFS('Regional split'!$F$4:$F$6,'Regional split'!$B$4:$B$6,Z$3)*SUMIFS('Data manipulation'!$V$39:$V$42,'Data manipulation'!$X$39:$X$42,$E163,'Data manipulation'!$Y$39:$Y$42,$D163)</f>
        <v>0</v>
      </c>
      <c r="AA163" s="456">
        <f>_xlfn.IFNA(INDEX('Data manipulation'!$C$23:$O$39,MATCH($V163,'Data manipulation'!$B$23:$B$39,0),MATCH($X163,'Data manipulation'!$C$22:$O$22,0))/1000,0)*SUMIFS('Regional split'!$F$4:$F$6,'Regional split'!$B$4:$B$6,AA$3)*SUMIFS('Data manipulation'!$V$39:$V$42,'Data manipulation'!$X$39:$X$42,$E163,'Data manipulation'!$Y$39:$Y$42,$D163)</f>
        <v>0</v>
      </c>
      <c r="AB163" s="445">
        <f t="shared" si="247"/>
        <v>1.4190605064999999</v>
      </c>
      <c r="AC163" s="251">
        <f t="shared" si="248"/>
        <v>0</v>
      </c>
      <c r="AD163" s="446">
        <f t="shared" si="249"/>
        <v>0</v>
      </c>
      <c r="AU163" s="260"/>
      <c r="AZ163" s="252"/>
    </row>
    <row r="164" spans="2:52" ht="15" customHeight="1">
      <c r="B164" s="233" t="str">
        <f t="shared" ref="B164:G164" si="277">B124</f>
        <v>RHTRMHCEE1</v>
      </c>
      <c r="C164" s="233" t="str">
        <f t="shared" si="277"/>
        <v>Residential Heating Technology Rural Multi - District heating Central - Existing 1</v>
      </c>
      <c r="D164" s="233" t="str">
        <f t="shared" si="277"/>
        <v>Rural</v>
      </c>
      <c r="E164" s="233" t="str">
        <f t="shared" si="277"/>
        <v>Multi storey</v>
      </c>
      <c r="F164" s="233" t="str">
        <f t="shared" si="277"/>
        <v>RESHDE</v>
      </c>
      <c r="G164" s="233" t="str">
        <f t="shared" si="277"/>
        <v>RESHRMX</v>
      </c>
      <c r="H164" s="261">
        <v>2019</v>
      </c>
      <c r="I164" s="572">
        <v>0</v>
      </c>
      <c r="J164" s="572">
        <v>0</v>
      </c>
      <c r="K164" s="572">
        <v>0</v>
      </c>
      <c r="L164" s="462">
        <v>0.98</v>
      </c>
      <c r="M164" s="462">
        <v>0.98</v>
      </c>
      <c r="N164" s="462">
        <v>0.98</v>
      </c>
      <c r="O164" s="244">
        <f t="shared" si="255"/>
        <v>3.1536000000000002E-2</v>
      </c>
      <c r="P164" s="460">
        <v>0.2</v>
      </c>
      <c r="Q164" s="245">
        <v>30</v>
      </c>
      <c r="R164" s="227">
        <v>2</v>
      </c>
      <c r="T164" s="268">
        <f t="shared" si="213"/>
        <v>0</v>
      </c>
      <c r="U164" s="268"/>
      <c r="V164" s="602" t="str">
        <f>'Data manipulation'!$B$34</f>
        <v>Heat</v>
      </c>
      <c r="W164" s="254" t="s">
        <v>191</v>
      </c>
      <c r="X164" s="246">
        <v>2019</v>
      </c>
      <c r="Y164" s="434">
        <f>_xlfn.IFNA(INDEX('Data manipulation'!$C$23:$O$39,MATCH($V164,'Data manipulation'!$B$23:$B$39,0),MATCH($X164,'Data manipulation'!$C$22:$O$22,0))/1000,0)*SUMIFS('Regional split'!$F$4:$F$6,'Regional split'!$B$4:$B$6,Y$3)*SUMIFS('Data manipulation'!$V$39:$V$42,'Data manipulation'!$X$39:$X$42,$E164,'Data manipulation'!$Y$39:$Y$42,$D164)</f>
        <v>1.9501080479999999</v>
      </c>
      <c r="Z164" s="270">
        <f>_xlfn.IFNA(INDEX('Data manipulation'!$C$23:$O$39,MATCH($V164,'Data manipulation'!$B$23:$B$39,0),MATCH($X164,'Data manipulation'!$C$22:$O$22,0))/1000,0)*SUMIFS('Regional split'!$F$4:$F$6,'Regional split'!$B$4:$B$6,Z$3)*SUMIFS('Data manipulation'!$V$39:$V$42,'Data manipulation'!$X$39:$X$42,$E164,'Data manipulation'!$Y$39:$Y$42,$D164)</f>
        <v>0</v>
      </c>
      <c r="AA164" s="456">
        <f>_xlfn.IFNA(INDEX('Data manipulation'!$C$23:$O$39,MATCH($V164,'Data manipulation'!$B$23:$B$39,0),MATCH($X164,'Data manipulation'!$C$22:$O$22,0))/1000,0)*SUMIFS('Regional split'!$F$4:$F$6,'Regional split'!$B$4:$B$6,AA$3)*SUMIFS('Data manipulation'!$V$39:$V$42,'Data manipulation'!$X$39:$X$42,$E164,'Data manipulation'!$Y$39:$Y$42,$D164)</f>
        <v>0</v>
      </c>
      <c r="AB164" s="445">
        <f t="shared" si="247"/>
        <v>1.91110588704</v>
      </c>
      <c r="AC164" s="251">
        <f t="shared" si="248"/>
        <v>0</v>
      </c>
      <c r="AD164" s="446">
        <f t="shared" si="249"/>
        <v>0</v>
      </c>
      <c r="AU164" s="260"/>
      <c r="AZ164" s="252"/>
    </row>
    <row r="165" spans="2:52" ht="15" customHeight="1" thickBot="1">
      <c r="B165" s="233" t="str">
        <f t="shared" ref="B165:G165" si="278">B125</f>
        <v>RHTRMLPGE1</v>
      </c>
      <c r="C165" s="233" t="str">
        <f t="shared" si="278"/>
        <v>Residential Heating Technology Rural Multi - LPG - Existing 1</v>
      </c>
      <c r="D165" s="233" t="str">
        <f t="shared" si="278"/>
        <v>Rural</v>
      </c>
      <c r="E165" s="233" t="str">
        <f t="shared" si="278"/>
        <v>Multi storey</v>
      </c>
      <c r="F165" s="233" t="str">
        <f t="shared" si="278"/>
        <v>RESLPG</v>
      </c>
      <c r="G165" s="233" t="str">
        <f t="shared" si="278"/>
        <v>RESHRMB</v>
      </c>
      <c r="H165" s="261">
        <v>2019</v>
      </c>
      <c r="I165" s="297">
        <f>ROUNDUP(AB165/($O165*$P165)*$R165,1)</f>
        <v>0</v>
      </c>
      <c r="J165" s="297">
        <f t="shared" ref="J165" si="279">ROUNDUP(AC165/($O165*$P165)*$R165,1)</f>
        <v>0</v>
      </c>
      <c r="K165" s="297">
        <f t="shared" ref="K165" si="280">ROUNDUP(AD165/($O165*$P165)*$R165,1)</f>
        <v>0</v>
      </c>
      <c r="L165" s="462">
        <v>0.98</v>
      </c>
      <c r="M165" s="462">
        <v>0.98</v>
      </c>
      <c r="N165" s="462">
        <v>0.98</v>
      </c>
      <c r="O165" s="244">
        <f t="shared" si="255"/>
        <v>3.1536000000000002E-2</v>
      </c>
      <c r="P165" s="460">
        <v>0.2</v>
      </c>
      <c r="Q165" s="245">
        <v>30</v>
      </c>
      <c r="R165" s="227">
        <v>2</v>
      </c>
      <c r="T165" s="268">
        <f t="shared" si="213"/>
        <v>0</v>
      </c>
      <c r="U165" s="268"/>
      <c r="V165" s="602" t="s">
        <v>790</v>
      </c>
      <c r="W165" s="428" t="s">
        <v>790</v>
      </c>
      <c r="X165" s="246">
        <v>2019</v>
      </c>
      <c r="Y165" s="435">
        <f>_xlfn.IFNA(INDEX('Data manipulation'!$C$23:$O$39,MATCH($V165,'Data manipulation'!$B$23:$B$39,0),MATCH($X165,'Data manipulation'!$C$22:$O$22,0))/1000,0)*SUMIFS('Regional split'!$F$4:$F$6,'Regional split'!$B$4:$B$6,Y$3)*SUMIFS('Data manipulation'!$V$39:$V$42,'Data manipulation'!$X$39:$X$42,$E165,'Data manipulation'!$Y$39:$Y$42,$D165)</f>
        <v>0</v>
      </c>
      <c r="Z165" s="432">
        <f>_xlfn.IFNA(INDEX('Data manipulation'!$C$23:$O$39,MATCH($V165,'Data manipulation'!$B$23:$B$39,0),MATCH($X165,'Data manipulation'!$C$22:$O$22,0))/1000,0)*SUMIFS('Regional split'!$F$4:$F$6,'Regional split'!$B$4:$B$6,Z$3)*SUMIFS('Data manipulation'!$V$39:$V$42,'Data manipulation'!$X$39:$X$42,$E165,'Data manipulation'!$Y$39:$Y$42,$D165)</f>
        <v>0</v>
      </c>
      <c r="AA165" s="457">
        <f>_xlfn.IFNA(INDEX('Data manipulation'!$C$23:$O$39,MATCH($V165,'Data manipulation'!$B$23:$B$39,0),MATCH($X165,'Data manipulation'!$C$22:$O$22,0))/1000,0)*SUMIFS('Regional split'!$F$4:$F$6,'Regional split'!$B$4:$B$6,AA$3)*SUMIFS('Data manipulation'!$V$39:$V$42,'Data manipulation'!$X$39:$X$42,$E165,'Data manipulation'!$Y$39:$Y$42,$D165)</f>
        <v>0</v>
      </c>
      <c r="AB165" s="447">
        <f t="shared" si="247"/>
        <v>0</v>
      </c>
      <c r="AC165" s="433">
        <f t="shared" si="248"/>
        <v>0</v>
      </c>
      <c r="AD165" s="454">
        <f t="shared" si="249"/>
        <v>0</v>
      </c>
      <c r="AU165" s="260"/>
      <c r="AZ165" s="252"/>
    </row>
    <row r="166" spans="2:52" ht="15" customHeight="1">
      <c r="B166" s="227" t="str">
        <f>B86</f>
        <v>RHTUDNGAE1</v>
      </c>
      <c r="C166" s="227" t="str">
        <f t="shared" ref="C166:G166" si="281">C86</f>
        <v>Residential Heating Technology Urban Detached - Natural Gas - Existing 1</v>
      </c>
      <c r="D166" s="227" t="str">
        <f t="shared" si="281"/>
        <v>Urban</v>
      </c>
      <c r="E166" s="227" t="str">
        <f t="shared" si="281"/>
        <v>Detached</v>
      </c>
      <c r="F166" s="227" t="str">
        <f t="shared" si="281"/>
        <v>RESNGA,RESSNG,RESBGA</v>
      </c>
      <c r="G166" s="227" t="str">
        <f t="shared" si="281"/>
        <v>RESHUDB</v>
      </c>
      <c r="H166" s="573">
        <f t="shared" ref="H166:H205" si="282">H86+Q166</f>
        <v>2040</v>
      </c>
      <c r="I166" s="250">
        <v>0</v>
      </c>
      <c r="J166" s="250">
        <v>0</v>
      </c>
      <c r="K166" s="250">
        <v>0</v>
      </c>
      <c r="L166" s="462">
        <v>0.72</v>
      </c>
      <c r="M166" s="462">
        <v>0.72</v>
      </c>
      <c r="N166" s="462">
        <v>0.72</v>
      </c>
      <c r="O166" s="244">
        <f>31.536/1000</f>
        <v>3.1536000000000002E-2</v>
      </c>
      <c r="P166" s="460">
        <v>0.2</v>
      </c>
      <c r="Q166" s="245">
        <v>22</v>
      </c>
      <c r="R166" s="227">
        <v>2</v>
      </c>
      <c r="T166" s="268">
        <f t="shared" si="106"/>
        <v>0</v>
      </c>
      <c r="U166" s="268"/>
      <c r="V166" s="602" t="str">
        <f>'Data manipulation'!$B$36</f>
        <v>Natural gas, biogas and LNG</v>
      </c>
      <c r="W166" s="246" t="s">
        <v>187</v>
      </c>
      <c r="X166" s="246">
        <v>2019</v>
      </c>
      <c r="Y166" s="434">
        <f>_xlfn.IFNA(INDEX('Data manipulation'!$C$23:$O$39,MATCH($V166,'Data manipulation'!$B$23:$B$39,0),MATCH($X166,'Data manipulation'!$C$22:$O$22,0))/1000,0)*SUMIFS('Regional split'!$F$4:$F$6,'Regional split'!$B$4:$B$6,Y$3)*SUMIFS('Data manipulation'!$V$39:$V$42,'Data manipulation'!$X$39:$X$42,$E166,'Data manipulation'!$Y$39:$Y$42,$D166)</f>
        <v>324.22556333999995</v>
      </c>
      <c r="Z166" s="434">
        <f>_xlfn.IFNA(INDEX('Data manipulation'!$C$23:$O$39,MATCH($V166,'Data manipulation'!$B$23:$B$39,0),MATCH($X166,'Data manipulation'!$C$22:$O$22,0))/1000,0)*SUMIFS('Regional split'!$F$4:$F$6,'Regional split'!$B$4:$B$6,Z$3)*SUMIFS('Data manipulation'!$V$39:$V$42,'Data manipulation'!$X$39:$X$42,$E166,'Data manipulation'!$Y$39:$Y$42,$D166)</f>
        <v>0</v>
      </c>
      <c r="AA166" s="434">
        <f>_xlfn.IFNA(INDEX('Data manipulation'!$C$23:$O$39,MATCH($V166,'Data manipulation'!$B$23:$B$39,0),MATCH($X166,'Data manipulation'!$C$22:$O$22,0))/1000,0)*SUMIFS('Regional split'!$F$4:$F$6,'Regional split'!$B$4:$B$6,AA$3)*SUMIFS('Data manipulation'!$V$39:$V$42,'Data manipulation'!$X$39:$X$42,$E166,'Data manipulation'!$Y$39:$Y$42,$D166)</f>
        <v>0</v>
      </c>
      <c r="AB166" s="445">
        <f t="shared" si="178"/>
        <v>233.44240560479994</v>
      </c>
      <c r="AC166" s="251">
        <f t="shared" si="179"/>
        <v>0</v>
      </c>
      <c r="AD166" s="446">
        <f t="shared" si="180"/>
        <v>0</v>
      </c>
      <c r="AE166" s="262"/>
      <c r="AU166" s="260"/>
      <c r="AZ166" s="252"/>
    </row>
    <row r="167" spans="2:52" ht="15" customHeight="1">
      <c r="B167" s="227" t="str">
        <f t="shared" ref="B167:G167" si="283">B87</f>
        <v>RHTUDDSLE1</v>
      </c>
      <c r="C167" s="227" t="str">
        <f t="shared" si="283"/>
        <v>Residential Heating Technology Urban Detached - Diesel - Existing 1</v>
      </c>
      <c r="D167" s="227" t="str">
        <f t="shared" si="283"/>
        <v>Urban</v>
      </c>
      <c r="E167" s="227" t="str">
        <f t="shared" si="283"/>
        <v>Detached</v>
      </c>
      <c r="F167" s="227" t="str">
        <f t="shared" si="283"/>
        <v>RESDSL,RESDSB</v>
      </c>
      <c r="G167" s="227" t="str">
        <f t="shared" si="283"/>
        <v>RESHUDB</v>
      </c>
      <c r="H167" s="573">
        <f t="shared" si="282"/>
        <v>2038</v>
      </c>
      <c r="I167" s="250">
        <v>0</v>
      </c>
      <c r="J167" s="250">
        <v>0</v>
      </c>
      <c r="K167" s="250">
        <v>0</v>
      </c>
      <c r="L167" s="462">
        <v>0.71</v>
      </c>
      <c r="M167" s="462">
        <v>0.71</v>
      </c>
      <c r="N167" s="462">
        <v>0.71</v>
      </c>
      <c r="O167" s="244">
        <f>31.536/1000</f>
        <v>3.1536000000000002E-2</v>
      </c>
      <c r="P167" s="460">
        <v>0.2</v>
      </c>
      <c r="Q167" s="245">
        <v>20</v>
      </c>
      <c r="R167" s="227">
        <v>2</v>
      </c>
      <c r="T167" s="268">
        <f t="shared" si="106"/>
        <v>0</v>
      </c>
      <c r="V167" s="602" t="str">
        <f>'Data manipulation'!$B$35</f>
        <v>Oil products</v>
      </c>
      <c r="W167" s="254" t="s">
        <v>749</v>
      </c>
      <c r="X167" s="246">
        <v>2019</v>
      </c>
      <c r="Y167" s="434">
        <f>_xlfn.IFNA(INDEX('Data manipulation'!$C$23:$O$39,MATCH($V167,'Data manipulation'!$B$23:$B$39,0),MATCH($X167,'Data manipulation'!$C$22:$O$22,0))/1000,0)*SUMIFS('Regional split'!$F$4:$F$6,'Regional split'!$B$4:$B$6,Y$3)*SUMIFS('Data manipulation'!$V$39:$V$42,'Data manipulation'!$X$39:$X$42,$E167,'Data manipulation'!$Y$39:$Y$42,$D167)</f>
        <v>163.63154724</v>
      </c>
      <c r="Z167" s="434">
        <f>_xlfn.IFNA(INDEX('Data manipulation'!$C$23:$O$39,MATCH($V167,'Data manipulation'!$B$23:$B$39,0),MATCH($X167,'Data manipulation'!$C$22:$O$22,0))/1000,0)*SUMIFS('Regional split'!$F$4:$F$6,'Regional split'!$B$4:$B$6,Z$3)*SUMIFS('Data manipulation'!$V$39:$V$42,'Data manipulation'!$X$39:$X$42,$E167,'Data manipulation'!$Y$39:$Y$42,$D167)</f>
        <v>0</v>
      </c>
      <c r="AA167" s="434">
        <f>_xlfn.IFNA(INDEX('Data manipulation'!$C$23:$O$39,MATCH($V167,'Data manipulation'!$B$23:$B$39,0),MATCH($X167,'Data manipulation'!$C$22:$O$22,0))/1000,0)*SUMIFS('Regional split'!$F$4:$F$6,'Regional split'!$B$4:$B$6,AA$3)*SUMIFS('Data manipulation'!$V$39:$V$42,'Data manipulation'!$X$39:$X$42,$E167,'Data manipulation'!$Y$39:$Y$42,$D167)</f>
        <v>0</v>
      </c>
      <c r="AB167" s="445">
        <f t="shared" si="178"/>
        <v>116.1783985404</v>
      </c>
      <c r="AC167" s="251">
        <f t="shared" si="179"/>
        <v>0</v>
      </c>
      <c r="AD167" s="446">
        <f t="shared" si="180"/>
        <v>0</v>
      </c>
      <c r="AE167" s="262"/>
      <c r="AU167" s="260"/>
      <c r="AZ167" s="252"/>
    </row>
    <row r="168" spans="2:52" ht="15" customHeight="1">
      <c r="B168" s="227" t="str">
        <f t="shared" ref="B168:G168" si="284">B88</f>
        <v>RHTUDWPEE1</v>
      </c>
      <c r="C168" s="227" t="str">
        <f t="shared" si="284"/>
        <v>Residential Heating Technology Urban Detached - Wood pellets - Existing 1</v>
      </c>
      <c r="D168" s="227" t="str">
        <f t="shared" si="284"/>
        <v>Urban</v>
      </c>
      <c r="E168" s="227" t="str">
        <f t="shared" si="284"/>
        <v>Detached</v>
      </c>
      <c r="F168" s="227" t="str">
        <f t="shared" si="284"/>
        <v>RESWPE</v>
      </c>
      <c r="G168" s="227" t="str">
        <f t="shared" si="284"/>
        <v>RESHUDB</v>
      </c>
      <c r="H168" s="573">
        <f t="shared" si="282"/>
        <v>2038</v>
      </c>
      <c r="I168" s="250">
        <v>0</v>
      </c>
      <c r="J168" s="250">
        <v>0</v>
      </c>
      <c r="K168" s="250">
        <v>0</v>
      </c>
      <c r="L168" s="462">
        <v>0.61</v>
      </c>
      <c r="M168" s="462">
        <v>0.61</v>
      </c>
      <c r="N168" s="462">
        <v>0.61</v>
      </c>
      <c r="O168" s="244">
        <f t="shared" ref="O168:O185" si="285">31.536/1000</f>
        <v>3.1536000000000002E-2</v>
      </c>
      <c r="P168" s="460">
        <v>0.2</v>
      </c>
      <c r="Q168" s="245">
        <v>20</v>
      </c>
      <c r="R168" s="227">
        <v>2</v>
      </c>
      <c r="T168" s="268">
        <f t="shared" si="106"/>
        <v>0</v>
      </c>
      <c r="U168" s="268"/>
      <c r="V168" s="602" t="s">
        <v>206</v>
      </c>
      <c r="W168" s="254" t="s">
        <v>896</v>
      </c>
      <c r="X168" s="246">
        <v>2019</v>
      </c>
      <c r="Y168" s="434">
        <f>_xlfn.IFNA(INDEX('Data manipulation'!$C$23:$O$39,MATCH($V168,'Data manipulation'!$B$23:$B$39,0),MATCH($X168,'Data manipulation'!$C$22:$O$22,0))/1000,0)*SUMIFS('Regional split'!$F$4:$F$6,'Regional split'!$B$4:$B$6,Y$3)*SUMIFS('Data manipulation'!$V$39:$V$42,'Data manipulation'!$X$39:$X$42,$E168,'Data manipulation'!$Y$39:$Y$42,$D168)</f>
        <v>0</v>
      </c>
      <c r="Z168" s="434">
        <f>_xlfn.IFNA(INDEX('Data manipulation'!$C$23:$O$39,MATCH($V168,'Data manipulation'!$B$23:$B$39,0),MATCH($X168,'Data manipulation'!$C$22:$O$22,0))/1000,0)*SUMIFS('Regional split'!$F$4:$F$6,'Regional split'!$B$4:$B$6,Z$3)*SUMIFS('Data manipulation'!$V$39:$V$42,'Data manipulation'!$X$39:$X$42,$E168,'Data manipulation'!$Y$39:$Y$42,$D168)</f>
        <v>0</v>
      </c>
      <c r="AA168" s="434">
        <f>_xlfn.IFNA(INDEX('Data manipulation'!$C$23:$O$39,MATCH($V168,'Data manipulation'!$B$23:$B$39,0),MATCH($X168,'Data manipulation'!$C$22:$O$22,0))/1000,0)*SUMIFS('Regional split'!$F$4:$F$6,'Regional split'!$B$4:$B$6,AA$3)*SUMIFS('Data manipulation'!$V$39:$V$42,'Data manipulation'!$X$39:$X$42,$E168,'Data manipulation'!$Y$39:$Y$42,$D168)</f>
        <v>0</v>
      </c>
      <c r="AB168" s="445">
        <f t="shared" si="178"/>
        <v>0</v>
      </c>
      <c r="AC168" s="251">
        <f t="shared" si="179"/>
        <v>0</v>
      </c>
      <c r="AD168" s="446">
        <f t="shared" si="180"/>
        <v>0</v>
      </c>
      <c r="AE168" s="262"/>
      <c r="AU168" s="260"/>
      <c r="AZ168" s="252"/>
    </row>
    <row r="169" spans="2:52" ht="15" customHeight="1">
      <c r="B169" s="227" t="str">
        <f t="shared" ref="B169:G169" si="286">B89</f>
        <v>RHTUDFIWE1</v>
      </c>
      <c r="C169" s="227" t="str">
        <f t="shared" si="286"/>
        <v>Residential Heating Technology Urban Detached - Fire wood - Existing 1</v>
      </c>
      <c r="D169" s="227" t="str">
        <f t="shared" si="286"/>
        <v>Urban</v>
      </c>
      <c r="E169" s="227" t="str">
        <f t="shared" si="286"/>
        <v>Detached</v>
      </c>
      <c r="F169" s="227" t="str">
        <f t="shared" si="286"/>
        <v>RESFIW</v>
      </c>
      <c r="G169" s="227" t="str">
        <f t="shared" si="286"/>
        <v>RESHUDB</v>
      </c>
      <c r="H169" s="573">
        <f t="shared" si="282"/>
        <v>2038</v>
      </c>
      <c r="I169" s="250">
        <v>0</v>
      </c>
      <c r="J169" s="250">
        <v>0</v>
      </c>
      <c r="K169" s="250">
        <v>0</v>
      </c>
      <c r="L169" s="462">
        <v>0.65000022993955098</v>
      </c>
      <c r="M169" s="462">
        <v>0.65000022993955098</v>
      </c>
      <c r="N169" s="462">
        <v>0.65000022993955098</v>
      </c>
      <c r="O169" s="244">
        <f t="shared" si="285"/>
        <v>3.1536000000000002E-2</v>
      </c>
      <c r="P169" s="460">
        <v>0.2</v>
      </c>
      <c r="Q169" s="245">
        <v>20</v>
      </c>
      <c r="R169" s="227">
        <v>2</v>
      </c>
      <c r="T169" s="268">
        <f t="shared" si="106"/>
        <v>0</v>
      </c>
      <c r="U169" s="268"/>
      <c r="V169" s="602" t="str">
        <f>'Data manipulation'!$B$31</f>
        <v>Primary solid biofuels</v>
      </c>
      <c r="W169" s="254" t="s">
        <v>196</v>
      </c>
      <c r="X169" s="246">
        <v>2019</v>
      </c>
      <c r="Y169" s="434">
        <f>_xlfn.IFNA(INDEX('Data manipulation'!$C$23:$O$39,MATCH($V169,'Data manipulation'!$B$23:$B$39,0),MATCH($X169,'Data manipulation'!$C$22:$O$22,0))/1000,0)*SUMIFS('Regional split'!$F$4:$F$6,'Regional split'!$B$4:$B$6,Y$3)*SUMIFS('Data manipulation'!$V$39:$V$42,'Data manipulation'!$X$39:$X$42,$E169,'Data manipulation'!$Y$39:$Y$42,$D169)</f>
        <v>91.208857739999985</v>
      </c>
      <c r="Z169" s="434">
        <f>_xlfn.IFNA(INDEX('Data manipulation'!$C$23:$O$39,MATCH($V169,'Data manipulation'!$B$23:$B$39,0),MATCH($X169,'Data manipulation'!$C$22:$O$22,0))/1000,0)*SUMIFS('Regional split'!$F$4:$F$6,'Regional split'!$B$4:$B$6,Z$3)*SUMIFS('Data manipulation'!$V$39:$V$42,'Data manipulation'!$X$39:$X$42,$E169,'Data manipulation'!$Y$39:$Y$42,$D169)</f>
        <v>0</v>
      </c>
      <c r="AA169" s="434">
        <f>_xlfn.IFNA(INDEX('Data manipulation'!$C$23:$O$39,MATCH($V169,'Data manipulation'!$B$23:$B$39,0),MATCH($X169,'Data manipulation'!$C$22:$O$22,0))/1000,0)*SUMIFS('Regional split'!$F$4:$F$6,'Regional split'!$B$4:$B$6,AA$3)*SUMIFS('Data manipulation'!$V$39:$V$42,'Data manipulation'!$X$39:$X$42,$E169,'Data manipulation'!$Y$39:$Y$42,$D169)</f>
        <v>0</v>
      </c>
      <c r="AB169" s="445">
        <f t="shared" si="178"/>
        <v>59.285778503523787</v>
      </c>
      <c r="AC169" s="251">
        <f t="shared" si="179"/>
        <v>0</v>
      </c>
      <c r="AD169" s="446">
        <f t="shared" si="180"/>
        <v>0</v>
      </c>
      <c r="AE169" s="262"/>
      <c r="AU169" s="260"/>
      <c r="AZ169" s="252"/>
    </row>
    <row r="170" spans="2:52" ht="15" customHeight="1">
      <c r="B170" s="233" t="str">
        <f t="shared" ref="B170:G170" si="287">B90</f>
        <v>RHTUDCOAE1</v>
      </c>
      <c r="C170" s="233" t="str">
        <f t="shared" si="287"/>
        <v>Residential Heating Technology Urban Detached - Coal - Existing 1</v>
      </c>
      <c r="D170" s="233" t="str">
        <f t="shared" si="287"/>
        <v>Urban</v>
      </c>
      <c r="E170" s="233" t="str">
        <f t="shared" si="287"/>
        <v>Detached</v>
      </c>
      <c r="F170" s="233" t="str">
        <f t="shared" si="287"/>
        <v>RESCOA</v>
      </c>
      <c r="G170" s="233" t="str">
        <f t="shared" si="287"/>
        <v>RESHUDB</v>
      </c>
      <c r="H170" s="573">
        <f t="shared" si="282"/>
        <v>2038</v>
      </c>
      <c r="I170" s="250">
        <v>0</v>
      </c>
      <c r="J170" s="250">
        <v>0</v>
      </c>
      <c r="K170" s="250">
        <v>0</v>
      </c>
      <c r="L170" s="462">
        <v>0.7</v>
      </c>
      <c r="M170" s="462">
        <v>0.7</v>
      </c>
      <c r="N170" s="462">
        <v>0.7</v>
      </c>
      <c r="O170" s="244">
        <f t="shared" si="285"/>
        <v>3.1536000000000002E-2</v>
      </c>
      <c r="P170" s="460">
        <v>0.2</v>
      </c>
      <c r="Q170" s="245">
        <v>20</v>
      </c>
      <c r="R170" s="227">
        <v>2</v>
      </c>
      <c r="T170" s="268">
        <f t="shared" si="106"/>
        <v>0</v>
      </c>
      <c r="U170" s="268"/>
      <c r="V170" s="602" t="str">
        <f>'Data manipulation'!$B$23</f>
        <v>Solid fossil fuels, peat, peat products, oil shale and oil sands</v>
      </c>
      <c r="W170" s="254" t="s">
        <v>893</v>
      </c>
      <c r="X170" s="246">
        <v>2019</v>
      </c>
      <c r="Y170" s="434">
        <f>_xlfn.IFNA(INDEX('Data manipulation'!$C$23:$O$39,MATCH($V170,'Data manipulation'!$B$23:$B$39,0),MATCH($X170,'Data manipulation'!$C$22:$O$22,0))/1000,0)*SUMIFS('Regional split'!$F$4:$F$6,'Regional split'!$B$4:$B$6,Y$3)*SUMIFS('Data manipulation'!$V$39:$V$42,'Data manipulation'!$X$39:$X$42,$E170,'Data manipulation'!$Y$39:$Y$42,$D170)</f>
        <v>6.0705976799999997</v>
      </c>
      <c r="Z170" s="434">
        <f>_xlfn.IFNA(INDEX('Data manipulation'!$C$23:$O$39,MATCH($V170,'Data manipulation'!$B$23:$B$39,0),MATCH($X170,'Data manipulation'!$C$22:$O$22,0))/1000,0)*SUMIFS('Regional split'!$F$4:$F$6,'Regional split'!$B$4:$B$6,Z$3)*SUMIFS('Data manipulation'!$V$39:$V$42,'Data manipulation'!$X$39:$X$42,$E170,'Data manipulation'!$Y$39:$Y$42,$D170)</f>
        <v>0</v>
      </c>
      <c r="AA170" s="434">
        <f>_xlfn.IFNA(INDEX('Data manipulation'!$C$23:$O$39,MATCH($V170,'Data manipulation'!$B$23:$B$39,0),MATCH($X170,'Data manipulation'!$C$22:$O$22,0))/1000,0)*SUMIFS('Regional split'!$F$4:$F$6,'Regional split'!$B$4:$B$6,AA$3)*SUMIFS('Data manipulation'!$V$39:$V$42,'Data manipulation'!$X$39:$X$42,$E170,'Data manipulation'!$Y$39:$Y$42,$D170)</f>
        <v>0</v>
      </c>
      <c r="AB170" s="445">
        <f t="shared" si="178"/>
        <v>4.2494183759999995</v>
      </c>
      <c r="AC170" s="251">
        <f t="shared" si="179"/>
        <v>0</v>
      </c>
      <c r="AD170" s="446">
        <f t="shared" si="180"/>
        <v>0</v>
      </c>
      <c r="AE170" s="262"/>
      <c r="AU170" s="260"/>
      <c r="AZ170" s="252"/>
    </row>
    <row r="171" spans="2:52" ht="15" customHeight="1">
      <c r="B171" s="233" t="str">
        <f t="shared" ref="B171:G171" si="288">B91</f>
        <v>RHTUDSOLE1</v>
      </c>
      <c r="C171" s="233" t="str">
        <f t="shared" si="288"/>
        <v>Residential Heating Technology Urban Detached - Solar - Existing 1</v>
      </c>
      <c r="D171" s="233" t="str">
        <f t="shared" si="288"/>
        <v>Urban</v>
      </c>
      <c r="E171" s="233" t="str">
        <f t="shared" si="288"/>
        <v>Detached</v>
      </c>
      <c r="F171" s="233" t="str">
        <f t="shared" si="288"/>
        <v>RESSOL</v>
      </c>
      <c r="G171" s="233" t="str">
        <f t="shared" si="288"/>
        <v>RESHUDB</v>
      </c>
      <c r="H171" s="573">
        <f t="shared" si="282"/>
        <v>2038</v>
      </c>
      <c r="I171" s="250">
        <v>0</v>
      </c>
      <c r="J171" s="250">
        <v>0</v>
      </c>
      <c r="K171" s="250">
        <v>0</v>
      </c>
      <c r="L171" s="462">
        <v>1</v>
      </c>
      <c r="M171" s="462">
        <v>1</v>
      </c>
      <c r="N171" s="462">
        <v>1</v>
      </c>
      <c r="O171" s="244">
        <f t="shared" si="285"/>
        <v>3.1536000000000002E-2</v>
      </c>
      <c r="P171" s="460">
        <v>0.2</v>
      </c>
      <c r="Q171" s="245">
        <v>20</v>
      </c>
      <c r="R171" s="227">
        <v>2</v>
      </c>
      <c r="T171" s="268">
        <f t="shared" si="106"/>
        <v>0</v>
      </c>
      <c r="U171" s="268"/>
      <c r="V171" s="602" t="str">
        <f>'Data manipulation'!$B$29</f>
        <v>Solar thermal</v>
      </c>
      <c r="W171" s="254" t="s">
        <v>188</v>
      </c>
      <c r="X171" s="246">
        <v>2019</v>
      </c>
      <c r="Y171" s="434">
        <f>_xlfn.IFNA(INDEX('Data manipulation'!$C$23:$O$39,MATCH($V171,'Data manipulation'!$B$23:$B$39,0),MATCH($X171,'Data manipulation'!$C$22:$O$22,0))/1000,0)*SUMIFS('Regional split'!$F$4:$F$6,'Regional split'!$B$4:$B$6,Y$3)*SUMIFS('Data manipulation'!$V$39:$V$42,'Data manipulation'!$X$39:$X$42,$E171,'Data manipulation'!$Y$39:$Y$42,$D171)</f>
        <v>1.60718922</v>
      </c>
      <c r="Z171" s="434">
        <f>_xlfn.IFNA(INDEX('Data manipulation'!$C$23:$O$39,MATCH($V171,'Data manipulation'!$B$23:$B$39,0),MATCH($X171,'Data manipulation'!$C$22:$O$22,0))/1000,0)*SUMIFS('Regional split'!$F$4:$F$6,'Regional split'!$B$4:$B$6,Z$3)*SUMIFS('Data manipulation'!$V$39:$V$42,'Data manipulation'!$X$39:$X$42,$E171,'Data manipulation'!$Y$39:$Y$42,$D171)</f>
        <v>0</v>
      </c>
      <c r="AA171" s="434">
        <f>_xlfn.IFNA(INDEX('Data manipulation'!$C$23:$O$39,MATCH($V171,'Data manipulation'!$B$23:$B$39,0),MATCH($X171,'Data manipulation'!$C$22:$O$22,0))/1000,0)*SUMIFS('Regional split'!$F$4:$F$6,'Regional split'!$B$4:$B$6,AA$3)*SUMIFS('Data manipulation'!$V$39:$V$42,'Data manipulation'!$X$39:$X$42,$E171,'Data manipulation'!$Y$39:$Y$42,$D171)</f>
        <v>0</v>
      </c>
      <c r="AB171" s="445">
        <f t="shared" si="178"/>
        <v>1.60718922</v>
      </c>
      <c r="AC171" s="251">
        <f t="shared" si="179"/>
        <v>0</v>
      </c>
      <c r="AD171" s="446">
        <f t="shared" si="180"/>
        <v>0</v>
      </c>
      <c r="AE171" s="262"/>
      <c r="AU171" s="260"/>
      <c r="AZ171" s="252"/>
    </row>
    <row r="172" spans="2:52" ht="15" customHeight="1">
      <c r="B172" s="233" t="str">
        <f t="shared" ref="B172:G172" si="289">B92</f>
        <v>RHTUDELCHE1</v>
      </c>
      <c r="C172" s="233" t="str">
        <f t="shared" si="289"/>
        <v>Residential Heating Technology Urban Detached - Electricity Heating - Existing 1</v>
      </c>
      <c r="D172" s="233" t="str">
        <f t="shared" si="289"/>
        <v>Urban</v>
      </c>
      <c r="E172" s="233" t="str">
        <f t="shared" si="289"/>
        <v>Detached</v>
      </c>
      <c r="F172" s="233" t="str">
        <f t="shared" si="289"/>
        <v>RESELCH</v>
      </c>
      <c r="G172" s="233" t="str">
        <f t="shared" si="289"/>
        <v>RESHUDB</v>
      </c>
      <c r="H172" s="573">
        <f t="shared" si="282"/>
        <v>2048</v>
      </c>
      <c r="I172" s="250">
        <v>0</v>
      </c>
      <c r="J172" s="250">
        <v>0</v>
      </c>
      <c r="K172" s="250">
        <v>0</v>
      </c>
      <c r="L172" s="462">
        <v>1</v>
      </c>
      <c r="M172" s="462">
        <v>1</v>
      </c>
      <c r="N172" s="462">
        <v>1</v>
      </c>
      <c r="O172" s="244">
        <f t="shared" si="285"/>
        <v>3.1536000000000002E-2</v>
      </c>
      <c r="P172" s="460">
        <v>0.2</v>
      </c>
      <c r="Q172" s="245">
        <v>30</v>
      </c>
      <c r="R172" s="227">
        <v>2</v>
      </c>
      <c r="T172" s="268">
        <f t="shared" si="106"/>
        <v>0</v>
      </c>
      <c r="U172" s="268"/>
      <c r="V172" s="602" t="str">
        <f>'Data manipulation'!$B$33</f>
        <v>Electricity</v>
      </c>
      <c r="W172" s="254" t="s">
        <v>189</v>
      </c>
      <c r="X172" s="246">
        <v>2019</v>
      </c>
      <c r="Y172" s="434">
        <f>_xlfn.IFNA(INDEX('Data manipulation'!$C$23:$O$39,MATCH($V172,'Data manipulation'!$B$23:$B$39,0),MATCH($X172,'Data manipulation'!$C$22:$O$22,0))/1000,0)*SUMIFS('Regional split'!$F$4:$F$6,'Regional split'!$B$4:$B$6,Y$3)*SUMIFS('Data manipulation'!$V$39:$V$42,'Data manipulation'!$X$39:$X$42,$E172,'Data manipulation'!$Y$39:$Y$42,$D172)</f>
        <v>11.430063959999998</v>
      </c>
      <c r="Z172" s="434">
        <f>_xlfn.IFNA(INDEX('Data manipulation'!$C$23:$O$39,MATCH($V172,'Data manipulation'!$B$23:$B$39,0),MATCH($X172,'Data manipulation'!$C$22:$O$22,0))/1000,0)*SUMIFS('Regional split'!$F$4:$F$6,'Regional split'!$B$4:$B$6,Z$3)*SUMIFS('Data manipulation'!$V$39:$V$42,'Data manipulation'!$X$39:$X$42,$E172,'Data manipulation'!$Y$39:$Y$42,$D172)</f>
        <v>0</v>
      </c>
      <c r="AA172" s="434">
        <f>_xlfn.IFNA(INDEX('Data manipulation'!$C$23:$O$39,MATCH($V172,'Data manipulation'!$B$23:$B$39,0),MATCH($X172,'Data manipulation'!$C$22:$O$22,0))/1000,0)*SUMIFS('Regional split'!$F$4:$F$6,'Regional split'!$B$4:$B$6,AA$3)*SUMIFS('Data manipulation'!$V$39:$V$42,'Data manipulation'!$X$39:$X$42,$E172,'Data manipulation'!$Y$39:$Y$42,$D172)</f>
        <v>0</v>
      </c>
      <c r="AB172" s="445">
        <f t="shared" si="178"/>
        <v>11.430063959999998</v>
      </c>
      <c r="AC172" s="251">
        <f t="shared" si="179"/>
        <v>0</v>
      </c>
      <c r="AD172" s="446">
        <f t="shared" si="180"/>
        <v>0</v>
      </c>
      <c r="AU172" s="260"/>
      <c r="AZ172" s="252"/>
    </row>
    <row r="173" spans="2:52" ht="15" customHeight="1">
      <c r="B173" s="233" t="str">
        <f t="shared" ref="B173:G173" si="290">B93</f>
        <v>RHTUDELCHE2</v>
      </c>
      <c r="C173" s="233" t="str">
        <f t="shared" si="290"/>
        <v>Residential Heating Technology Urban Detached - Electricity Heating - Existing 2</v>
      </c>
      <c r="D173" s="233" t="str">
        <f t="shared" si="290"/>
        <v>Urban</v>
      </c>
      <c r="E173" s="233" t="str">
        <f t="shared" si="290"/>
        <v>Detached</v>
      </c>
      <c r="F173" s="233" t="str">
        <f t="shared" si="290"/>
        <v>RESELCH</v>
      </c>
      <c r="G173" s="233" t="str">
        <f t="shared" si="290"/>
        <v>RESHUDB</v>
      </c>
      <c r="H173" s="573">
        <f t="shared" si="282"/>
        <v>2048</v>
      </c>
      <c r="I173" s="250">
        <v>0</v>
      </c>
      <c r="J173" s="250">
        <v>0</v>
      </c>
      <c r="K173" s="250">
        <v>0</v>
      </c>
      <c r="L173" s="462">
        <v>2.3149999999999999</v>
      </c>
      <c r="M173" s="462">
        <v>2.3149999999999999</v>
      </c>
      <c r="N173" s="462">
        <v>2.3149999999999999</v>
      </c>
      <c r="O173" s="244">
        <f t="shared" si="285"/>
        <v>3.1536000000000002E-2</v>
      </c>
      <c r="P173" s="460">
        <v>0.2</v>
      </c>
      <c r="Q173" s="245">
        <v>30</v>
      </c>
      <c r="R173" s="227">
        <v>2</v>
      </c>
      <c r="T173" s="268">
        <f t="shared" si="106"/>
        <v>0</v>
      </c>
      <c r="U173" s="268"/>
      <c r="V173" s="602" t="str">
        <f>'Data manipulation'!$B$30</f>
        <v>Ambient heat (heat pumps)</v>
      </c>
      <c r="W173" s="254" t="s">
        <v>190</v>
      </c>
      <c r="X173" s="246">
        <v>2019</v>
      </c>
      <c r="Y173" s="434">
        <f>_xlfn.IFNA(INDEX('Data manipulation'!$C$23:$O$39,MATCH($V173,'Data manipulation'!$B$23:$B$39,0),MATCH($X173,'Data manipulation'!$C$22:$O$22,0))/1000,0)*SUMIFS('Regional split'!$F$4:$F$6,'Regional split'!$B$4:$B$6,Y$3)*SUMIFS('Data manipulation'!$V$39:$V$42,'Data manipulation'!$X$39:$X$42,$E173,'Data manipulation'!$Y$39:$Y$42,$D173)</f>
        <v>18.389552999999999</v>
      </c>
      <c r="Z173" s="434">
        <f>_xlfn.IFNA(INDEX('Data manipulation'!$C$23:$O$39,MATCH($V173,'Data manipulation'!$B$23:$B$39,0),MATCH($X173,'Data manipulation'!$C$22:$O$22,0))/1000,0)*SUMIFS('Regional split'!$F$4:$F$6,'Regional split'!$B$4:$B$6,Z$3)*SUMIFS('Data manipulation'!$V$39:$V$42,'Data manipulation'!$X$39:$X$42,$E173,'Data manipulation'!$Y$39:$Y$42,$D173)</f>
        <v>0</v>
      </c>
      <c r="AA173" s="434">
        <f>_xlfn.IFNA(INDEX('Data manipulation'!$C$23:$O$39,MATCH($V173,'Data manipulation'!$B$23:$B$39,0),MATCH($X173,'Data manipulation'!$C$22:$O$22,0))/1000,0)*SUMIFS('Regional split'!$F$4:$F$6,'Regional split'!$B$4:$B$6,AA$3)*SUMIFS('Data manipulation'!$V$39:$V$42,'Data manipulation'!$X$39:$X$42,$E173,'Data manipulation'!$Y$39:$Y$42,$D173)</f>
        <v>0</v>
      </c>
      <c r="AB173" s="445">
        <f t="shared" si="178"/>
        <v>42.571815194999999</v>
      </c>
      <c r="AC173" s="251">
        <f t="shared" si="179"/>
        <v>0</v>
      </c>
      <c r="AD173" s="446">
        <f t="shared" si="180"/>
        <v>0</v>
      </c>
      <c r="AU173" s="260"/>
      <c r="AZ173" s="252"/>
    </row>
    <row r="174" spans="2:52" ht="15" customHeight="1">
      <c r="B174" s="233" t="str">
        <f t="shared" ref="B174:G174" si="291">B94</f>
        <v>RHTUDHCEE1</v>
      </c>
      <c r="C174" s="233" t="str">
        <f t="shared" si="291"/>
        <v>Residential Heating Technology Urban Detached - District heating Central - Existing 1</v>
      </c>
      <c r="D174" s="233" t="str">
        <f t="shared" si="291"/>
        <v>Urban</v>
      </c>
      <c r="E174" s="233" t="str">
        <f t="shared" si="291"/>
        <v>Detached</v>
      </c>
      <c r="F174" s="233" t="str">
        <f t="shared" si="291"/>
        <v>RESHCE</v>
      </c>
      <c r="G174" s="233" t="str">
        <f t="shared" si="291"/>
        <v>RESHUDX</v>
      </c>
      <c r="H174" s="573">
        <f t="shared" si="282"/>
        <v>2048</v>
      </c>
      <c r="I174" s="572">
        <v>0</v>
      </c>
      <c r="J174" s="572">
        <v>0</v>
      </c>
      <c r="K174" s="572">
        <v>0</v>
      </c>
      <c r="L174" s="462">
        <v>0.95</v>
      </c>
      <c r="M174" s="462">
        <v>0.95</v>
      </c>
      <c r="N174" s="462">
        <v>0.95</v>
      </c>
      <c r="O174" s="244">
        <f t="shared" si="285"/>
        <v>3.1536000000000002E-2</v>
      </c>
      <c r="P174" s="460">
        <v>0.2</v>
      </c>
      <c r="Q174" s="245">
        <v>30</v>
      </c>
      <c r="R174" s="227">
        <v>2</v>
      </c>
      <c r="T174" s="268">
        <f t="shared" si="106"/>
        <v>0</v>
      </c>
      <c r="U174" s="268"/>
      <c r="V174" s="602" t="str">
        <f>'Data manipulation'!$B$34</f>
        <v>Heat</v>
      </c>
      <c r="W174" s="254" t="s">
        <v>191</v>
      </c>
      <c r="X174" s="246">
        <v>2019</v>
      </c>
      <c r="Y174" s="434">
        <f>_xlfn.IFNA(INDEX('Data manipulation'!$C$23:$O$39,MATCH($V174,'Data manipulation'!$B$23:$B$39,0),MATCH($X174,'Data manipulation'!$C$22:$O$22,0))/1000,0)*SUMIFS('Regional split'!$F$4:$F$6,'Regional split'!$B$4:$B$6,Y$3)*SUMIFS('Data manipulation'!$V$39:$V$42,'Data manipulation'!$X$39:$X$42,$E174,'Data manipulation'!$Y$39:$Y$42,$D174)</f>
        <v>58.503241439999996</v>
      </c>
      <c r="Z174" s="434">
        <f>_xlfn.IFNA(INDEX('Data manipulation'!$C$23:$O$39,MATCH($V174,'Data manipulation'!$B$23:$B$39,0),MATCH($X174,'Data manipulation'!$C$22:$O$22,0))/1000,0)*SUMIFS('Regional split'!$F$4:$F$6,'Regional split'!$B$4:$B$6,Z$3)*SUMIFS('Data manipulation'!$V$39:$V$42,'Data manipulation'!$X$39:$X$42,$E174,'Data manipulation'!$Y$39:$Y$42,$D174)</f>
        <v>0</v>
      </c>
      <c r="AA174" s="434">
        <f>_xlfn.IFNA(INDEX('Data manipulation'!$C$23:$O$39,MATCH($V174,'Data manipulation'!$B$23:$B$39,0),MATCH($X174,'Data manipulation'!$C$22:$O$22,0))/1000,0)*SUMIFS('Regional split'!$F$4:$F$6,'Regional split'!$B$4:$B$6,AA$3)*SUMIFS('Data manipulation'!$V$39:$V$42,'Data manipulation'!$X$39:$X$42,$E174,'Data manipulation'!$Y$39:$Y$42,$D174)</f>
        <v>0</v>
      </c>
      <c r="AB174" s="445">
        <f t="shared" si="178"/>
        <v>55.578079367999997</v>
      </c>
      <c r="AC174" s="251">
        <f t="shared" si="179"/>
        <v>0</v>
      </c>
      <c r="AD174" s="446">
        <f t="shared" si="180"/>
        <v>0</v>
      </c>
      <c r="AU174" s="260"/>
      <c r="AZ174" s="252"/>
    </row>
    <row r="175" spans="2:52" ht="15" customHeight="1" thickBot="1">
      <c r="B175" s="255" t="str">
        <f t="shared" ref="B175:G175" si="292">B95</f>
        <v>RHTUDLPGE1</v>
      </c>
      <c r="C175" s="255" t="str">
        <f t="shared" si="292"/>
        <v>Residential Heating Technology Urban Detached - LPG - Existing 1</v>
      </c>
      <c r="D175" s="535" t="str">
        <f t="shared" si="292"/>
        <v>Urban</v>
      </c>
      <c r="E175" s="535" t="str">
        <f t="shared" si="292"/>
        <v>Detached</v>
      </c>
      <c r="F175" s="255" t="str">
        <f t="shared" si="292"/>
        <v>RESLPG</v>
      </c>
      <c r="G175" s="255" t="str">
        <f t="shared" si="292"/>
        <v>RESHUDB</v>
      </c>
      <c r="H175" s="575">
        <f t="shared" si="282"/>
        <v>2048</v>
      </c>
      <c r="I175" s="297">
        <v>0</v>
      </c>
      <c r="J175" s="297">
        <v>0</v>
      </c>
      <c r="K175" s="297">
        <v>0</v>
      </c>
      <c r="L175" s="463">
        <v>0.95</v>
      </c>
      <c r="M175" s="463">
        <v>0.95</v>
      </c>
      <c r="N175" s="463">
        <v>0.95</v>
      </c>
      <c r="O175" s="257">
        <f t="shared" si="285"/>
        <v>3.1536000000000002E-2</v>
      </c>
      <c r="P175" s="460">
        <v>0.2</v>
      </c>
      <c r="Q175" s="258">
        <v>30</v>
      </c>
      <c r="R175" s="227">
        <v>2</v>
      </c>
      <c r="T175" s="268">
        <f t="shared" ref="T175:T205" si="293">SUM(I175:K175)*O175*P175/L175</f>
        <v>0</v>
      </c>
      <c r="U175" s="268"/>
      <c r="V175" s="602" t="s">
        <v>790</v>
      </c>
      <c r="W175" s="428" t="s">
        <v>790</v>
      </c>
      <c r="X175" s="246">
        <v>2019</v>
      </c>
      <c r="Y175" s="434">
        <f>_xlfn.IFNA(INDEX('Data manipulation'!$C$23:$O$39,MATCH($V175,'Data manipulation'!$B$23:$B$39,0),MATCH($X175,'Data manipulation'!$C$22:$O$22,0))/1000,0)*SUMIFS('Regional split'!$F$4:$F$6,'Regional split'!$B$4:$B$6,Y$3)*SUMIFS('Data manipulation'!$V$39:$V$42,'Data manipulation'!$X$39:$X$42,$E175,'Data manipulation'!$Y$39:$Y$42,$D175)</f>
        <v>0</v>
      </c>
      <c r="Z175" s="434">
        <f>_xlfn.IFNA(INDEX('Data manipulation'!$C$23:$O$39,MATCH($V175,'Data manipulation'!$B$23:$B$39,0),MATCH($X175,'Data manipulation'!$C$22:$O$22,0))/1000,0)*SUMIFS('Regional split'!$F$4:$F$6,'Regional split'!$B$4:$B$6,Z$3)*SUMIFS('Data manipulation'!$V$39:$V$42,'Data manipulation'!$X$39:$X$42,$E175,'Data manipulation'!$Y$39:$Y$42,$D175)</f>
        <v>0</v>
      </c>
      <c r="AA175" s="434">
        <f>_xlfn.IFNA(INDEX('Data manipulation'!$C$23:$O$39,MATCH($V175,'Data manipulation'!$B$23:$B$39,0),MATCH($X175,'Data manipulation'!$C$22:$O$22,0))/1000,0)*SUMIFS('Regional split'!$F$4:$F$6,'Regional split'!$B$4:$B$6,AA$3)*SUMIFS('Data manipulation'!$V$39:$V$42,'Data manipulation'!$X$39:$X$42,$E175,'Data manipulation'!$Y$39:$Y$42,$D175)</f>
        <v>0</v>
      </c>
      <c r="AB175" s="452">
        <f t="shared" si="178"/>
        <v>0</v>
      </c>
      <c r="AC175" s="277">
        <f t="shared" si="179"/>
        <v>0</v>
      </c>
      <c r="AD175" s="448">
        <f t="shared" si="180"/>
        <v>0</v>
      </c>
      <c r="AU175" s="260"/>
      <c r="AZ175" s="252"/>
    </row>
    <row r="176" spans="2:52" ht="15" customHeight="1">
      <c r="B176" s="233" t="str">
        <f t="shared" ref="B176:G176" si="294">B96</f>
        <v>RHTRDNGAE1</v>
      </c>
      <c r="C176" s="233" t="str">
        <f t="shared" si="294"/>
        <v>Residential Heating Technology Rural Detached - Natural Gas - Existing 1</v>
      </c>
      <c r="D176" s="233" t="str">
        <f t="shared" si="294"/>
        <v>Rural</v>
      </c>
      <c r="E176" s="233" t="str">
        <f t="shared" si="294"/>
        <v>Detached</v>
      </c>
      <c r="F176" s="233" t="str">
        <f t="shared" si="294"/>
        <v>RESNGA,RESSNG</v>
      </c>
      <c r="G176" s="233" t="str">
        <f t="shared" si="294"/>
        <v>RESHRDB</v>
      </c>
      <c r="H176" s="574">
        <f t="shared" si="282"/>
        <v>2043</v>
      </c>
      <c r="I176" s="250">
        <v>0</v>
      </c>
      <c r="J176" s="250">
        <v>0</v>
      </c>
      <c r="K176" s="250">
        <v>0</v>
      </c>
      <c r="L176" s="462">
        <v>0.79</v>
      </c>
      <c r="M176" s="462">
        <v>0.79</v>
      </c>
      <c r="N176" s="462">
        <v>0.79</v>
      </c>
      <c r="O176" s="244">
        <f t="shared" si="285"/>
        <v>3.1536000000000002E-2</v>
      </c>
      <c r="P176" s="460">
        <v>0.2</v>
      </c>
      <c r="Q176" s="245">
        <v>25</v>
      </c>
      <c r="R176" s="227">
        <v>2</v>
      </c>
      <c r="T176" s="268">
        <f t="shared" si="293"/>
        <v>0</v>
      </c>
      <c r="U176" s="268"/>
      <c r="V176" s="602" t="str">
        <f>'Data manipulation'!$B$36</f>
        <v>Natural gas, biogas and LNG</v>
      </c>
      <c r="W176" s="246" t="s">
        <v>187</v>
      </c>
      <c r="X176" s="246">
        <v>2019</v>
      </c>
      <c r="Y176" s="434">
        <f>_xlfn.IFNA(INDEX('Data manipulation'!$C$23:$O$39,MATCH($V176,'Data manipulation'!$B$23:$B$39,0),MATCH($X176,'Data manipulation'!$C$22:$O$22,0))/1000,0)*SUMIFS('Regional split'!$F$4:$F$6,'Regional split'!$B$4:$B$6,Y$3)*SUMIFS('Data manipulation'!$V$39:$V$42,'Data manipulation'!$X$39:$X$42,$E176,'Data manipulation'!$Y$39:$Y$42,$D176)</f>
        <v>246.25703501299998</v>
      </c>
      <c r="Z176" s="434">
        <f>_xlfn.IFNA(INDEX('Data manipulation'!$C$23:$O$39,MATCH($V176,'Data manipulation'!$B$23:$B$39,0),MATCH($X176,'Data manipulation'!$C$22:$O$22,0))/1000,0)*SUMIFS('Regional split'!$F$4:$F$6,'Regional split'!$B$4:$B$6,Z$3)*SUMIFS('Data manipulation'!$V$39:$V$42,'Data manipulation'!$X$39:$X$42,$E176,'Data manipulation'!$Y$39:$Y$42,$D176)</f>
        <v>0</v>
      </c>
      <c r="AA176" s="434">
        <f>_xlfn.IFNA(INDEX('Data manipulation'!$C$23:$O$39,MATCH($V176,'Data manipulation'!$B$23:$B$39,0),MATCH($X176,'Data manipulation'!$C$22:$O$22,0))/1000,0)*SUMIFS('Regional split'!$F$4:$F$6,'Regional split'!$B$4:$B$6,AA$3)*SUMIFS('Data manipulation'!$V$39:$V$42,'Data manipulation'!$X$39:$X$42,$E176,'Data manipulation'!$Y$39:$Y$42,$D176)</f>
        <v>0</v>
      </c>
      <c r="AB176" s="453">
        <f t="shared" si="178"/>
        <v>194.54305766026999</v>
      </c>
      <c r="AC176" s="278">
        <f t="shared" si="179"/>
        <v>0</v>
      </c>
      <c r="AD176" s="449">
        <f t="shared" si="180"/>
        <v>0</v>
      </c>
      <c r="AU176" s="260"/>
      <c r="AZ176" s="252"/>
    </row>
    <row r="177" spans="2:52" ht="15" customHeight="1">
      <c r="B177" s="233" t="str">
        <f t="shared" ref="B177:G177" si="295">B97</f>
        <v>RHTRDDSLE1</v>
      </c>
      <c r="C177" s="233" t="str">
        <f t="shared" si="295"/>
        <v>Residential Heating Technology Rural Detached - Diesel - Existing 1</v>
      </c>
      <c r="D177" s="233" t="str">
        <f t="shared" si="295"/>
        <v>Rural</v>
      </c>
      <c r="E177" s="233" t="str">
        <f t="shared" si="295"/>
        <v>Detached</v>
      </c>
      <c r="F177" s="233" t="str">
        <f t="shared" si="295"/>
        <v>RESDSL,RESDSB</v>
      </c>
      <c r="G177" s="233" t="str">
        <f t="shared" si="295"/>
        <v>RESHRDB</v>
      </c>
      <c r="H177" s="574">
        <f t="shared" si="282"/>
        <v>2038</v>
      </c>
      <c r="I177" s="250">
        <v>0</v>
      </c>
      <c r="J177" s="250">
        <v>0</v>
      </c>
      <c r="K177" s="250">
        <v>0</v>
      </c>
      <c r="L177" s="462">
        <v>0.79</v>
      </c>
      <c r="M177" s="462">
        <v>0.79</v>
      </c>
      <c r="N177" s="462">
        <v>0.79</v>
      </c>
      <c r="O177" s="244">
        <f t="shared" si="285"/>
        <v>3.1536000000000002E-2</v>
      </c>
      <c r="P177" s="460">
        <v>0.2</v>
      </c>
      <c r="Q177" s="245">
        <v>20</v>
      </c>
      <c r="R177" s="227">
        <v>2</v>
      </c>
      <c r="T177" s="268">
        <f t="shared" si="293"/>
        <v>0</v>
      </c>
      <c r="V177" s="602" t="str">
        <f>'Data manipulation'!$B$35</f>
        <v>Oil products</v>
      </c>
      <c r="W177" s="254" t="s">
        <v>749</v>
      </c>
      <c r="X177" s="246">
        <v>2019</v>
      </c>
      <c r="Y177" s="434">
        <f>_xlfn.IFNA(INDEX('Data manipulation'!$C$23:$O$39,MATCH($V177,'Data manipulation'!$B$23:$B$39,0),MATCH($X177,'Data manipulation'!$C$22:$O$22,0))/1000,0)*SUMIFS('Regional split'!$F$4:$F$6,'Regional split'!$B$4:$B$6,Y$3)*SUMIFS('Data manipulation'!$V$39:$V$42,'Data manipulation'!$X$39:$X$42,$E177,'Data manipulation'!$Y$39:$Y$42,$D177)</f>
        <v>124.28205611800001</v>
      </c>
      <c r="Z177" s="434">
        <f>_xlfn.IFNA(INDEX('Data manipulation'!$C$23:$O$39,MATCH($V177,'Data manipulation'!$B$23:$B$39,0),MATCH($X177,'Data manipulation'!$C$22:$O$22,0))/1000,0)*SUMIFS('Regional split'!$F$4:$F$6,'Regional split'!$B$4:$B$6,Z$3)*SUMIFS('Data manipulation'!$V$39:$V$42,'Data manipulation'!$X$39:$X$42,$E177,'Data manipulation'!$Y$39:$Y$42,$D177)</f>
        <v>0</v>
      </c>
      <c r="AA177" s="434">
        <f>_xlfn.IFNA(INDEX('Data manipulation'!$C$23:$O$39,MATCH($V177,'Data manipulation'!$B$23:$B$39,0),MATCH($X177,'Data manipulation'!$C$22:$O$22,0))/1000,0)*SUMIFS('Regional split'!$F$4:$F$6,'Regional split'!$B$4:$B$6,AA$3)*SUMIFS('Data manipulation'!$V$39:$V$42,'Data manipulation'!$X$39:$X$42,$E177,'Data manipulation'!$Y$39:$Y$42,$D177)</f>
        <v>0</v>
      </c>
      <c r="AB177" s="445">
        <f t="shared" si="178"/>
        <v>98.182824333220012</v>
      </c>
      <c r="AC177" s="251">
        <f t="shared" si="179"/>
        <v>0</v>
      </c>
      <c r="AD177" s="446">
        <f t="shared" si="180"/>
        <v>0</v>
      </c>
      <c r="AU177" s="260"/>
      <c r="AZ177" s="252"/>
    </row>
    <row r="178" spans="2:52" ht="15" customHeight="1">
      <c r="B178" s="233" t="str">
        <f t="shared" ref="B178:G178" si="296">B98</f>
        <v>RHTRDWPEE1</v>
      </c>
      <c r="C178" s="233" t="str">
        <f t="shared" si="296"/>
        <v>Residential Heating Technology Rural Detached - Wood pellets - Existing 1</v>
      </c>
      <c r="D178" s="233" t="str">
        <f t="shared" si="296"/>
        <v>Rural</v>
      </c>
      <c r="E178" s="233" t="str">
        <f t="shared" si="296"/>
        <v>Detached</v>
      </c>
      <c r="F178" s="233" t="str">
        <f t="shared" si="296"/>
        <v>RESWPE</v>
      </c>
      <c r="G178" s="233" t="str">
        <f t="shared" si="296"/>
        <v>RESHRDB</v>
      </c>
      <c r="H178" s="574">
        <f t="shared" si="282"/>
        <v>2038</v>
      </c>
      <c r="I178" s="250">
        <v>0</v>
      </c>
      <c r="J178" s="250">
        <v>0</v>
      </c>
      <c r="K178" s="250">
        <v>0</v>
      </c>
      <c r="L178" s="462">
        <v>0.67</v>
      </c>
      <c r="M178" s="462">
        <v>0.67</v>
      </c>
      <c r="N178" s="462">
        <v>0.67</v>
      </c>
      <c r="O178" s="244">
        <f>31.536/1000</f>
        <v>3.1536000000000002E-2</v>
      </c>
      <c r="P178" s="460">
        <v>0.2</v>
      </c>
      <c r="Q178" s="245">
        <v>20</v>
      </c>
      <c r="R178" s="227">
        <v>2</v>
      </c>
      <c r="T178" s="268">
        <f t="shared" si="293"/>
        <v>0</v>
      </c>
      <c r="U178" s="268"/>
      <c r="V178" s="602" t="s">
        <v>206</v>
      </c>
      <c r="W178" s="254" t="s">
        <v>896</v>
      </c>
      <c r="X178" s="246">
        <v>2019</v>
      </c>
      <c r="Y178" s="434">
        <f>_xlfn.IFNA(INDEX('Data manipulation'!$C$23:$O$39,MATCH($V178,'Data manipulation'!$B$23:$B$39,0),MATCH($X178,'Data manipulation'!$C$22:$O$22,0))/1000,0)*SUMIFS('Regional split'!$F$4:$F$6,'Regional split'!$B$4:$B$6,Y$3)*SUMIFS('Data manipulation'!$V$39:$V$42,'Data manipulation'!$X$39:$X$42,$E178,'Data manipulation'!$Y$39:$Y$42,$D178)</f>
        <v>0</v>
      </c>
      <c r="Z178" s="434">
        <f>_xlfn.IFNA(INDEX('Data manipulation'!$C$23:$O$39,MATCH($V178,'Data manipulation'!$B$23:$B$39,0),MATCH($X178,'Data manipulation'!$C$22:$O$22,0))/1000,0)*SUMIFS('Regional split'!$F$4:$F$6,'Regional split'!$B$4:$B$6,Z$3)*SUMIFS('Data manipulation'!$V$39:$V$42,'Data manipulation'!$X$39:$X$42,$E178,'Data manipulation'!$Y$39:$Y$42,$D178)</f>
        <v>0</v>
      </c>
      <c r="AA178" s="434">
        <f>_xlfn.IFNA(INDEX('Data manipulation'!$C$23:$O$39,MATCH($V178,'Data manipulation'!$B$23:$B$39,0),MATCH($X178,'Data manipulation'!$C$22:$O$22,0))/1000,0)*SUMIFS('Regional split'!$F$4:$F$6,'Regional split'!$B$4:$B$6,AA$3)*SUMIFS('Data manipulation'!$V$39:$V$42,'Data manipulation'!$X$39:$X$42,$E178,'Data manipulation'!$Y$39:$Y$42,$D178)</f>
        <v>0</v>
      </c>
      <c r="AB178" s="445">
        <f t="shared" si="178"/>
        <v>0</v>
      </c>
      <c r="AC178" s="251">
        <f t="shared" si="179"/>
        <v>0</v>
      </c>
      <c r="AD178" s="446">
        <f t="shared" si="180"/>
        <v>0</v>
      </c>
      <c r="AU178" s="260"/>
      <c r="AZ178" s="252"/>
    </row>
    <row r="179" spans="2:52" ht="15" customHeight="1">
      <c r="B179" s="233" t="str">
        <f t="shared" ref="B179:G179" si="297">B99</f>
        <v>RHTRDFIWE1</v>
      </c>
      <c r="C179" s="233" t="str">
        <f t="shared" si="297"/>
        <v>Residential Heating Technology Rural Detached - Fire wood - Existing 1</v>
      </c>
      <c r="D179" s="233" t="str">
        <f t="shared" si="297"/>
        <v>Rural</v>
      </c>
      <c r="E179" s="233" t="str">
        <f t="shared" si="297"/>
        <v>Detached</v>
      </c>
      <c r="F179" s="233" t="str">
        <f t="shared" si="297"/>
        <v>RESFIW</v>
      </c>
      <c r="G179" s="233" t="str">
        <f t="shared" si="297"/>
        <v>RESHRDB</v>
      </c>
      <c r="H179" s="574">
        <f t="shared" si="282"/>
        <v>2038</v>
      </c>
      <c r="I179" s="250">
        <v>0</v>
      </c>
      <c r="J179" s="250">
        <v>0</v>
      </c>
      <c r="K179" s="250">
        <v>0</v>
      </c>
      <c r="L179" s="462">
        <v>0.67</v>
      </c>
      <c r="M179" s="462">
        <v>0.67</v>
      </c>
      <c r="N179" s="462">
        <v>0.67</v>
      </c>
      <c r="O179" s="244">
        <f>31.536/1000</f>
        <v>3.1536000000000002E-2</v>
      </c>
      <c r="P179" s="460">
        <v>0.2</v>
      </c>
      <c r="Q179" s="245">
        <v>20</v>
      </c>
      <c r="R179" s="227">
        <v>2</v>
      </c>
      <c r="T179" s="268">
        <f t="shared" si="293"/>
        <v>0</v>
      </c>
      <c r="U179" s="268"/>
      <c r="V179" s="602" t="str">
        <f>'Data manipulation'!$B$31</f>
        <v>Primary solid biofuels</v>
      </c>
      <c r="W179" s="254" t="s">
        <v>196</v>
      </c>
      <c r="X179" s="246">
        <v>2019</v>
      </c>
      <c r="Y179" s="434">
        <f>_xlfn.IFNA(INDEX('Data manipulation'!$C$23:$O$39,MATCH($V179,'Data manipulation'!$B$23:$B$39,0),MATCH($X179,'Data manipulation'!$C$22:$O$22,0))/1000,0)*SUMIFS('Regional split'!$F$4:$F$6,'Regional split'!$B$4:$B$6,Y$3)*SUMIFS('Data manipulation'!$V$39:$V$42,'Data manipulation'!$X$39:$X$42,$E179,'Data manipulation'!$Y$39:$Y$42,$D179)</f>
        <v>69.275299093000001</v>
      </c>
      <c r="Z179" s="434">
        <f>_xlfn.IFNA(INDEX('Data manipulation'!$C$23:$O$39,MATCH($V179,'Data manipulation'!$B$23:$B$39,0),MATCH($X179,'Data manipulation'!$C$22:$O$22,0))/1000,0)*SUMIFS('Regional split'!$F$4:$F$6,'Regional split'!$B$4:$B$6,Z$3)*SUMIFS('Data manipulation'!$V$39:$V$42,'Data manipulation'!$X$39:$X$42,$E179,'Data manipulation'!$Y$39:$Y$42,$D179)</f>
        <v>0</v>
      </c>
      <c r="AA179" s="434">
        <f>_xlfn.IFNA(INDEX('Data manipulation'!$C$23:$O$39,MATCH($V179,'Data manipulation'!$B$23:$B$39,0),MATCH($X179,'Data manipulation'!$C$22:$O$22,0))/1000,0)*SUMIFS('Regional split'!$F$4:$F$6,'Regional split'!$B$4:$B$6,AA$3)*SUMIFS('Data manipulation'!$V$39:$V$42,'Data manipulation'!$X$39:$X$42,$E179,'Data manipulation'!$Y$39:$Y$42,$D179)</f>
        <v>0</v>
      </c>
      <c r="AB179" s="445">
        <f t="shared" si="178"/>
        <v>46.414450392310002</v>
      </c>
      <c r="AC179" s="251">
        <f t="shared" si="179"/>
        <v>0</v>
      </c>
      <c r="AD179" s="446">
        <f t="shared" si="180"/>
        <v>0</v>
      </c>
      <c r="AU179" s="260"/>
      <c r="AZ179" s="252"/>
    </row>
    <row r="180" spans="2:52" ht="15" customHeight="1">
      <c r="B180" s="233" t="str">
        <f t="shared" ref="B180:G180" si="298">B100</f>
        <v>RHTRDCOAE1</v>
      </c>
      <c r="C180" s="233" t="str">
        <f t="shared" si="298"/>
        <v>Residential Heating Technology Rural Detached - Coal - Existing 1</v>
      </c>
      <c r="D180" s="233" t="str">
        <f t="shared" si="298"/>
        <v>Rural</v>
      </c>
      <c r="E180" s="233" t="str">
        <f t="shared" si="298"/>
        <v>Detached</v>
      </c>
      <c r="F180" s="233" t="str">
        <f t="shared" si="298"/>
        <v>RESCOA</v>
      </c>
      <c r="G180" s="233" t="str">
        <f t="shared" si="298"/>
        <v>RESHRDB</v>
      </c>
      <c r="H180" s="574">
        <f t="shared" si="282"/>
        <v>2038</v>
      </c>
      <c r="I180" s="250">
        <v>0</v>
      </c>
      <c r="J180" s="250">
        <v>0</v>
      </c>
      <c r="K180" s="250">
        <v>0</v>
      </c>
      <c r="L180" s="462">
        <v>0.72</v>
      </c>
      <c r="M180" s="462">
        <v>0.72</v>
      </c>
      <c r="N180" s="462">
        <v>0.72</v>
      </c>
      <c r="O180" s="244">
        <f t="shared" si="285"/>
        <v>3.1536000000000002E-2</v>
      </c>
      <c r="P180" s="460">
        <v>0.2</v>
      </c>
      <c r="Q180" s="245">
        <v>20</v>
      </c>
      <c r="R180" s="227">
        <v>2</v>
      </c>
      <c r="T180" s="268">
        <f t="shared" si="293"/>
        <v>0</v>
      </c>
      <c r="U180" s="268"/>
      <c r="V180" s="602" t="str">
        <f>'Data manipulation'!$B$23</f>
        <v>Solid fossil fuels, peat, peat products, oil shale and oil sands</v>
      </c>
      <c r="W180" s="254" t="s">
        <v>893</v>
      </c>
      <c r="X180" s="246">
        <v>2019</v>
      </c>
      <c r="Y180" s="434">
        <f>_xlfn.IFNA(INDEX('Data manipulation'!$C$23:$O$39,MATCH($V180,'Data manipulation'!$B$23:$B$39,0),MATCH($X180,'Data manipulation'!$C$22:$O$22,0))/1000,0)*SUMIFS('Regional split'!$F$4:$F$6,'Regional split'!$B$4:$B$6,Y$3)*SUMIFS('Data manipulation'!$V$39:$V$42,'Data manipulation'!$X$39:$X$42,$E180,'Data manipulation'!$Y$39:$Y$42,$D180)</f>
        <v>4.6107634759999998</v>
      </c>
      <c r="Z180" s="434">
        <f>_xlfn.IFNA(INDEX('Data manipulation'!$C$23:$O$39,MATCH($V180,'Data manipulation'!$B$23:$B$39,0),MATCH($X180,'Data manipulation'!$C$22:$O$22,0))/1000,0)*SUMIFS('Regional split'!$F$4:$F$6,'Regional split'!$B$4:$B$6,Z$3)*SUMIFS('Data manipulation'!$V$39:$V$42,'Data manipulation'!$X$39:$X$42,$E180,'Data manipulation'!$Y$39:$Y$42,$D180)</f>
        <v>0</v>
      </c>
      <c r="AA180" s="434">
        <f>_xlfn.IFNA(INDEX('Data manipulation'!$C$23:$O$39,MATCH($V180,'Data manipulation'!$B$23:$B$39,0),MATCH($X180,'Data manipulation'!$C$22:$O$22,0))/1000,0)*SUMIFS('Regional split'!$F$4:$F$6,'Regional split'!$B$4:$B$6,AA$3)*SUMIFS('Data manipulation'!$V$39:$V$42,'Data manipulation'!$X$39:$X$42,$E180,'Data manipulation'!$Y$39:$Y$42,$D180)</f>
        <v>0</v>
      </c>
      <c r="AB180" s="445">
        <f t="shared" si="178"/>
        <v>3.3197497027199998</v>
      </c>
      <c r="AC180" s="251">
        <f t="shared" si="179"/>
        <v>0</v>
      </c>
      <c r="AD180" s="446">
        <f t="shared" si="180"/>
        <v>0</v>
      </c>
      <c r="AU180" s="260"/>
      <c r="AZ180" s="252"/>
    </row>
    <row r="181" spans="2:52" ht="15" customHeight="1">
      <c r="B181" s="233" t="str">
        <f t="shared" ref="B181:G181" si="299">B101</f>
        <v>RHTRDSOLE1</v>
      </c>
      <c r="C181" s="233" t="str">
        <f t="shared" si="299"/>
        <v>Residential Heating Technology Rural Detached - Solar - Existing 1</v>
      </c>
      <c r="D181" s="233" t="str">
        <f t="shared" si="299"/>
        <v>Rural</v>
      </c>
      <c r="E181" s="233" t="str">
        <f t="shared" si="299"/>
        <v>Detached</v>
      </c>
      <c r="F181" s="233" t="str">
        <f t="shared" si="299"/>
        <v>RESSOL</v>
      </c>
      <c r="G181" s="233" t="str">
        <f t="shared" si="299"/>
        <v>RESHRDB</v>
      </c>
      <c r="H181" s="574">
        <f t="shared" si="282"/>
        <v>2038</v>
      </c>
      <c r="I181" s="250">
        <v>0</v>
      </c>
      <c r="J181" s="250">
        <v>0</v>
      </c>
      <c r="K181" s="250">
        <v>0</v>
      </c>
      <c r="L181" s="462">
        <v>1</v>
      </c>
      <c r="M181" s="462">
        <v>1</v>
      </c>
      <c r="N181" s="462">
        <v>1</v>
      </c>
      <c r="O181" s="244">
        <f t="shared" si="285"/>
        <v>3.1536000000000002E-2</v>
      </c>
      <c r="P181" s="460">
        <v>0.2</v>
      </c>
      <c r="Q181" s="245">
        <v>20</v>
      </c>
      <c r="R181" s="227">
        <v>2</v>
      </c>
      <c r="T181" s="268">
        <f t="shared" si="293"/>
        <v>0</v>
      </c>
      <c r="U181" s="268"/>
      <c r="V181" s="602" t="str">
        <f>'Data manipulation'!$B$29</f>
        <v>Solar thermal</v>
      </c>
      <c r="W181" s="254" t="s">
        <v>188</v>
      </c>
      <c r="X181" s="246">
        <v>2019</v>
      </c>
      <c r="Y181" s="434">
        <f>_xlfn.IFNA(INDEX('Data manipulation'!$C$23:$O$39,MATCH($V181,'Data manipulation'!$B$23:$B$39,0),MATCH($X181,'Data manipulation'!$C$22:$O$22,0))/1000,0)*SUMIFS('Regional split'!$F$4:$F$6,'Regional split'!$B$4:$B$6,Y$3)*SUMIFS('Data manipulation'!$V$39:$V$42,'Data manipulation'!$X$39:$X$42,$E181,'Data manipulation'!$Y$39:$Y$42,$D181)</f>
        <v>1.2206984789999999</v>
      </c>
      <c r="Z181" s="434">
        <f>_xlfn.IFNA(INDEX('Data manipulation'!$C$23:$O$39,MATCH($V181,'Data manipulation'!$B$23:$B$39,0),MATCH($X181,'Data manipulation'!$C$22:$O$22,0))/1000,0)*SUMIFS('Regional split'!$F$4:$F$6,'Regional split'!$B$4:$B$6,Z$3)*SUMIFS('Data manipulation'!$V$39:$V$42,'Data manipulation'!$X$39:$X$42,$E181,'Data manipulation'!$Y$39:$Y$42,$D181)</f>
        <v>0</v>
      </c>
      <c r="AA181" s="434">
        <f>_xlfn.IFNA(INDEX('Data manipulation'!$C$23:$O$39,MATCH($V181,'Data manipulation'!$B$23:$B$39,0),MATCH($X181,'Data manipulation'!$C$22:$O$22,0))/1000,0)*SUMIFS('Regional split'!$F$4:$F$6,'Regional split'!$B$4:$B$6,AA$3)*SUMIFS('Data manipulation'!$V$39:$V$42,'Data manipulation'!$X$39:$X$42,$E181,'Data manipulation'!$Y$39:$Y$42,$D181)</f>
        <v>0</v>
      </c>
      <c r="AB181" s="445">
        <f t="shared" si="178"/>
        <v>1.2206984789999999</v>
      </c>
      <c r="AC181" s="251">
        <f t="shared" si="179"/>
        <v>0</v>
      </c>
      <c r="AD181" s="446">
        <f t="shared" si="180"/>
        <v>0</v>
      </c>
      <c r="AU181" s="260"/>
      <c r="AZ181" s="252"/>
    </row>
    <row r="182" spans="2:52" ht="15" customHeight="1">
      <c r="B182" s="233" t="str">
        <f t="shared" ref="B182:G182" si="300">B102</f>
        <v>RHTRDELCHE1</v>
      </c>
      <c r="C182" s="233" t="str">
        <f t="shared" si="300"/>
        <v>Residential Heating Technology Rural Detached - Electricity Heating - Existing 1</v>
      </c>
      <c r="D182" s="233" t="str">
        <f t="shared" si="300"/>
        <v>Rural</v>
      </c>
      <c r="E182" s="233" t="str">
        <f t="shared" si="300"/>
        <v>Detached</v>
      </c>
      <c r="F182" s="233" t="str">
        <f t="shared" si="300"/>
        <v>RESELCH</v>
      </c>
      <c r="G182" s="233" t="str">
        <f t="shared" si="300"/>
        <v>RESHRDB</v>
      </c>
      <c r="H182" s="574">
        <f t="shared" si="282"/>
        <v>2048</v>
      </c>
      <c r="I182" s="250">
        <v>0</v>
      </c>
      <c r="J182" s="250">
        <v>0</v>
      </c>
      <c r="K182" s="250">
        <v>0</v>
      </c>
      <c r="L182" s="462">
        <v>1</v>
      </c>
      <c r="M182" s="462">
        <v>1</v>
      </c>
      <c r="N182" s="462">
        <v>1</v>
      </c>
      <c r="O182" s="244">
        <f t="shared" si="285"/>
        <v>3.1536000000000002E-2</v>
      </c>
      <c r="P182" s="460">
        <v>0.2</v>
      </c>
      <c r="Q182" s="245">
        <v>30</v>
      </c>
      <c r="R182" s="227">
        <v>2</v>
      </c>
      <c r="T182" s="268">
        <f t="shared" si="293"/>
        <v>0</v>
      </c>
      <c r="U182" s="268"/>
      <c r="V182" s="602" t="str">
        <f>'Data manipulation'!$B$33</f>
        <v>Electricity</v>
      </c>
      <c r="W182" s="254" t="s">
        <v>189</v>
      </c>
      <c r="X182" s="246">
        <v>2019</v>
      </c>
      <c r="Y182" s="434">
        <f>_xlfn.IFNA(INDEX('Data manipulation'!$C$23:$O$39,MATCH($V182,'Data manipulation'!$B$23:$B$39,0),MATCH($X182,'Data manipulation'!$C$22:$O$22,0))/1000,0)*SUMIFS('Regional split'!$F$4:$F$6,'Regional split'!$B$4:$B$6,Y$3)*SUMIFS('Data manipulation'!$V$39:$V$42,'Data manipulation'!$X$39:$X$42,$E182,'Data manipulation'!$Y$39:$Y$42,$D182)</f>
        <v>8.6814057219999992</v>
      </c>
      <c r="Z182" s="434">
        <f>_xlfn.IFNA(INDEX('Data manipulation'!$C$23:$O$39,MATCH($V182,'Data manipulation'!$B$23:$B$39,0),MATCH($X182,'Data manipulation'!$C$22:$O$22,0))/1000,0)*SUMIFS('Regional split'!$F$4:$F$6,'Regional split'!$B$4:$B$6,Z$3)*SUMIFS('Data manipulation'!$V$39:$V$42,'Data manipulation'!$X$39:$X$42,$E182,'Data manipulation'!$Y$39:$Y$42,$D182)</f>
        <v>0</v>
      </c>
      <c r="AA182" s="434">
        <f>_xlfn.IFNA(INDEX('Data manipulation'!$C$23:$O$39,MATCH($V182,'Data manipulation'!$B$23:$B$39,0),MATCH($X182,'Data manipulation'!$C$22:$O$22,0))/1000,0)*SUMIFS('Regional split'!$F$4:$F$6,'Regional split'!$B$4:$B$6,AA$3)*SUMIFS('Data manipulation'!$V$39:$V$42,'Data manipulation'!$X$39:$X$42,$E182,'Data manipulation'!$Y$39:$Y$42,$D182)</f>
        <v>0</v>
      </c>
      <c r="AB182" s="445">
        <f t="shared" si="178"/>
        <v>8.6814057219999992</v>
      </c>
      <c r="AC182" s="251">
        <f t="shared" si="179"/>
        <v>0</v>
      </c>
      <c r="AD182" s="446">
        <f t="shared" si="180"/>
        <v>0</v>
      </c>
      <c r="AU182" s="260"/>
      <c r="AZ182" s="252"/>
    </row>
    <row r="183" spans="2:52" ht="15" customHeight="1">
      <c r="B183" s="233" t="str">
        <f t="shared" ref="B183:G183" si="301">B103</f>
        <v>RHTRDELCHE2</v>
      </c>
      <c r="C183" s="233" t="str">
        <f t="shared" si="301"/>
        <v>Residential Heating Technology Rural Detached - Electricity Heating - Existing 2</v>
      </c>
      <c r="D183" s="233" t="str">
        <f t="shared" si="301"/>
        <v>Rural</v>
      </c>
      <c r="E183" s="233" t="str">
        <f t="shared" si="301"/>
        <v>Detached</v>
      </c>
      <c r="F183" s="233" t="str">
        <f t="shared" si="301"/>
        <v>RESELCH</v>
      </c>
      <c r="G183" s="233" t="str">
        <f t="shared" si="301"/>
        <v>RESHRDB</v>
      </c>
      <c r="H183" s="574">
        <f t="shared" si="282"/>
        <v>2048</v>
      </c>
      <c r="I183" s="250">
        <v>0</v>
      </c>
      <c r="J183" s="250">
        <v>0</v>
      </c>
      <c r="K183" s="250">
        <v>0</v>
      </c>
      <c r="L183" s="462">
        <v>2.3149999999999999</v>
      </c>
      <c r="M183" s="462">
        <v>2.3149999999999999</v>
      </c>
      <c r="N183" s="462">
        <v>2.3149999999999999</v>
      </c>
      <c r="O183" s="244">
        <f t="shared" si="285"/>
        <v>3.1536000000000002E-2</v>
      </c>
      <c r="P183" s="460">
        <v>0.2</v>
      </c>
      <c r="Q183" s="245">
        <v>30</v>
      </c>
      <c r="R183" s="227">
        <v>2</v>
      </c>
      <c r="T183" s="268">
        <f t="shared" si="293"/>
        <v>0</v>
      </c>
      <c r="U183" s="268"/>
      <c r="V183" s="602" t="str">
        <f>'Data manipulation'!$B$30</f>
        <v>Ambient heat (heat pumps)</v>
      </c>
      <c r="W183" s="254" t="s">
        <v>190</v>
      </c>
      <c r="X183" s="246">
        <v>2019</v>
      </c>
      <c r="Y183" s="434">
        <f>_xlfn.IFNA(INDEX('Data manipulation'!$C$23:$O$39,MATCH($V183,'Data manipulation'!$B$23:$B$39,0),MATCH($X183,'Data manipulation'!$C$22:$O$22,0))/1000,0)*SUMIFS('Regional split'!$F$4:$F$6,'Regional split'!$B$4:$B$6,Y$3)*SUMIFS('Data manipulation'!$V$39:$V$42,'Data manipulation'!$X$39:$X$42,$E183,'Data manipulation'!$Y$39:$Y$42,$D183)</f>
        <v>13.96730335</v>
      </c>
      <c r="Z183" s="434">
        <f>_xlfn.IFNA(INDEX('Data manipulation'!$C$23:$O$39,MATCH($V183,'Data manipulation'!$B$23:$B$39,0),MATCH($X183,'Data manipulation'!$C$22:$O$22,0))/1000,0)*SUMIFS('Regional split'!$F$4:$F$6,'Regional split'!$B$4:$B$6,Z$3)*SUMIFS('Data manipulation'!$V$39:$V$42,'Data manipulation'!$X$39:$X$42,$E183,'Data manipulation'!$Y$39:$Y$42,$D183)</f>
        <v>0</v>
      </c>
      <c r="AA183" s="434">
        <f>_xlfn.IFNA(INDEX('Data manipulation'!$C$23:$O$39,MATCH($V183,'Data manipulation'!$B$23:$B$39,0),MATCH($X183,'Data manipulation'!$C$22:$O$22,0))/1000,0)*SUMIFS('Regional split'!$F$4:$F$6,'Regional split'!$B$4:$B$6,AA$3)*SUMIFS('Data manipulation'!$V$39:$V$42,'Data manipulation'!$X$39:$X$42,$E183,'Data manipulation'!$Y$39:$Y$42,$D183)</f>
        <v>0</v>
      </c>
      <c r="AB183" s="445">
        <f t="shared" si="178"/>
        <v>32.334307255249996</v>
      </c>
      <c r="AC183" s="251">
        <f t="shared" si="179"/>
        <v>0</v>
      </c>
      <c r="AD183" s="446">
        <f t="shared" si="180"/>
        <v>0</v>
      </c>
      <c r="AU183" s="260"/>
      <c r="AZ183" s="252"/>
    </row>
    <row r="184" spans="2:52" ht="15" customHeight="1">
      <c r="B184" s="233" t="str">
        <f t="shared" ref="B184:G184" si="302">B104</f>
        <v>RHTRDHCEE1</v>
      </c>
      <c r="C184" s="233" t="str">
        <f t="shared" si="302"/>
        <v>Residential Heating Technology Rural Detached - District heating Central - Existing 1</v>
      </c>
      <c r="D184" s="233" t="str">
        <f t="shared" si="302"/>
        <v>Rural</v>
      </c>
      <c r="E184" s="233" t="str">
        <f t="shared" si="302"/>
        <v>Detached</v>
      </c>
      <c r="F184" s="233" t="str">
        <f t="shared" si="302"/>
        <v>RESHDE</v>
      </c>
      <c r="G184" s="233" t="str">
        <f t="shared" si="302"/>
        <v>RESHRDX</v>
      </c>
      <c r="H184" s="576">
        <f t="shared" si="282"/>
        <v>2048</v>
      </c>
      <c r="I184" s="572">
        <v>0</v>
      </c>
      <c r="J184" s="572">
        <v>0</v>
      </c>
      <c r="K184" s="572">
        <v>0</v>
      </c>
      <c r="L184" s="462">
        <v>0.98</v>
      </c>
      <c r="M184" s="462">
        <v>0.98</v>
      </c>
      <c r="N184" s="462">
        <v>0.98</v>
      </c>
      <c r="O184" s="244">
        <f t="shared" si="285"/>
        <v>3.1536000000000002E-2</v>
      </c>
      <c r="P184" s="460">
        <v>0.2</v>
      </c>
      <c r="Q184" s="245">
        <v>30</v>
      </c>
      <c r="R184" s="227">
        <v>2</v>
      </c>
      <c r="T184" s="268">
        <f t="shared" si="293"/>
        <v>0</v>
      </c>
      <c r="U184" s="268"/>
      <c r="V184" s="602" t="str">
        <f>'Data manipulation'!$B$34</f>
        <v>Heat</v>
      </c>
      <c r="W184" s="254" t="s">
        <v>191</v>
      </c>
      <c r="X184" s="246">
        <v>2019</v>
      </c>
      <c r="Y184" s="434">
        <f>_xlfn.IFNA(INDEX('Data manipulation'!$C$23:$O$39,MATCH($V184,'Data manipulation'!$B$23:$B$39,0),MATCH($X184,'Data manipulation'!$C$22:$O$22,0))/1000,0)*SUMIFS('Regional split'!$F$4:$F$6,'Regional split'!$B$4:$B$6,Y$3)*SUMIFS('Data manipulation'!$V$39:$V$42,'Data manipulation'!$X$39:$X$42,$E184,'Data manipulation'!$Y$39:$Y$42,$D184)</f>
        <v>44.434604807999996</v>
      </c>
      <c r="Z184" s="434">
        <f>_xlfn.IFNA(INDEX('Data manipulation'!$C$23:$O$39,MATCH($V184,'Data manipulation'!$B$23:$B$39,0),MATCH($X184,'Data manipulation'!$C$22:$O$22,0))/1000,0)*SUMIFS('Regional split'!$F$4:$F$6,'Regional split'!$B$4:$B$6,Z$3)*SUMIFS('Data manipulation'!$V$39:$V$42,'Data manipulation'!$X$39:$X$42,$E184,'Data manipulation'!$Y$39:$Y$42,$D184)</f>
        <v>0</v>
      </c>
      <c r="AA184" s="434">
        <f>_xlfn.IFNA(INDEX('Data manipulation'!$C$23:$O$39,MATCH($V184,'Data manipulation'!$B$23:$B$39,0),MATCH($X184,'Data manipulation'!$C$22:$O$22,0))/1000,0)*SUMIFS('Regional split'!$F$4:$F$6,'Regional split'!$B$4:$B$6,AA$3)*SUMIFS('Data manipulation'!$V$39:$V$42,'Data manipulation'!$X$39:$X$42,$E184,'Data manipulation'!$Y$39:$Y$42,$D184)</f>
        <v>0</v>
      </c>
      <c r="AB184" s="445">
        <f t="shared" si="178"/>
        <v>43.545912711839996</v>
      </c>
      <c r="AC184" s="251">
        <f t="shared" si="179"/>
        <v>0</v>
      </c>
      <c r="AD184" s="446">
        <f t="shared" si="180"/>
        <v>0</v>
      </c>
      <c r="AU184" s="260"/>
      <c r="AZ184" s="252"/>
    </row>
    <row r="185" spans="2:52" ht="15" customHeight="1" thickBot="1">
      <c r="B185" s="233" t="str">
        <f t="shared" ref="B185:G185" si="303">B105</f>
        <v>RHTRDLPGE1</v>
      </c>
      <c r="C185" s="233" t="str">
        <f t="shared" si="303"/>
        <v>Residential Heating Technology Rural Detached - LPG - Existing 1</v>
      </c>
      <c r="D185" s="233" t="str">
        <f t="shared" si="303"/>
        <v>Rural</v>
      </c>
      <c r="E185" s="233" t="str">
        <f t="shared" si="303"/>
        <v>Detached</v>
      </c>
      <c r="F185" s="233" t="str">
        <f t="shared" si="303"/>
        <v>RESLPG</v>
      </c>
      <c r="G185" s="233" t="str">
        <f t="shared" si="303"/>
        <v>RESHRDB</v>
      </c>
      <c r="H185" s="576">
        <f t="shared" si="282"/>
        <v>2048</v>
      </c>
      <c r="I185" s="250">
        <v>0</v>
      </c>
      <c r="J185" s="250">
        <v>0</v>
      </c>
      <c r="K185" s="250">
        <v>0</v>
      </c>
      <c r="L185" s="462">
        <v>0.98</v>
      </c>
      <c r="M185" s="462">
        <v>0.98</v>
      </c>
      <c r="N185" s="462">
        <v>0.98</v>
      </c>
      <c r="O185" s="244">
        <f t="shared" si="285"/>
        <v>3.1536000000000002E-2</v>
      </c>
      <c r="P185" s="460">
        <v>0.2</v>
      </c>
      <c r="Q185" s="245">
        <v>30</v>
      </c>
      <c r="R185" s="227">
        <v>2</v>
      </c>
      <c r="T185" s="268">
        <f t="shared" si="293"/>
        <v>0</v>
      </c>
      <c r="U185" s="268"/>
      <c r="V185" s="602" t="s">
        <v>790</v>
      </c>
      <c r="W185" s="428" t="s">
        <v>790</v>
      </c>
      <c r="X185" s="246">
        <v>2019</v>
      </c>
      <c r="Y185" s="434">
        <f>_xlfn.IFNA(INDEX('Data manipulation'!$C$23:$O$39,MATCH($V185,'Data manipulation'!$B$23:$B$39,0),MATCH($X185,'Data manipulation'!$C$22:$O$22,0))/1000,0)*SUMIFS('Regional split'!$F$4:$F$6,'Regional split'!$B$4:$B$6,Y$3)*SUMIFS('Data manipulation'!$V$39:$V$42,'Data manipulation'!$X$39:$X$42,$E185,'Data manipulation'!$Y$39:$Y$42,$D185)</f>
        <v>0</v>
      </c>
      <c r="Z185" s="434">
        <f>_xlfn.IFNA(INDEX('Data manipulation'!$C$23:$O$39,MATCH($V185,'Data manipulation'!$B$23:$B$39,0),MATCH($X185,'Data manipulation'!$C$22:$O$22,0))/1000,0)*SUMIFS('Regional split'!$F$4:$F$6,'Regional split'!$B$4:$B$6,Z$3)*SUMIFS('Data manipulation'!$V$39:$V$42,'Data manipulation'!$X$39:$X$42,$E185,'Data manipulation'!$Y$39:$Y$42,$D185)</f>
        <v>0</v>
      </c>
      <c r="AA185" s="434">
        <f>_xlfn.IFNA(INDEX('Data manipulation'!$C$23:$O$39,MATCH($V185,'Data manipulation'!$B$23:$B$39,0),MATCH($X185,'Data manipulation'!$C$22:$O$22,0))/1000,0)*SUMIFS('Regional split'!$F$4:$F$6,'Regional split'!$B$4:$B$6,AA$3)*SUMIFS('Data manipulation'!$V$39:$V$42,'Data manipulation'!$X$39:$X$42,$E185,'Data manipulation'!$Y$39:$Y$42,$D185)</f>
        <v>0</v>
      </c>
      <c r="AB185" s="447">
        <f t="shared" si="178"/>
        <v>0</v>
      </c>
      <c r="AC185" s="433">
        <f t="shared" si="179"/>
        <v>0</v>
      </c>
      <c r="AD185" s="454">
        <f t="shared" si="180"/>
        <v>0</v>
      </c>
      <c r="AU185" s="260"/>
      <c r="AZ185" s="252"/>
    </row>
    <row r="186" spans="2:52" ht="15" customHeight="1">
      <c r="B186" s="227" t="str">
        <f t="shared" ref="B186:E186" si="304">B106</f>
        <v>RHTUMNGAE1</v>
      </c>
      <c r="C186" s="227" t="str">
        <f t="shared" si="304"/>
        <v>Residential Heating Technology Urban Multi - Natural Gas - Existing 1</v>
      </c>
      <c r="D186" s="227" t="str">
        <f t="shared" si="304"/>
        <v>Urban</v>
      </c>
      <c r="E186" s="227" t="str">
        <f t="shared" si="304"/>
        <v>Multi storey</v>
      </c>
      <c r="F186" s="227" t="str">
        <f>F106</f>
        <v>RESNGA,RESSNG</v>
      </c>
      <c r="G186" s="227" t="str">
        <f>G106</f>
        <v>RESHUMB</v>
      </c>
      <c r="H186" s="573">
        <f t="shared" si="282"/>
        <v>2040</v>
      </c>
      <c r="I186" s="250">
        <v>0</v>
      </c>
      <c r="J186" s="250">
        <v>0</v>
      </c>
      <c r="K186" s="250">
        <v>0</v>
      </c>
      <c r="L186" s="462">
        <v>0.72</v>
      </c>
      <c r="M186" s="462">
        <v>0.72</v>
      </c>
      <c r="N186" s="462">
        <v>0.72</v>
      </c>
      <c r="O186" s="244">
        <f>31.536/1000</f>
        <v>3.1536000000000002E-2</v>
      </c>
      <c r="P186" s="460">
        <v>0.2</v>
      </c>
      <c r="Q186" s="245">
        <v>22</v>
      </c>
      <c r="R186" s="227">
        <v>2</v>
      </c>
      <c r="T186" s="268">
        <f t="shared" si="293"/>
        <v>0</v>
      </c>
      <c r="U186" s="268"/>
      <c r="V186" s="602" t="str">
        <f>'Data manipulation'!$B$36</f>
        <v>Natural gas, biogas and LNG</v>
      </c>
      <c r="W186" s="246" t="s">
        <v>187</v>
      </c>
      <c r="X186" s="246">
        <v>2019</v>
      </c>
      <c r="Y186" s="434">
        <f>_xlfn.IFNA(INDEX('Data manipulation'!$C$23:$O$39,MATCH($V186,'Data manipulation'!$B$23:$B$39,0),MATCH($X186,'Data manipulation'!$C$22:$O$22,0))/1000,0)*SUMIFS('Regional split'!$F$4:$F$6,'Regional split'!$B$4:$B$6,Y$3)*SUMIFS('Data manipulation'!$V$39:$V$42,'Data manipulation'!$X$39:$X$42,$E186,'Data manipulation'!$Y$39:$Y$42,$D186)</f>
        <v>190.67550986899997</v>
      </c>
      <c r="Z186" s="434">
        <f>_xlfn.IFNA(INDEX('Data manipulation'!$C$23:$O$39,MATCH($V186,'Data manipulation'!$B$23:$B$39,0),MATCH($X186,'Data manipulation'!$C$22:$O$22,0))/1000,0)*SUMIFS('Regional split'!$F$4:$F$6,'Regional split'!$B$4:$B$6,Z$3)*SUMIFS('Data manipulation'!$V$39:$V$42,'Data manipulation'!$X$39:$X$42,$E186,'Data manipulation'!$Y$39:$Y$42,$D186)</f>
        <v>0</v>
      </c>
      <c r="AA186" s="434">
        <f>_xlfn.IFNA(INDEX('Data manipulation'!$C$23:$O$39,MATCH($V186,'Data manipulation'!$B$23:$B$39,0),MATCH($X186,'Data manipulation'!$C$22:$O$22,0))/1000,0)*SUMIFS('Regional split'!$F$4:$F$6,'Regional split'!$B$4:$B$6,AA$3)*SUMIFS('Data manipulation'!$V$39:$V$42,'Data manipulation'!$X$39:$X$42,$E186,'Data manipulation'!$Y$39:$Y$42,$D186)</f>
        <v>0</v>
      </c>
      <c r="AB186" s="445">
        <f t="shared" ref="AB186:AB205" si="305">Y186*L186</f>
        <v>137.28636710567997</v>
      </c>
      <c r="AC186" s="251">
        <f t="shared" ref="AC186:AC205" si="306">Z186*M186</f>
        <v>0</v>
      </c>
      <c r="AD186" s="446">
        <f t="shared" ref="AD186:AD205" si="307">AA186*N186</f>
        <v>0</v>
      </c>
      <c r="AE186" s="262"/>
      <c r="AU186" s="260"/>
      <c r="AZ186" s="252"/>
    </row>
    <row r="187" spans="2:52" ht="15" customHeight="1">
      <c r="B187" s="227" t="str">
        <f t="shared" ref="B187:G187" si="308">B107</f>
        <v>RHTUMDSLE1</v>
      </c>
      <c r="C187" s="227" t="str">
        <f t="shared" si="308"/>
        <v>Residential Heating Technology Urban Multi - Diesel - Existing 1</v>
      </c>
      <c r="D187" s="227" t="str">
        <f t="shared" si="308"/>
        <v>Urban</v>
      </c>
      <c r="E187" s="227" t="str">
        <f t="shared" si="308"/>
        <v>Multi storey</v>
      </c>
      <c r="F187" s="227" t="str">
        <f t="shared" si="308"/>
        <v>RESDSL,RESDSB</v>
      </c>
      <c r="G187" s="227" t="str">
        <f t="shared" si="308"/>
        <v>RESHUMB</v>
      </c>
      <c r="H187" s="573">
        <f t="shared" si="282"/>
        <v>2038</v>
      </c>
      <c r="I187" s="250">
        <v>0</v>
      </c>
      <c r="J187" s="250">
        <v>0</v>
      </c>
      <c r="K187" s="250">
        <v>0</v>
      </c>
      <c r="L187" s="462">
        <v>0.71</v>
      </c>
      <c r="M187" s="462">
        <v>0.71</v>
      </c>
      <c r="N187" s="462">
        <v>0.71</v>
      </c>
      <c r="O187" s="244">
        <f>31.536/1000</f>
        <v>3.1536000000000002E-2</v>
      </c>
      <c r="P187" s="460">
        <v>0.2</v>
      </c>
      <c r="Q187" s="245">
        <v>20</v>
      </c>
      <c r="R187" s="227">
        <v>2</v>
      </c>
      <c r="T187" s="268">
        <f t="shared" si="293"/>
        <v>0</v>
      </c>
      <c r="V187" s="602" t="str">
        <f>'Data manipulation'!$B$35</f>
        <v>Oil products</v>
      </c>
      <c r="W187" s="254" t="s">
        <v>749</v>
      </c>
      <c r="X187" s="246">
        <v>2019</v>
      </c>
      <c r="Y187" s="434">
        <f>_xlfn.IFNA(INDEX('Data manipulation'!$C$23:$O$39,MATCH($V187,'Data manipulation'!$B$23:$B$39,0),MATCH($X187,'Data manipulation'!$C$22:$O$22,0))/1000,0)*SUMIFS('Regional split'!$F$4:$F$6,'Regional split'!$B$4:$B$6,Y$3)*SUMIFS('Data manipulation'!$V$39:$V$42,'Data manipulation'!$X$39:$X$42,$E187,'Data manipulation'!$Y$39:$Y$42,$D187)</f>
        <v>96.230933734000004</v>
      </c>
      <c r="Z187" s="434">
        <f>_xlfn.IFNA(INDEX('Data manipulation'!$C$23:$O$39,MATCH($V187,'Data manipulation'!$B$23:$B$39,0),MATCH($X187,'Data manipulation'!$C$22:$O$22,0))/1000,0)*SUMIFS('Regional split'!$F$4:$F$6,'Regional split'!$B$4:$B$6,Z$3)*SUMIFS('Data manipulation'!$V$39:$V$42,'Data manipulation'!$X$39:$X$42,$E187,'Data manipulation'!$Y$39:$Y$42,$D187)</f>
        <v>0</v>
      </c>
      <c r="AA187" s="434">
        <f>_xlfn.IFNA(INDEX('Data manipulation'!$C$23:$O$39,MATCH($V187,'Data manipulation'!$B$23:$B$39,0),MATCH($X187,'Data manipulation'!$C$22:$O$22,0))/1000,0)*SUMIFS('Regional split'!$F$4:$F$6,'Regional split'!$B$4:$B$6,AA$3)*SUMIFS('Data manipulation'!$V$39:$V$42,'Data manipulation'!$X$39:$X$42,$E187,'Data manipulation'!$Y$39:$Y$42,$D187)</f>
        <v>0</v>
      </c>
      <c r="AB187" s="445">
        <f t="shared" si="305"/>
        <v>68.323962951140004</v>
      </c>
      <c r="AC187" s="251">
        <f t="shared" si="306"/>
        <v>0</v>
      </c>
      <c r="AD187" s="446">
        <f t="shared" si="307"/>
        <v>0</v>
      </c>
      <c r="AE187" s="262"/>
      <c r="AU187" s="260"/>
      <c r="AZ187" s="252"/>
    </row>
    <row r="188" spans="2:52" ht="15" customHeight="1">
      <c r="B188" s="227" t="str">
        <f t="shared" ref="B188:G188" si="309">B108</f>
        <v>RHTUMWPEE1</v>
      </c>
      <c r="C188" s="227" t="str">
        <f t="shared" si="309"/>
        <v>Residential Heating Technology Urban Multi - Wood pellets - Existing 1</v>
      </c>
      <c r="D188" s="227" t="str">
        <f t="shared" si="309"/>
        <v>Urban</v>
      </c>
      <c r="E188" s="227" t="str">
        <f t="shared" si="309"/>
        <v>Multi storey</v>
      </c>
      <c r="F188" s="227" t="str">
        <f t="shared" si="309"/>
        <v>RESWPE</v>
      </c>
      <c r="G188" s="227" t="str">
        <f t="shared" si="309"/>
        <v>RESHUMB</v>
      </c>
      <c r="H188" s="573">
        <f t="shared" si="282"/>
        <v>2038</v>
      </c>
      <c r="I188" s="250">
        <v>0</v>
      </c>
      <c r="J188" s="250">
        <v>0</v>
      </c>
      <c r="K188" s="250">
        <v>0</v>
      </c>
      <c r="L188" s="462">
        <v>0.61</v>
      </c>
      <c r="M188" s="462">
        <v>0.61</v>
      </c>
      <c r="N188" s="462">
        <v>0.61</v>
      </c>
      <c r="O188" s="244">
        <f t="shared" ref="O188:O205" si="310">31.536/1000</f>
        <v>3.1536000000000002E-2</v>
      </c>
      <c r="P188" s="460">
        <v>0.2</v>
      </c>
      <c r="Q188" s="245">
        <v>20</v>
      </c>
      <c r="R188" s="227">
        <v>2</v>
      </c>
      <c r="T188" s="268">
        <f t="shared" si="293"/>
        <v>0</v>
      </c>
      <c r="U188" s="268"/>
      <c r="V188" s="602" t="s">
        <v>206</v>
      </c>
      <c r="W188" s="254" t="s">
        <v>896</v>
      </c>
      <c r="X188" s="246">
        <v>2019</v>
      </c>
      <c r="Y188" s="434">
        <f>_xlfn.IFNA(INDEX('Data manipulation'!$C$23:$O$39,MATCH($V188,'Data manipulation'!$B$23:$B$39,0),MATCH($X188,'Data manipulation'!$C$22:$O$22,0))/1000,0)*SUMIFS('Regional split'!$F$4:$F$6,'Regional split'!$B$4:$B$6,Y$3)*SUMIFS('Data manipulation'!$V$39:$V$42,'Data manipulation'!$X$39:$X$42,$E188,'Data manipulation'!$Y$39:$Y$42,$D188)</f>
        <v>0</v>
      </c>
      <c r="Z188" s="434">
        <f>_xlfn.IFNA(INDEX('Data manipulation'!$C$23:$O$39,MATCH($V188,'Data manipulation'!$B$23:$B$39,0),MATCH($X188,'Data manipulation'!$C$22:$O$22,0))/1000,0)*SUMIFS('Regional split'!$F$4:$F$6,'Regional split'!$B$4:$B$6,Z$3)*SUMIFS('Data manipulation'!$V$39:$V$42,'Data manipulation'!$X$39:$X$42,$E188,'Data manipulation'!$Y$39:$Y$42,$D188)</f>
        <v>0</v>
      </c>
      <c r="AA188" s="434">
        <f>_xlfn.IFNA(INDEX('Data manipulation'!$C$23:$O$39,MATCH($V188,'Data manipulation'!$B$23:$B$39,0),MATCH($X188,'Data manipulation'!$C$22:$O$22,0))/1000,0)*SUMIFS('Regional split'!$F$4:$F$6,'Regional split'!$B$4:$B$6,AA$3)*SUMIFS('Data manipulation'!$V$39:$V$42,'Data manipulation'!$X$39:$X$42,$E188,'Data manipulation'!$Y$39:$Y$42,$D188)</f>
        <v>0</v>
      </c>
      <c r="AB188" s="445">
        <f t="shared" si="305"/>
        <v>0</v>
      </c>
      <c r="AC188" s="251">
        <f t="shared" si="306"/>
        <v>0</v>
      </c>
      <c r="AD188" s="446">
        <f t="shared" si="307"/>
        <v>0</v>
      </c>
      <c r="AE188" s="262"/>
      <c r="AU188" s="260"/>
      <c r="AZ188" s="252"/>
    </row>
    <row r="189" spans="2:52" ht="15" customHeight="1">
      <c r="B189" s="227" t="str">
        <f t="shared" ref="B189:G189" si="311">B109</f>
        <v>RHTUMFIWE1</v>
      </c>
      <c r="C189" s="227" t="str">
        <f t="shared" si="311"/>
        <v>Residential Heating Technology Urban Multi - Fire wood - Existing 1</v>
      </c>
      <c r="D189" s="227" t="str">
        <f t="shared" si="311"/>
        <v>Urban</v>
      </c>
      <c r="E189" s="227" t="str">
        <f t="shared" si="311"/>
        <v>Multi storey</v>
      </c>
      <c r="F189" s="227" t="str">
        <f t="shared" si="311"/>
        <v>RESFIW</v>
      </c>
      <c r="G189" s="227" t="str">
        <f t="shared" si="311"/>
        <v>RESHUMB</v>
      </c>
      <c r="H189" s="573">
        <f t="shared" si="282"/>
        <v>2038</v>
      </c>
      <c r="I189" s="250">
        <v>0</v>
      </c>
      <c r="J189" s="250">
        <v>0</v>
      </c>
      <c r="K189" s="250">
        <v>0</v>
      </c>
      <c r="L189" s="462">
        <v>0.65000022993955098</v>
      </c>
      <c r="M189" s="462">
        <v>0.65000022993955098</v>
      </c>
      <c r="N189" s="462">
        <v>0.65000022993955098</v>
      </c>
      <c r="O189" s="244">
        <f t="shared" si="310"/>
        <v>3.1536000000000002E-2</v>
      </c>
      <c r="P189" s="460">
        <v>0.2</v>
      </c>
      <c r="Q189" s="245">
        <v>20</v>
      </c>
      <c r="R189" s="227">
        <v>2</v>
      </c>
      <c r="T189" s="268">
        <f t="shared" si="293"/>
        <v>0</v>
      </c>
      <c r="U189" s="268"/>
      <c r="V189" s="602" t="str">
        <f>'Data manipulation'!$B$31</f>
        <v>Primary solid biofuels</v>
      </c>
      <c r="W189" s="254" t="s">
        <v>196</v>
      </c>
      <c r="X189" s="246">
        <v>2019</v>
      </c>
      <c r="Y189" s="434">
        <f>_xlfn.IFNA(INDEX('Data manipulation'!$C$23:$O$39,MATCH($V189,'Data manipulation'!$B$23:$B$39,0),MATCH($X189,'Data manipulation'!$C$22:$O$22,0))/1000,0)*SUMIFS('Regional split'!$F$4:$F$6,'Regional split'!$B$4:$B$6,Y$3)*SUMIFS('Data manipulation'!$V$39:$V$42,'Data manipulation'!$X$39:$X$42,$E189,'Data manipulation'!$Y$39:$Y$42,$D189)</f>
        <v>53.639494908999993</v>
      </c>
      <c r="Z189" s="434">
        <f>_xlfn.IFNA(INDEX('Data manipulation'!$C$23:$O$39,MATCH($V189,'Data manipulation'!$B$23:$B$39,0),MATCH($X189,'Data manipulation'!$C$22:$O$22,0))/1000,0)*SUMIFS('Regional split'!$F$4:$F$6,'Regional split'!$B$4:$B$6,Z$3)*SUMIFS('Data manipulation'!$V$39:$V$42,'Data manipulation'!$X$39:$X$42,$E189,'Data manipulation'!$Y$39:$Y$42,$D189)</f>
        <v>0</v>
      </c>
      <c r="AA189" s="434">
        <f>_xlfn.IFNA(INDEX('Data manipulation'!$C$23:$O$39,MATCH($V189,'Data manipulation'!$B$23:$B$39,0),MATCH($X189,'Data manipulation'!$C$22:$O$22,0))/1000,0)*SUMIFS('Regional split'!$F$4:$F$6,'Regional split'!$B$4:$B$6,AA$3)*SUMIFS('Data manipulation'!$V$39:$V$42,'Data manipulation'!$X$39:$X$42,$E189,'Data manipulation'!$Y$39:$Y$42,$D189)</f>
        <v>0</v>
      </c>
      <c r="AB189" s="445">
        <f t="shared" si="305"/>
        <v>34.865684024691369</v>
      </c>
      <c r="AC189" s="251">
        <f t="shared" si="306"/>
        <v>0</v>
      </c>
      <c r="AD189" s="446">
        <f t="shared" si="307"/>
        <v>0</v>
      </c>
      <c r="AE189" s="262"/>
      <c r="AU189" s="260"/>
      <c r="AZ189" s="252"/>
    </row>
    <row r="190" spans="2:52" ht="15" customHeight="1">
      <c r="B190" s="233" t="str">
        <f t="shared" ref="B190:G190" si="312">B110</f>
        <v>RHTUMCOAE1</v>
      </c>
      <c r="C190" s="233" t="str">
        <f t="shared" si="312"/>
        <v>Residential Heating Technology Urban Multi - Coal - Existing 1</v>
      </c>
      <c r="D190" s="233" t="str">
        <f t="shared" si="312"/>
        <v>Urban</v>
      </c>
      <c r="E190" s="233" t="str">
        <f t="shared" si="312"/>
        <v>Multi storey</v>
      </c>
      <c r="F190" s="233" t="str">
        <f t="shared" si="312"/>
        <v>RESCOA</v>
      </c>
      <c r="G190" s="233" t="str">
        <f t="shared" si="312"/>
        <v>RESHUMB</v>
      </c>
      <c r="H190" s="573">
        <f t="shared" si="282"/>
        <v>2038</v>
      </c>
      <c r="I190" s="250">
        <v>0</v>
      </c>
      <c r="J190" s="250">
        <v>0</v>
      </c>
      <c r="K190" s="250">
        <v>0</v>
      </c>
      <c r="L190" s="462">
        <v>0.7</v>
      </c>
      <c r="M190" s="462">
        <v>0.7</v>
      </c>
      <c r="N190" s="462">
        <v>0.7</v>
      </c>
      <c r="O190" s="244">
        <f t="shared" si="310"/>
        <v>3.1536000000000002E-2</v>
      </c>
      <c r="P190" s="460">
        <v>0.2</v>
      </c>
      <c r="Q190" s="245">
        <v>20</v>
      </c>
      <c r="R190" s="227">
        <v>2</v>
      </c>
      <c r="T190" s="268">
        <f t="shared" si="293"/>
        <v>0</v>
      </c>
      <c r="U190" s="268"/>
      <c r="V190" s="602" t="str">
        <f>'Data manipulation'!$B$23</f>
        <v>Solid fossil fuels, peat, peat products, oil shale and oil sands</v>
      </c>
      <c r="W190" s="254" t="s">
        <v>893</v>
      </c>
      <c r="X190" s="246">
        <v>2019</v>
      </c>
      <c r="Y190" s="434">
        <f>_xlfn.IFNA(INDEX('Data manipulation'!$C$23:$O$39,MATCH($V190,'Data manipulation'!$B$23:$B$39,0),MATCH($X190,'Data manipulation'!$C$22:$O$22,0))/1000,0)*SUMIFS('Regional split'!$F$4:$F$6,'Regional split'!$B$4:$B$6,Y$3)*SUMIFS('Data manipulation'!$V$39:$V$42,'Data manipulation'!$X$39:$X$42,$E190,'Data manipulation'!$Y$39:$Y$42,$D190)</f>
        <v>3.5700895880000001</v>
      </c>
      <c r="Z190" s="434">
        <f>_xlfn.IFNA(INDEX('Data manipulation'!$C$23:$O$39,MATCH($V190,'Data manipulation'!$B$23:$B$39,0),MATCH($X190,'Data manipulation'!$C$22:$O$22,0))/1000,0)*SUMIFS('Regional split'!$F$4:$F$6,'Regional split'!$B$4:$B$6,Z$3)*SUMIFS('Data manipulation'!$V$39:$V$42,'Data manipulation'!$X$39:$X$42,$E190,'Data manipulation'!$Y$39:$Y$42,$D190)</f>
        <v>0</v>
      </c>
      <c r="AA190" s="434">
        <f>_xlfn.IFNA(INDEX('Data manipulation'!$C$23:$O$39,MATCH($V190,'Data manipulation'!$B$23:$B$39,0),MATCH($X190,'Data manipulation'!$C$22:$O$22,0))/1000,0)*SUMIFS('Regional split'!$F$4:$F$6,'Regional split'!$B$4:$B$6,AA$3)*SUMIFS('Data manipulation'!$V$39:$V$42,'Data manipulation'!$X$39:$X$42,$E190,'Data manipulation'!$Y$39:$Y$42,$D190)</f>
        <v>0</v>
      </c>
      <c r="AB190" s="445">
        <f t="shared" si="305"/>
        <v>2.4990627115999997</v>
      </c>
      <c r="AC190" s="251">
        <f t="shared" si="306"/>
        <v>0</v>
      </c>
      <c r="AD190" s="446">
        <f t="shared" si="307"/>
        <v>0</v>
      </c>
      <c r="AE190" s="262"/>
      <c r="AU190" s="260"/>
      <c r="AZ190" s="252"/>
    </row>
    <row r="191" spans="2:52" ht="15" customHeight="1">
      <c r="B191" s="233" t="str">
        <f t="shared" ref="B191:G191" si="313">B111</f>
        <v>RHTUMSOLE1</v>
      </c>
      <c r="C191" s="233" t="str">
        <f t="shared" si="313"/>
        <v>Residential Heating Technology Urban Multi - Solar - Existing 1</v>
      </c>
      <c r="D191" s="233" t="str">
        <f t="shared" si="313"/>
        <v>Urban</v>
      </c>
      <c r="E191" s="233" t="str">
        <f t="shared" si="313"/>
        <v>Multi storey</v>
      </c>
      <c r="F191" s="233" t="str">
        <f t="shared" si="313"/>
        <v>RESSOL</v>
      </c>
      <c r="G191" s="233" t="str">
        <f t="shared" si="313"/>
        <v>RESHUMB</v>
      </c>
      <c r="H191" s="573">
        <f t="shared" si="282"/>
        <v>2038</v>
      </c>
      <c r="I191" s="250">
        <v>0</v>
      </c>
      <c r="J191" s="250">
        <v>0</v>
      </c>
      <c r="K191" s="250">
        <v>0</v>
      </c>
      <c r="L191" s="462">
        <v>1</v>
      </c>
      <c r="M191" s="462">
        <v>1</v>
      </c>
      <c r="N191" s="462">
        <v>1</v>
      </c>
      <c r="O191" s="244">
        <f t="shared" si="310"/>
        <v>3.1536000000000002E-2</v>
      </c>
      <c r="P191" s="460">
        <v>0.2</v>
      </c>
      <c r="Q191" s="245">
        <v>20</v>
      </c>
      <c r="R191" s="227">
        <v>2</v>
      </c>
      <c r="T191" s="268">
        <f t="shared" si="293"/>
        <v>0</v>
      </c>
      <c r="U191" s="268"/>
      <c r="V191" s="602" t="str">
        <f>'Data manipulation'!$B$29</f>
        <v>Solar thermal</v>
      </c>
      <c r="W191" s="254" t="s">
        <v>188</v>
      </c>
      <c r="X191" s="246">
        <v>2019</v>
      </c>
      <c r="Y191" s="434">
        <f>_xlfn.IFNA(INDEX('Data manipulation'!$C$23:$O$39,MATCH($V191,'Data manipulation'!$B$23:$B$39,0),MATCH($X191,'Data manipulation'!$C$22:$O$22,0))/1000,0)*SUMIFS('Regional split'!$F$4:$F$6,'Regional split'!$B$4:$B$6,Y$3)*SUMIFS('Data manipulation'!$V$39:$V$42,'Data manipulation'!$X$39:$X$42,$E191,'Data manipulation'!$Y$39:$Y$42,$D191)</f>
        <v>0.94518032699999999</v>
      </c>
      <c r="Z191" s="434">
        <f>_xlfn.IFNA(INDEX('Data manipulation'!$C$23:$O$39,MATCH($V191,'Data manipulation'!$B$23:$B$39,0),MATCH($X191,'Data manipulation'!$C$22:$O$22,0))/1000,0)*SUMIFS('Regional split'!$F$4:$F$6,'Regional split'!$B$4:$B$6,Z$3)*SUMIFS('Data manipulation'!$V$39:$V$42,'Data manipulation'!$X$39:$X$42,$E191,'Data manipulation'!$Y$39:$Y$42,$D191)</f>
        <v>0</v>
      </c>
      <c r="AA191" s="434">
        <f>_xlfn.IFNA(INDEX('Data manipulation'!$C$23:$O$39,MATCH($V191,'Data manipulation'!$B$23:$B$39,0),MATCH($X191,'Data manipulation'!$C$22:$O$22,0))/1000,0)*SUMIFS('Regional split'!$F$4:$F$6,'Regional split'!$B$4:$B$6,AA$3)*SUMIFS('Data manipulation'!$V$39:$V$42,'Data manipulation'!$X$39:$X$42,$E191,'Data manipulation'!$Y$39:$Y$42,$D191)</f>
        <v>0</v>
      </c>
      <c r="AB191" s="445">
        <f t="shared" si="305"/>
        <v>0.94518032699999999</v>
      </c>
      <c r="AC191" s="251">
        <f t="shared" si="306"/>
        <v>0</v>
      </c>
      <c r="AD191" s="446">
        <f t="shared" si="307"/>
        <v>0</v>
      </c>
      <c r="AE191" s="262"/>
      <c r="AU191" s="260"/>
      <c r="AZ191" s="252"/>
    </row>
    <row r="192" spans="2:52" ht="15" customHeight="1">
      <c r="B192" s="233" t="str">
        <f t="shared" ref="B192:G192" si="314">B112</f>
        <v>RHTUMELCHE1</v>
      </c>
      <c r="C192" s="233" t="str">
        <f t="shared" si="314"/>
        <v>Residential Heating Technology Urban Multi - Electricity Heating - Existing 1</v>
      </c>
      <c r="D192" s="233" t="str">
        <f t="shared" si="314"/>
        <v>Urban</v>
      </c>
      <c r="E192" s="233" t="str">
        <f t="shared" si="314"/>
        <v>Multi storey</v>
      </c>
      <c r="F192" s="233" t="str">
        <f t="shared" si="314"/>
        <v>RESELCH</v>
      </c>
      <c r="G192" s="233" t="str">
        <f t="shared" si="314"/>
        <v>RESHUMB</v>
      </c>
      <c r="H192" s="573">
        <f t="shared" si="282"/>
        <v>2048</v>
      </c>
      <c r="I192" s="250">
        <v>0</v>
      </c>
      <c r="J192" s="250">
        <v>0</v>
      </c>
      <c r="K192" s="250">
        <v>0</v>
      </c>
      <c r="L192" s="462">
        <v>1</v>
      </c>
      <c r="M192" s="462">
        <v>1</v>
      </c>
      <c r="N192" s="462">
        <v>1</v>
      </c>
      <c r="O192" s="244">
        <f t="shared" si="310"/>
        <v>3.1536000000000002E-2</v>
      </c>
      <c r="P192" s="460">
        <v>0.2</v>
      </c>
      <c r="Q192" s="245">
        <v>30</v>
      </c>
      <c r="R192" s="227">
        <v>2</v>
      </c>
      <c r="T192" s="268">
        <f t="shared" si="293"/>
        <v>0</v>
      </c>
      <c r="U192" s="268"/>
      <c r="V192" s="602" t="str">
        <f>'Data manipulation'!$B$33</f>
        <v>Electricity</v>
      </c>
      <c r="W192" s="254" t="s">
        <v>189</v>
      </c>
      <c r="X192" s="246">
        <v>2019</v>
      </c>
      <c r="Y192" s="434">
        <f>_xlfn.IFNA(INDEX('Data manipulation'!$C$23:$O$39,MATCH($V192,'Data manipulation'!$B$23:$B$39,0),MATCH($X192,'Data manipulation'!$C$22:$O$22,0))/1000,0)*SUMIFS('Regional split'!$F$4:$F$6,'Regional split'!$B$4:$B$6,Y$3)*SUMIFS('Data manipulation'!$V$39:$V$42,'Data manipulation'!$X$39:$X$42,$E192,'Data manipulation'!$Y$39:$Y$42,$D192)</f>
        <v>6.7219661859999995</v>
      </c>
      <c r="Z192" s="434">
        <f>_xlfn.IFNA(INDEX('Data manipulation'!$C$23:$O$39,MATCH($V192,'Data manipulation'!$B$23:$B$39,0),MATCH($X192,'Data manipulation'!$C$22:$O$22,0))/1000,0)*SUMIFS('Regional split'!$F$4:$F$6,'Regional split'!$B$4:$B$6,Z$3)*SUMIFS('Data manipulation'!$V$39:$V$42,'Data manipulation'!$X$39:$X$42,$E192,'Data manipulation'!$Y$39:$Y$42,$D192)</f>
        <v>0</v>
      </c>
      <c r="AA192" s="434">
        <f>_xlfn.IFNA(INDEX('Data manipulation'!$C$23:$O$39,MATCH($V192,'Data manipulation'!$B$23:$B$39,0),MATCH($X192,'Data manipulation'!$C$22:$O$22,0))/1000,0)*SUMIFS('Regional split'!$F$4:$F$6,'Regional split'!$B$4:$B$6,AA$3)*SUMIFS('Data manipulation'!$V$39:$V$42,'Data manipulation'!$X$39:$X$42,$E192,'Data manipulation'!$Y$39:$Y$42,$D192)</f>
        <v>0</v>
      </c>
      <c r="AB192" s="445">
        <f t="shared" si="305"/>
        <v>6.7219661859999995</v>
      </c>
      <c r="AC192" s="251">
        <f t="shared" si="306"/>
        <v>0</v>
      </c>
      <c r="AD192" s="446">
        <f t="shared" si="307"/>
        <v>0</v>
      </c>
      <c r="AU192" s="260"/>
      <c r="AZ192" s="252"/>
    </row>
    <row r="193" spans="2:52" ht="15" customHeight="1">
      <c r="B193" s="233" t="str">
        <f t="shared" ref="B193:G193" si="315">B113</f>
        <v>RHTUMELCHE2</v>
      </c>
      <c r="C193" s="233" t="str">
        <f t="shared" si="315"/>
        <v>Residential Heating Technology Urban Multi - Electricity Heating - Existing 2</v>
      </c>
      <c r="D193" s="233" t="str">
        <f t="shared" si="315"/>
        <v>Urban</v>
      </c>
      <c r="E193" s="233" t="str">
        <f t="shared" si="315"/>
        <v>Multi storey</v>
      </c>
      <c r="F193" s="233" t="str">
        <f t="shared" si="315"/>
        <v>RESELCH</v>
      </c>
      <c r="G193" s="233" t="str">
        <f t="shared" si="315"/>
        <v>RESHUMB</v>
      </c>
      <c r="H193" s="573">
        <f t="shared" si="282"/>
        <v>2048</v>
      </c>
      <c r="I193" s="250">
        <v>0</v>
      </c>
      <c r="J193" s="250">
        <v>0</v>
      </c>
      <c r="K193" s="250">
        <v>0</v>
      </c>
      <c r="L193" s="462">
        <v>2.3149999999999999</v>
      </c>
      <c r="M193" s="462">
        <v>2.3149999999999999</v>
      </c>
      <c r="N193" s="462">
        <v>2.3149999999999999</v>
      </c>
      <c r="O193" s="244">
        <f t="shared" si="310"/>
        <v>3.1536000000000002E-2</v>
      </c>
      <c r="P193" s="460">
        <v>0.2</v>
      </c>
      <c r="Q193" s="245">
        <v>30</v>
      </c>
      <c r="R193" s="227">
        <v>2</v>
      </c>
      <c r="T193" s="268">
        <f t="shared" si="293"/>
        <v>0</v>
      </c>
      <c r="U193" s="268"/>
      <c r="V193" s="602" t="str">
        <f>'Data manipulation'!$B$30</f>
        <v>Ambient heat (heat pumps)</v>
      </c>
      <c r="W193" s="254" t="s">
        <v>190</v>
      </c>
      <c r="X193" s="246">
        <v>2019</v>
      </c>
      <c r="Y193" s="434">
        <f>_xlfn.IFNA(INDEX('Data manipulation'!$C$23:$O$39,MATCH($V193,'Data manipulation'!$B$23:$B$39,0),MATCH($X193,'Data manipulation'!$C$22:$O$22,0))/1000,0)*SUMIFS('Regional split'!$F$4:$F$6,'Regional split'!$B$4:$B$6,Y$3)*SUMIFS('Data manipulation'!$V$39:$V$42,'Data manipulation'!$X$39:$X$42,$E193,'Data manipulation'!$Y$39:$Y$42,$D193)</f>
        <v>10.81480855</v>
      </c>
      <c r="Z193" s="434">
        <f>_xlfn.IFNA(INDEX('Data manipulation'!$C$23:$O$39,MATCH($V193,'Data manipulation'!$B$23:$B$39,0),MATCH($X193,'Data manipulation'!$C$22:$O$22,0))/1000,0)*SUMIFS('Regional split'!$F$4:$F$6,'Regional split'!$B$4:$B$6,Z$3)*SUMIFS('Data manipulation'!$V$39:$V$42,'Data manipulation'!$X$39:$X$42,$E193,'Data manipulation'!$Y$39:$Y$42,$D193)</f>
        <v>0</v>
      </c>
      <c r="AA193" s="434">
        <f>_xlfn.IFNA(INDEX('Data manipulation'!$C$23:$O$39,MATCH($V193,'Data manipulation'!$B$23:$B$39,0),MATCH($X193,'Data manipulation'!$C$22:$O$22,0))/1000,0)*SUMIFS('Regional split'!$F$4:$F$6,'Regional split'!$B$4:$B$6,AA$3)*SUMIFS('Data manipulation'!$V$39:$V$42,'Data manipulation'!$X$39:$X$42,$E193,'Data manipulation'!$Y$39:$Y$42,$D193)</f>
        <v>0</v>
      </c>
      <c r="AB193" s="445">
        <f t="shared" si="305"/>
        <v>25.036281793250001</v>
      </c>
      <c r="AC193" s="251">
        <f t="shared" si="306"/>
        <v>0</v>
      </c>
      <c r="AD193" s="446">
        <f t="shared" si="307"/>
        <v>0</v>
      </c>
      <c r="AU193" s="260"/>
      <c r="AZ193" s="252"/>
    </row>
    <row r="194" spans="2:52" ht="15" customHeight="1">
      <c r="B194" s="233" t="str">
        <f t="shared" ref="B194:G194" si="316">B114</f>
        <v>RHTUMHCEE1</v>
      </c>
      <c r="C194" s="233" t="str">
        <f t="shared" si="316"/>
        <v>Residential Heating Technology Urban Multi - District heating Central - Existing 1</v>
      </c>
      <c r="D194" s="233" t="str">
        <f t="shared" si="316"/>
        <v>Urban</v>
      </c>
      <c r="E194" s="233" t="str">
        <f t="shared" si="316"/>
        <v>Multi storey</v>
      </c>
      <c r="F194" s="233" t="str">
        <f t="shared" si="316"/>
        <v>RESHCE</v>
      </c>
      <c r="G194" s="233" t="str">
        <f t="shared" si="316"/>
        <v>RESHUMX</v>
      </c>
      <c r="H194" s="573">
        <f t="shared" si="282"/>
        <v>2048</v>
      </c>
      <c r="I194" s="572">
        <v>0</v>
      </c>
      <c r="J194" s="572">
        <v>0</v>
      </c>
      <c r="K194" s="572">
        <v>0</v>
      </c>
      <c r="L194" s="462">
        <v>0.95</v>
      </c>
      <c r="M194" s="462">
        <v>0.95</v>
      </c>
      <c r="N194" s="462">
        <v>0.95</v>
      </c>
      <c r="O194" s="244">
        <f t="shared" si="310"/>
        <v>3.1536000000000002E-2</v>
      </c>
      <c r="P194" s="460">
        <v>0.2</v>
      </c>
      <c r="Q194" s="245">
        <v>30</v>
      </c>
      <c r="R194" s="227">
        <v>2</v>
      </c>
      <c r="T194" s="268">
        <f t="shared" si="293"/>
        <v>0</v>
      </c>
      <c r="U194" s="268"/>
      <c r="V194" s="602" t="str">
        <f>'Data manipulation'!$B$34</f>
        <v>Heat</v>
      </c>
      <c r="W194" s="254" t="s">
        <v>191</v>
      </c>
      <c r="X194" s="246">
        <v>2019</v>
      </c>
      <c r="Y194" s="434">
        <f>_xlfn.IFNA(INDEX('Data manipulation'!$C$23:$O$39,MATCH($V194,'Data manipulation'!$B$23:$B$39,0),MATCH($X194,'Data manipulation'!$C$22:$O$22,0))/1000,0)*SUMIFS('Regional split'!$F$4:$F$6,'Regional split'!$B$4:$B$6,Y$3)*SUMIFS('Data manipulation'!$V$39:$V$42,'Data manipulation'!$X$39:$X$42,$E194,'Data manipulation'!$Y$39:$Y$42,$D194)</f>
        <v>34.405477703999999</v>
      </c>
      <c r="Z194" s="434">
        <f>_xlfn.IFNA(INDEX('Data manipulation'!$C$23:$O$39,MATCH($V194,'Data manipulation'!$B$23:$B$39,0),MATCH($X194,'Data manipulation'!$C$22:$O$22,0))/1000,0)*SUMIFS('Regional split'!$F$4:$F$6,'Regional split'!$B$4:$B$6,Z$3)*SUMIFS('Data manipulation'!$V$39:$V$42,'Data manipulation'!$X$39:$X$42,$E194,'Data manipulation'!$Y$39:$Y$42,$D194)</f>
        <v>0</v>
      </c>
      <c r="AA194" s="434">
        <f>_xlfn.IFNA(INDEX('Data manipulation'!$C$23:$O$39,MATCH($V194,'Data manipulation'!$B$23:$B$39,0),MATCH($X194,'Data manipulation'!$C$22:$O$22,0))/1000,0)*SUMIFS('Regional split'!$F$4:$F$6,'Regional split'!$B$4:$B$6,AA$3)*SUMIFS('Data manipulation'!$V$39:$V$42,'Data manipulation'!$X$39:$X$42,$E194,'Data manipulation'!$Y$39:$Y$42,$D194)</f>
        <v>0</v>
      </c>
      <c r="AB194" s="445">
        <f t="shared" si="305"/>
        <v>32.685203818799998</v>
      </c>
      <c r="AC194" s="251">
        <f t="shared" si="306"/>
        <v>0</v>
      </c>
      <c r="AD194" s="446">
        <f t="shared" si="307"/>
        <v>0</v>
      </c>
      <c r="AU194" s="260"/>
      <c r="AZ194" s="252"/>
    </row>
    <row r="195" spans="2:52" ht="15" customHeight="1" thickBot="1">
      <c r="B195" s="255" t="str">
        <f t="shared" ref="B195:G195" si="317">B115</f>
        <v>RHTUMLPGE1</v>
      </c>
      <c r="C195" s="255" t="str">
        <f t="shared" si="317"/>
        <v>Residential Heating Technology Urban Multi - LPG - Existing 1</v>
      </c>
      <c r="D195" s="535" t="str">
        <f t="shared" si="317"/>
        <v>Urban</v>
      </c>
      <c r="E195" s="535" t="str">
        <f t="shared" si="317"/>
        <v>Multi storey</v>
      </c>
      <c r="F195" s="255" t="str">
        <f t="shared" si="317"/>
        <v>RESLPG</v>
      </c>
      <c r="G195" s="255" t="str">
        <f t="shared" si="317"/>
        <v>RESHUMB</v>
      </c>
      <c r="H195" s="575">
        <f t="shared" si="282"/>
        <v>2048</v>
      </c>
      <c r="I195" s="297">
        <v>0</v>
      </c>
      <c r="J195" s="297">
        <v>0</v>
      </c>
      <c r="K195" s="297">
        <v>0</v>
      </c>
      <c r="L195" s="463">
        <v>0.95</v>
      </c>
      <c r="M195" s="463">
        <v>0.95</v>
      </c>
      <c r="N195" s="463">
        <v>0.95</v>
      </c>
      <c r="O195" s="257">
        <f t="shared" si="310"/>
        <v>3.1536000000000002E-2</v>
      </c>
      <c r="P195" s="460">
        <v>0.2</v>
      </c>
      <c r="Q195" s="258">
        <v>30</v>
      </c>
      <c r="R195" s="227">
        <v>2</v>
      </c>
      <c r="T195" s="268">
        <f t="shared" si="293"/>
        <v>0</v>
      </c>
      <c r="U195" s="268"/>
      <c r="V195" s="602" t="s">
        <v>790</v>
      </c>
      <c r="W195" s="428" t="s">
        <v>790</v>
      </c>
      <c r="X195" s="246">
        <v>2019</v>
      </c>
      <c r="Y195" s="434">
        <f>_xlfn.IFNA(INDEX('Data manipulation'!$C$23:$O$39,MATCH($V195,'Data manipulation'!$B$23:$B$39,0),MATCH($X195,'Data manipulation'!$C$22:$O$22,0))/1000,0)*SUMIFS('Regional split'!$F$4:$F$6,'Regional split'!$B$4:$B$6,Y$3)*SUMIFS('Data manipulation'!$V$39:$V$42,'Data manipulation'!$X$39:$X$42,$E195,'Data manipulation'!$Y$39:$Y$42,$D195)</f>
        <v>0</v>
      </c>
      <c r="Z195" s="434">
        <f>_xlfn.IFNA(INDEX('Data manipulation'!$C$23:$O$39,MATCH($V195,'Data manipulation'!$B$23:$B$39,0),MATCH($X195,'Data manipulation'!$C$22:$O$22,0))/1000,0)*SUMIFS('Regional split'!$F$4:$F$6,'Regional split'!$B$4:$B$6,Z$3)*SUMIFS('Data manipulation'!$V$39:$V$42,'Data manipulation'!$X$39:$X$42,$E195,'Data manipulation'!$Y$39:$Y$42,$D195)</f>
        <v>0</v>
      </c>
      <c r="AA195" s="434">
        <f>_xlfn.IFNA(INDEX('Data manipulation'!$C$23:$O$39,MATCH($V195,'Data manipulation'!$B$23:$B$39,0),MATCH($X195,'Data manipulation'!$C$22:$O$22,0))/1000,0)*SUMIFS('Regional split'!$F$4:$F$6,'Regional split'!$B$4:$B$6,AA$3)*SUMIFS('Data manipulation'!$V$39:$V$42,'Data manipulation'!$X$39:$X$42,$E195,'Data manipulation'!$Y$39:$Y$42,$D195)</f>
        <v>0</v>
      </c>
      <c r="AB195" s="452">
        <f t="shared" si="305"/>
        <v>0</v>
      </c>
      <c r="AC195" s="277">
        <f t="shared" si="306"/>
        <v>0</v>
      </c>
      <c r="AD195" s="448">
        <f t="shared" si="307"/>
        <v>0</v>
      </c>
      <c r="AU195" s="260"/>
      <c r="AZ195" s="252"/>
    </row>
    <row r="196" spans="2:52" ht="15" customHeight="1">
      <c r="B196" s="233" t="str">
        <f t="shared" ref="B196:G196" si="318">B116</f>
        <v>RHTRMNGAE1</v>
      </c>
      <c r="C196" s="233" t="str">
        <f t="shared" si="318"/>
        <v>Residential Heating Technology Rural Multi - Natural Gas - Existing 1</v>
      </c>
      <c r="D196" s="233" t="str">
        <f t="shared" si="318"/>
        <v>Rural</v>
      </c>
      <c r="E196" s="233" t="str">
        <f t="shared" si="318"/>
        <v>Multi storey</v>
      </c>
      <c r="F196" s="233" t="str">
        <f t="shared" si="318"/>
        <v>RESNGA,RESSNG</v>
      </c>
      <c r="G196" s="233" t="str">
        <f t="shared" si="318"/>
        <v>RESHRMB</v>
      </c>
      <c r="H196" s="574">
        <f t="shared" si="282"/>
        <v>2043</v>
      </c>
      <c r="I196" s="250">
        <v>0</v>
      </c>
      <c r="J196" s="250">
        <v>0</v>
      </c>
      <c r="K196" s="250">
        <v>0</v>
      </c>
      <c r="L196" s="462">
        <v>0.79</v>
      </c>
      <c r="M196" s="462">
        <v>0.79</v>
      </c>
      <c r="N196" s="462">
        <v>0.79</v>
      </c>
      <c r="O196" s="244">
        <f t="shared" si="310"/>
        <v>3.1536000000000002E-2</v>
      </c>
      <c r="P196" s="460">
        <v>0.2</v>
      </c>
      <c r="Q196" s="245">
        <v>25</v>
      </c>
      <c r="R196" s="227">
        <v>2</v>
      </c>
      <c r="T196" s="268">
        <f t="shared" si="293"/>
        <v>0</v>
      </c>
      <c r="U196" s="268"/>
      <c r="V196" s="602" t="str">
        <f>'Data manipulation'!$B$36</f>
        <v>Natural gas, biogas and LNG</v>
      </c>
      <c r="W196" s="246" t="s">
        <v>187</v>
      </c>
      <c r="X196" s="246">
        <v>2019</v>
      </c>
      <c r="Y196" s="434">
        <f>_xlfn.IFNA(INDEX('Data manipulation'!$C$23:$O$39,MATCH($V196,'Data manipulation'!$B$23:$B$39,0),MATCH($X196,'Data manipulation'!$C$22:$O$22,0))/1000,0)*SUMIFS('Regional split'!$F$4:$F$6,'Regional split'!$B$4:$B$6,Y$3)*SUMIFS('Data manipulation'!$V$39:$V$42,'Data manipulation'!$X$39:$X$42,$E196,'Data manipulation'!$Y$39:$Y$42,$D196)</f>
        <v>10.807518777999999</v>
      </c>
      <c r="Z196" s="434">
        <f>_xlfn.IFNA(INDEX('Data manipulation'!$C$23:$O$39,MATCH($V196,'Data manipulation'!$B$23:$B$39,0),MATCH($X196,'Data manipulation'!$C$22:$O$22,0))/1000,0)*SUMIFS('Regional split'!$F$4:$F$6,'Regional split'!$B$4:$B$6,Z$3)*SUMIFS('Data manipulation'!$V$39:$V$42,'Data manipulation'!$X$39:$X$42,$E196,'Data manipulation'!$Y$39:$Y$42,$D196)</f>
        <v>0</v>
      </c>
      <c r="AA196" s="434">
        <f>_xlfn.IFNA(INDEX('Data manipulation'!$C$23:$O$39,MATCH($V196,'Data manipulation'!$B$23:$B$39,0),MATCH($X196,'Data manipulation'!$C$22:$O$22,0))/1000,0)*SUMIFS('Regional split'!$F$4:$F$6,'Regional split'!$B$4:$B$6,AA$3)*SUMIFS('Data manipulation'!$V$39:$V$42,'Data manipulation'!$X$39:$X$42,$E196,'Data manipulation'!$Y$39:$Y$42,$D196)</f>
        <v>0</v>
      </c>
      <c r="AB196" s="453">
        <f t="shared" si="305"/>
        <v>8.5379398346199995</v>
      </c>
      <c r="AC196" s="278">
        <f t="shared" si="306"/>
        <v>0</v>
      </c>
      <c r="AD196" s="449">
        <f t="shared" si="307"/>
        <v>0</v>
      </c>
      <c r="AU196" s="260"/>
      <c r="AZ196" s="252"/>
    </row>
    <row r="197" spans="2:52" ht="15" customHeight="1">
      <c r="B197" s="233" t="str">
        <f t="shared" ref="B197:G197" si="319">B117</f>
        <v>RHTRMDSLE1</v>
      </c>
      <c r="C197" s="233" t="str">
        <f t="shared" si="319"/>
        <v>Residential Heating Technology Rural Multi - Diesel - Existing 1</v>
      </c>
      <c r="D197" s="233" t="str">
        <f t="shared" si="319"/>
        <v>Rural</v>
      </c>
      <c r="E197" s="233" t="str">
        <f t="shared" si="319"/>
        <v>Multi storey</v>
      </c>
      <c r="F197" s="233" t="str">
        <f t="shared" si="319"/>
        <v>RESDSL,RESDSB</v>
      </c>
      <c r="G197" s="233" t="str">
        <f t="shared" si="319"/>
        <v>RESHRMB</v>
      </c>
      <c r="H197" s="574">
        <f t="shared" si="282"/>
        <v>2038</v>
      </c>
      <c r="I197" s="250">
        <v>0</v>
      </c>
      <c r="J197" s="250">
        <v>0</v>
      </c>
      <c r="K197" s="250">
        <v>0</v>
      </c>
      <c r="L197" s="462">
        <v>0.79</v>
      </c>
      <c r="M197" s="462">
        <v>0.79</v>
      </c>
      <c r="N197" s="462">
        <v>0.79</v>
      </c>
      <c r="O197" s="244">
        <f t="shared" si="310"/>
        <v>3.1536000000000002E-2</v>
      </c>
      <c r="P197" s="460">
        <v>0.2</v>
      </c>
      <c r="Q197" s="245">
        <v>20</v>
      </c>
      <c r="R197" s="227">
        <v>2</v>
      </c>
      <c r="T197" s="268">
        <f t="shared" si="293"/>
        <v>0</v>
      </c>
      <c r="V197" s="602" t="str">
        <f>'Data manipulation'!$B$35</f>
        <v>Oil products</v>
      </c>
      <c r="W197" s="254" t="s">
        <v>749</v>
      </c>
      <c r="X197" s="246">
        <v>2019</v>
      </c>
      <c r="Y197" s="434">
        <f>_xlfn.IFNA(INDEX('Data manipulation'!$C$23:$O$39,MATCH($V197,'Data manipulation'!$B$23:$B$39,0),MATCH($X197,'Data manipulation'!$C$22:$O$22,0))/1000,0)*SUMIFS('Regional split'!$F$4:$F$6,'Regional split'!$B$4:$B$6,Y$3)*SUMIFS('Data manipulation'!$V$39:$V$42,'Data manipulation'!$X$39:$X$42,$E197,'Data manipulation'!$Y$39:$Y$42,$D197)</f>
        <v>5.4543849080000006</v>
      </c>
      <c r="Z197" s="434">
        <f>_xlfn.IFNA(INDEX('Data manipulation'!$C$23:$O$39,MATCH($V197,'Data manipulation'!$B$23:$B$39,0),MATCH($X197,'Data manipulation'!$C$22:$O$22,0))/1000,0)*SUMIFS('Regional split'!$F$4:$F$6,'Regional split'!$B$4:$B$6,Z$3)*SUMIFS('Data manipulation'!$V$39:$V$42,'Data manipulation'!$X$39:$X$42,$E197,'Data manipulation'!$Y$39:$Y$42,$D197)</f>
        <v>0</v>
      </c>
      <c r="AA197" s="434">
        <f>_xlfn.IFNA(INDEX('Data manipulation'!$C$23:$O$39,MATCH($V197,'Data manipulation'!$B$23:$B$39,0),MATCH($X197,'Data manipulation'!$C$22:$O$22,0))/1000,0)*SUMIFS('Regional split'!$F$4:$F$6,'Regional split'!$B$4:$B$6,AA$3)*SUMIFS('Data manipulation'!$V$39:$V$42,'Data manipulation'!$X$39:$X$42,$E197,'Data manipulation'!$Y$39:$Y$42,$D197)</f>
        <v>0</v>
      </c>
      <c r="AB197" s="445">
        <f t="shared" si="305"/>
        <v>4.3089640773200006</v>
      </c>
      <c r="AC197" s="251">
        <f t="shared" si="306"/>
        <v>0</v>
      </c>
      <c r="AD197" s="446">
        <f t="shared" si="307"/>
        <v>0</v>
      </c>
      <c r="AU197" s="260"/>
      <c r="AZ197" s="252"/>
    </row>
    <row r="198" spans="2:52" ht="15" customHeight="1">
      <c r="B198" s="233" t="str">
        <f t="shared" ref="B198:G198" si="320">B118</f>
        <v>RHTRMWPEE1</v>
      </c>
      <c r="C198" s="233" t="str">
        <f t="shared" si="320"/>
        <v>Residential Heating Technology Rural Multi - Wood pellets - Existing 1</v>
      </c>
      <c r="D198" s="233" t="str">
        <f t="shared" si="320"/>
        <v>Rural</v>
      </c>
      <c r="E198" s="233" t="str">
        <f t="shared" si="320"/>
        <v>Multi storey</v>
      </c>
      <c r="F198" s="233" t="str">
        <f t="shared" si="320"/>
        <v>RESWPE</v>
      </c>
      <c r="G198" s="233" t="str">
        <f t="shared" si="320"/>
        <v>RESHRMB</v>
      </c>
      <c r="H198" s="574">
        <f t="shared" si="282"/>
        <v>2038</v>
      </c>
      <c r="I198" s="250">
        <v>0</v>
      </c>
      <c r="J198" s="250">
        <v>0</v>
      </c>
      <c r="K198" s="250">
        <v>0</v>
      </c>
      <c r="L198" s="462">
        <v>0.67</v>
      </c>
      <c r="M198" s="462">
        <v>0.67</v>
      </c>
      <c r="N198" s="462">
        <v>0.67</v>
      </c>
      <c r="O198" s="244">
        <f>31.536/1000</f>
        <v>3.1536000000000002E-2</v>
      </c>
      <c r="P198" s="460">
        <v>0.2</v>
      </c>
      <c r="Q198" s="245">
        <v>20</v>
      </c>
      <c r="R198" s="227">
        <v>2</v>
      </c>
      <c r="T198" s="268">
        <f t="shared" si="293"/>
        <v>0</v>
      </c>
      <c r="U198" s="268"/>
      <c r="V198" s="602" t="s">
        <v>206</v>
      </c>
      <c r="W198" s="254" t="s">
        <v>896</v>
      </c>
      <c r="X198" s="246">
        <v>2019</v>
      </c>
      <c r="Y198" s="434">
        <f>_xlfn.IFNA(INDEX('Data manipulation'!$C$23:$O$39,MATCH($V198,'Data manipulation'!$B$23:$B$39,0),MATCH($X198,'Data manipulation'!$C$22:$O$22,0))/1000,0)*SUMIFS('Regional split'!$F$4:$F$6,'Regional split'!$B$4:$B$6,Y$3)*SUMIFS('Data manipulation'!$V$39:$V$42,'Data manipulation'!$X$39:$X$42,$E198,'Data manipulation'!$Y$39:$Y$42,$D198)</f>
        <v>0</v>
      </c>
      <c r="Z198" s="434">
        <f>_xlfn.IFNA(INDEX('Data manipulation'!$C$23:$O$39,MATCH($V198,'Data manipulation'!$B$23:$B$39,0),MATCH($X198,'Data manipulation'!$C$22:$O$22,0))/1000,0)*SUMIFS('Regional split'!$F$4:$F$6,'Regional split'!$B$4:$B$6,Z$3)*SUMIFS('Data manipulation'!$V$39:$V$42,'Data manipulation'!$X$39:$X$42,$E198,'Data manipulation'!$Y$39:$Y$42,$D198)</f>
        <v>0</v>
      </c>
      <c r="AA198" s="434">
        <f>_xlfn.IFNA(INDEX('Data manipulation'!$C$23:$O$39,MATCH($V198,'Data manipulation'!$B$23:$B$39,0),MATCH($X198,'Data manipulation'!$C$22:$O$22,0))/1000,0)*SUMIFS('Regional split'!$F$4:$F$6,'Regional split'!$B$4:$B$6,AA$3)*SUMIFS('Data manipulation'!$V$39:$V$42,'Data manipulation'!$X$39:$X$42,$E198,'Data manipulation'!$Y$39:$Y$42,$D198)</f>
        <v>0</v>
      </c>
      <c r="AB198" s="445">
        <f t="shared" si="305"/>
        <v>0</v>
      </c>
      <c r="AC198" s="251">
        <f t="shared" si="306"/>
        <v>0</v>
      </c>
      <c r="AD198" s="446">
        <f t="shared" si="307"/>
        <v>0</v>
      </c>
      <c r="AU198" s="260"/>
      <c r="AZ198" s="252"/>
    </row>
    <row r="199" spans="2:52" ht="15" customHeight="1">
      <c r="B199" s="233" t="str">
        <f t="shared" ref="B199:G199" si="321">B119</f>
        <v>RHTRMFIWE1</v>
      </c>
      <c r="C199" s="233" t="str">
        <f t="shared" si="321"/>
        <v>Residential Heating Technology Rural Multi - Fire wood - Existing 1</v>
      </c>
      <c r="D199" s="233" t="str">
        <f t="shared" si="321"/>
        <v>Rural</v>
      </c>
      <c r="E199" s="233" t="str">
        <f t="shared" si="321"/>
        <v>Multi storey</v>
      </c>
      <c r="F199" s="233" t="str">
        <f t="shared" si="321"/>
        <v>RESFIW</v>
      </c>
      <c r="G199" s="233" t="str">
        <f t="shared" si="321"/>
        <v>RESHRMB</v>
      </c>
      <c r="H199" s="574">
        <f t="shared" si="282"/>
        <v>2038</v>
      </c>
      <c r="I199" s="250">
        <v>0</v>
      </c>
      <c r="J199" s="250">
        <v>0</v>
      </c>
      <c r="K199" s="250">
        <v>0</v>
      </c>
      <c r="L199" s="462">
        <v>0.67</v>
      </c>
      <c r="M199" s="462">
        <v>0.67</v>
      </c>
      <c r="N199" s="462">
        <v>0.67</v>
      </c>
      <c r="O199" s="244">
        <f>31.536/1000</f>
        <v>3.1536000000000002E-2</v>
      </c>
      <c r="P199" s="460">
        <v>0.2</v>
      </c>
      <c r="Q199" s="245">
        <v>20</v>
      </c>
      <c r="R199" s="227">
        <v>2</v>
      </c>
      <c r="T199" s="268">
        <f t="shared" si="293"/>
        <v>0</v>
      </c>
      <c r="U199" s="268"/>
      <c r="V199" s="602" t="str">
        <f>'Data manipulation'!$B$31</f>
        <v>Primary solid biofuels</v>
      </c>
      <c r="W199" s="254" t="s">
        <v>196</v>
      </c>
      <c r="X199" s="246">
        <v>2019</v>
      </c>
      <c r="Y199" s="434">
        <f>_xlfn.IFNA(INDEX('Data manipulation'!$C$23:$O$39,MATCH($V199,'Data manipulation'!$B$23:$B$39,0),MATCH($X199,'Data manipulation'!$C$22:$O$22,0))/1000,0)*SUMIFS('Regional split'!$F$4:$F$6,'Regional split'!$B$4:$B$6,Y$3)*SUMIFS('Data manipulation'!$V$39:$V$42,'Data manipulation'!$X$39:$X$42,$E199,'Data manipulation'!$Y$39:$Y$42,$D199)</f>
        <v>3.0402952579999996</v>
      </c>
      <c r="Z199" s="434">
        <f>_xlfn.IFNA(INDEX('Data manipulation'!$C$23:$O$39,MATCH($V199,'Data manipulation'!$B$23:$B$39,0),MATCH($X199,'Data manipulation'!$C$22:$O$22,0))/1000,0)*SUMIFS('Regional split'!$F$4:$F$6,'Regional split'!$B$4:$B$6,Z$3)*SUMIFS('Data manipulation'!$V$39:$V$42,'Data manipulation'!$X$39:$X$42,$E199,'Data manipulation'!$Y$39:$Y$42,$D199)</f>
        <v>0</v>
      </c>
      <c r="AA199" s="434">
        <f>_xlfn.IFNA(INDEX('Data manipulation'!$C$23:$O$39,MATCH($V199,'Data manipulation'!$B$23:$B$39,0),MATCH($X199,'Data manipulation'!$C$22:$O$22,0))/1000,0)*SUMIFS('Regional split'!$F$4:$F$6,'Regional split'!$B$4:$B$6,AA$3)*SUMIFS('Data manipulation'!$V$39:$V$42,'Data manipulation'!$X$39:$X$42,$E199,'Data manipulation'!$Y$39:$Y$42,$D199)</f>
        <v>0</v>
      </c>
      <c r="AB199" s="445">
        <f t="shared" si="305"/>
        <v>2.0369978228599996</v>
      </c>
      <c r="AC199" s="251">
        <f t="shared" si="306"/>
        <v>0</v>
      </c>
      <c r="AD199" s="446">
        <f t="shared" si="307"/>
        <v>0</v>
      </c>
      <c r="AU199" s="260"/>
      <c r="AZ199" s="252"/>
    </row>
    <row r="200" spans="2:52" ht="15" customHeight="1">
      <c r="B200" s="233" t="str">
        <f t="shared" ref="B200:G200" si="322">B120</f>
        <v>RHTRMCOAE1</v>
      </c>
      <c r="C200" s="233" t="str">
        <f t="shared" si="322"/>
        <v>Residential Heating Technology Rural Multi - Coal - Existing 1</v>
      </c>
      <c r="D200" s="233" t="str">
        <f t="shared" si="322"/>
        <v>Rural</v>
      </c>
      <c r="E200" s="233" t="str">
        <f t="shared" si="322"/>
        <v>Multi storey</v>
      </c>
      <c r="F200" s="233" t="str">
        <f t="shared" si="322"/>
        <v>RESCOA</v>
      </c>
      <c r="G200" s="233" t="str">
        <f t="shared" si="322"/>
        <v>RESHRMB</v>
      </c>
      <c r="H200" s="574">
        <f t="shared" si="282"/>
        <v>2038</v>
      </c>
      <c r="I200" s="250">
        <v>0</v>
      </c>
      <c r="J200" s="250">
        <v>0</v>
      </c>
      <c r="K200" s="250">
        <v>0</v>
      </c>
      <c r="L200" s="462">
        <v>0.72</v>
      </c>
      <c r="M200" s="462">
        <v>0.72</v>
      </c>
      <c r="N200" s="462">
        <v>0.72</v>
      </c>
      <c r="O200" s="244">
        <f t="shared" si="310"/>
        <v>3.1536000000000002E-2</v>
      </c>
      <c r="P200" s="460">
        <v>0.2</v>
      </c>
      <c r="Q200" s="245">
        <v>20</v>
      </c>
      <c r="R200" s="227">
        <v>2</v>
      </c>
      <c r="T200" s="268">
        <f t="shared" si="293"/>
        <v>0</v>
      </c>
      <c r="U200" s="268"/>
      <c r="V200" s="602" t="str">
        <f>'Data manipulation'!$B$23</f>
        <v>Solid fossil fuels, peat, peat products, oil shale and oil sands</v>
      </c>
      <c r="W200" s="254" t="s">
        <v>893</v>
      </c>
      <c r="X200" s="246">
        <v>2019</v>
      </c>
      <c r="Y200" s="434">
        <f>_xlfn.IFNA(INDEX('Data manipulation'!$C$23:$O$39,MATCH($V200,'Data manipulation'!$B$23:$B$39,0),MATCH($X200,'Data manipulation'!$C$22:$O$22,0))/1000,0)*SUMIFS('Regional split'!$F$4:$F$6,'Regional split'!$B$4:$B$6,Y$3)*SUMIFS('Data manipulation'!$V$39:$V$42,'Data manipulation'!$X$39:$X$42,$E200,'Data manipulation'!$Y$39:$Y$42,$D200)</f>
        <v>0.20235325600000001</v>
      </c>
      <c r="Z200" s="434">
        <f>_xlfn.IFNA(INDEX('Data manipulation'!$C$23:$O$39,MATCH($V200,'Data manipulation'!$B$23:$B$39,0),MATCH($X200,'Data manipulation'!$C$22:$O$22,0))/1000,0)*SUMIFS('Regional split'!$F$4:$F$6,'Regional split'!$B$4:$B$6,Z$3)*SUMIFS('Data manipulation'!$V$39:$V$42,'Data manipulation'!$X$39:$X$42,$E200,'Data manipulation'!$Y$39:$Y$42,$D200)</f>
        <v>0</v>
      </c>
      <c r="AA200" s="434">
        <f>_xlfn.IFNA(INDEX('Data manipulation'!$C$23:$O$39,MATCH($V200,'Data manipulation'!$B$23:$B$39,0),MATCH($X200,'Data manipulation'!$C$22:$O$22,0))/1000,0)*SUMIFS('Regional split'!$F$4:$F$6,'Regional split'!$B$4:$B$6,AA$3)*SUMIFS('Data manipulation'!$V$39:$V$42,'Data manipulation'!$X$39:$X$42,$E200,'Data manipulation'!$Y$39:$Y$42,$D200)</f>
        <v>0</v>
      </c>
      <c r="AB200" s="445">
        <f t="shared" si="305"/>
        <v>0.14569434432</v>
      </c>
      <c r="AC200" s="251">
        <f t="shared" si="306"/>
        <v>0</v>
      </c>
      <c r="AD200" s="446">
        <f t="shared" si="307"/>
        <v>0</v>
      </c>
      <c r="AU200" s="260"/>
      <c r="AZ200" s="252"/>
    </row>
    <row r="201" spans="2:52" ht="15" customHeight="1">
      <c r="B201" s="233" t="str">
        <f t="shared" ref="B201:G201" si="323">B121</f>
        <v>RHTRMSOLE1</v>
      </c>
      <c r="C201" s="233" t="str">
        <f t="shared" si="323"/>
        <v>Residential Heating Technology Rural Multi - Solar - Existing 1</v>
      </c>
      <c r="D201" s="233" t="str">
        <f t="shared" si="323"/>
        <v>Rural</v>
      </c>
      <c r="E201" s="233" t="str">
        <f t="shared" si="323"/>
        <v>Multi storey</v>
      </c>
      <c r="F201" s="233" t="str">
        <f t="shared" si="323"/>
        <v>RESSOL</v>
      </c>
      <c r="G201" s="233" t="str">
        <f t="shared" si="323"/>
        <v>RESHRMB</v>
      </c>
      <c r="H201" s="574">
        <f t="shared" si="282"/>
        <v>2038</v>
      </c>
      <c r="I201" s="250">
        <v>0</v>
      </c>
      <c r="J201" s="250">
        <v>0</v>
      </c>
      <c r="K201" s="250">
        <v>0</v>
      </c>
      <c r="L201" s="462">
        <v>1</v>
      </c>
      <c r="M201" s="462">
        <v>1</v>
      </c>
      <c r="N201" s="462">
        <v>1</v>
      </c>
      <c r="O201" s="244">
        <f t="shared" si="310"/>
        <v>3.1536000000000002E-2</v>
      </c>
      <c r="P201" s="460">
        <v>0.2</v>
      </c>
      <c r="Q201" s="245">
        <v>20</v>
      </c>
      <c r="R201" s="227">
        <v>2</v>
      </c>
      <c r="T201" s="268">
        <f t="shared" si="293"/>
        <v>0</v>
      </c>
      <c r="U201" s="268"/>
      <c r="V201" s="602" t="str">
        <f>'Data manipulation'!$B$29</f>
        <v>Solar thermal</v>
      </c>
      <c r="W201" s="254" t="s">
        <v>188</v>
      </c>
      <c r="X201" s="246">
        <v>2019</v>
      </c>
      <c r="Y201" s="434">
        <f>_xlfn.IFNA(INDEX('Data manipulation'!$C$23:$O$39,MATCH($V201,'Data manipulation'!$B$23:$B$39,0),MATCH($X201,'Data manipulation'!$C$22:$O$22,0))/1000,0)*SUMIFS('Regional split'!$F$4:$F$6,'Regional split'!$B$4:$B$6,Y$3)*SUMIFS('Data manipulation'!$V$39:$V$42,'Data manipulation'!$X$39:$X$42,$E201,'Data manipulation'!$Y$39:$Y$42,$D201)</f>
        <v>5.3572974000000002E-2</v>
      </c>
      <c r="Z201" s="434">
        <f>_xlfn.IFNA(INDEX('Data manipulation'!$C$23:$O$39,MATCH($V201,'Data manipulation'!$B$23:$B$39,0),MATCH($X201,'Data manipulation'!$C$22:$O$22,0))/1000,0)*SUMIFS('Regional split'!$F$4:$F$6,'Regional split'!$B$4:$B$6,Z$3)*SUMIFS('Data manipulation'!$V$39:$V$42,'Data manipulation'!$X$39:$X$42,$E201,'Data manipulation'!$Y$39:$Y$42,$D201)</f>
        <v>0</v>
      </c>
      <c r="AA201" s="434">
        <f>_xlfn.IFNA(INDEX('Data manipulation'!$C$23:$O$39,MATCH($V201,'Data manipulation'!$B$23:$B$39,0),MATCH($X201,'Data manipulation'!$C$22:$O$22,0))/1000,0)*SUMIFS('Regional split'!$F$4:$F$6,'Regional split'!$B$4:$B$6,AA$3)*SUMIFS('Data manipulation'!$V$39:$V$42,'Data manipulation'!$X$39:$X$42,$E201,'Data manipulation'!$Y$39:$Y$42,$D201)</f>
        <v>0</v>
      </c>
      <c r="AB201" s="445">
        <f t="shared" si="305"/>
        <v>5.3572974000000002E-2</v>
      </c>
      <c r="AC201" s="251">
        <f t="shared" si="306"/>
        <v>0</v>
      </c>
      <c r="AD201" s="446">
        <f t="shared" si="307"/>
        <v>0</v>
      </c>
      <c r="AU201" s="260"/>
      <c r="AZ201" s="252"/>
    </row>
    <row r="202" spans="2:52" ht="15" customHeight="1">
      <c r="B202" s="233" t="str">
        <f t="shared" ref="B202:G202" si="324">B122</f>
        <v>RHTRMELCHE1</v>
      </c>
      <c r="C202" s="233" t="str">
        <f t="shared" si="324"/>
        <v>Residential Heating Technology Rural Multi - Electricity Heating - Existing 1</v>
      </c>
      <c r="D202" s="233" t="str">
        <f t="shared" si="324"/>
        <v>Rural</v>
      </c>
      <c r="E202" s="233" t="str">
        <f t="shared" si="324"/>
        <v>Multi storey</v>
      </c>
      <c r="F202" s="233" t="str">
        <f t="shared" si="324"/>
        <v>RESELCH</v>
      </c>
      <c r="G202" s="233" t="str">
        <f t="shared" si="324"/>
        <v>RESHRMB</v>
      </c>
      <c r="H202" s="574">
        <f t="shared" si="282"/>
        <v>2048</v>
      </c>
      <c r="I202" s="250">
        <v>0</v>
      </c>
      <c r="J202" s="250">
        <v>0</v>
      </c>
      <c r="K202" s="250">
        <v>0</v>
      </c>
      <c r="L202" s="462">
        <v>1</v>
      </c>
      <c r="M202" s="462">
        <v>1</v>
      </c>
      <c r="N202" s="462">
        <v>1</v>
      </c>
      <c r="O202" s="244">
        <f t="shared" si="310"/>
        <v>3.1536000000000002E-2</v>
      </c>
      <c r="P202" s="460">
        <v>0.2</v>
      </c>
      <c r="Q202" s="245">
        <v>30</v>
      </c>
      <c r="R202" s="227">
        <v>2</v>
      </c>
      <c r="T202" s="268">
        <f t="shared" si="293"/>
        <v>0</v>
      </c>
      <c r="U202" s="268"/>
      <c r="V202" s="602" t="str">
        <f>'Data manipulation'!$B$33</f>
        <v>Electricity</v>
      </c>
      <c r="W202" s="254" t="s">
        <v>189</v>
      </c>
      <c r="X202" s="246">
        <v>2019</v>
      </c>
      <c r="Y202" s="434">
        <f>_xlfn.IFNA(INDEX('Data manipulation'!$C$23:$O$39,MATCH($V202,'Data manipulation'!$B$23:$B$39,0),MATCH($X202,'Data manipulation'!$C$22:$O$22,0))/1000,0)*SUMIFS('Regional split'!$F$4:$F$6,'Regional split'!$B$4:$B$6,Y$3)*SUMIFS('Data manipulation'!$V$39:$V$42,'Data manipulation'!$X$39:$X$42,$E202,'Data manipulation'!$Y$39:$Y$42,$D202)</f>
        <v>0.38100213199999999</v>
      </c>
      <c r="Z202" s="434">
        <f>_xlfn.IFNA(INDEX('Data manipulation'!$C$23:$O$39,MATCH($V202,'Data manipulation'!$B$23:$B$39,0),MATCH($X202,'Data manipulation'!$C$22:$O$22,0))/1000,0)*SUMIFS('Regional split'!$F$4:$F$6,'Regional split'!$B$4:$B$6,Z$3)*SUMIFS('Data manipulation'!$V$39:$V$42,'Data manipulation'!$X$39:$X$42,$E202,'Data manipulation'!$Y$39:$Y$42,$D202)</f>
        <v>0</v>
      </c>
      <c r="AA202" s="434">
        <f>_xlfn.IFNA(INDEX('Data manipulation'!$C$23:$O$39,MATCH($V202,'Data manipulation'!$B$23:$B$39,0),MATCH($X202,'Data manipulation'!$C$22:$O$22,0))/1000,0)*SUMIFS('Regional split'!$F$4:$F$6,'Regional split'!$B$4:$B$6,AA$3)*SUMIFS('Data manipulation'!$V$39:$V$42,'Data manipulation'!$X$39:$X$42,$E202,'Data manipulation'!$Y$39:$Y$42,$D202)</f>
        <v>0</v>
      </c>
      <c r="AB202" s="445">
        <f t="shared" si="305"/>
        <v>0.38100213199999999</v>
      </c>
      <c r="AC202" s="251">
        <f t="shared" si="306"/>
        <v>0</v>
      </c>
      <c r="AD202" s="446">
        <f t="shared" si="307"/>
        <v>0</v>
      </c>
      <c r="AU202" s="260"/>
      <c r="AZ202" s="252"/>
    </row>
    <row r="203" spans="2:52" ht="15" customHeight="1">
      <c r="B203" s="233" t="str">
        <f t="shared" ref="B203:G203" si="325">B123</f>
        <v>RHTRMELCHE2</v>
      </c>
      <c r="C203" s="233" t="str">
        <f t="shared" si="325"/>
        <v>Residential Heating Technology Rural Multi - Electricity Heating - Existing 2</v>
      </c>
      <c r="D203" s="233" t="str">
        <f t="shared" si="325"/>
        <v>Rural</v>
      </c>
      <c r="E203" s="233" t="str">
        <f t="shared" si="325"/>
        <v>Multi storey</v>
      </c>
      <c r="F203" s="233" t="str">
        <f t="shared" si="325"/>
        <v>RESELCH</v>
      </c>
      <c r="G203" s="233" t="str">
        <f t="shared" si="325"/>
        <v>RESHRMB</v>
      </c>
      <c r="H203" s="574">
        <f t="shared" si="282"/>
        <v>2048</v>
      </c>
      <c r="I203" s="250">
        <v>0</v>
      </c>
      <c r="J203" s="250">
        <v>0</v>
      </c>
      <c r="K203" s="250">
        <v>0</v>
      </c>
      <c r="L203" s="462">
        <v>2.3149999999999999</v>
      </c>
      <c r="M203" s="462">
        <v>2.3149999999999999</v>
      </c>
      <c r="N203" s="462">
        <v>2.3149999999999999</v>
      </c>
      <c r="O203" s="244">
        <f t="shared" si="310"/>
        <v>3.1536000000000002E-2</v>
      </c>
      <c r="P203" s="460">
        <v>0.2</v>
      </c>
      <c r="Q203" s="245">
        <v>30</v>
      </c>
      <c r="R203" s="227">
        <v>2</v>
      </c>
      <c r="T203" s="268">
        <f t="shared" si="293"/>
        <v>0</v>
      </c>
      <c r="U203" s="268"/>
      <c r="V203" s="602" t="str">
        <f>'Data manipulation'!$B$30</f>
        <v>Ambient heat (heat pumps)</v>
      </c>
      <c r="W203" s="254" t="s">
        <v>190</v>
      </c>
      <c r="X203" s="246">
        <v>2019</v>
      </c>
      <c r="Y203" s="434">
        <f>_xlfn.IFNA(INDEX('Data manipulation'!$C$23:$O$39,MATCH($V203,'Data manipulation'!$B$23:$B$39,0),MATCH($X203,'Data manipulation'!$C$22:$O$22,0))/1000,0)*SUMIFS('Regional split'!$F$4:$F$6,'Regional split'!$B$4:$B$6,Y$3)*SUMIFS('Data manipulation'!$V$39:$V$42,'Data manipulation'!$X$39:$X$42,$E203,'Data manipulation'!$Y$39:$Y$42,$D203)</f>
        <v>0.61298509999999995</v>
      </c>
      <c r="Z203" s="434">
        <f>_xlfn.IFNA(INDEX('Data manipulation'!$C$23:$O$39,MATCH($V203,'Data manipulation'!$B$23:$B$39,0),MATCH($X203,'Data manipulation'!$C$22:$O$22,0))/1000,0)*SUMIFS('Regional split'!$F$4:$F$6,'Regional split'!$B$4:$B$6,Z$3)*SUMIFS('Data manipulation'!$V$39:$V$42,'Data manipulation'!$X$39:$X$42,$E203,'Data manipulation'!$Y$39:$Y$42,$D203)</f>
        <v>0</v>
      </c>
      <c r="AA203" s="434">
        <f>_xlfn.IFNA(INDEX('Data manipulation'!$C$23:$O$39,MATCH($V203,'Data manipulation'!$B$23:$B$39,0),MATCH($X203,'Data manipulation'!$C$22:$O$22,0))/1000,0)*SUMIFS('Regional split'!$F$4:$F$6,'Regional split'!$B$4:$B$6,AA$3)*SUMIFS('Data manipulation'!$V$39:$V$42,'Data manipulation'!$X$39:$X$42,$E203,'Data manipulation'!$Y$39:$Y$42,$D203)</f>
        <v>0</v>
      </c>
      <c r="AB203" s="445">
        <f t="shared" si="305"/>
        <v>1.4190605064999999</v>
      </c>
      <c r="AC203" s="251">
        <f t="shared" si="306"/>
        <v>0</v>
      </c>
      <c r="AD203" s="446">
        <f t="shared" si="307"/>
        <v>0</v>
      </c>
      <c r="AU203" s="260"/>
      <c r="AZ203" s="252"/>
    </row>
    <row r="204" spans="2:52" ht="15" customHeight="1">
      <c r="B204" s="233" t="str">
        <f t="shared" ref="B204:G204" si="326">B124</f>
        <v>RHTRMHCEE1</v>
      </c>
      <c r="C204" s="233" t="str">
        <f t="shared" si="326"/>
        <v>Residential Heating Technology Rural Multi - District heating Central - Existing 1</v>
      </c>
      <c r="D204" s="233" t="str">
        <f t="shared" si="326"/>
        <v>Rural</v>
      </c>
      <c r="E204" s="233" t="str">
        <f t="shared" si="326"/>
        <v>Multi storey</v>
      </c>
      <c r="F204" s="233" t="str">
        <f t="shared" si="326"/>
        <v>RESHDE</v>
      </c>
      <c r="G204" s="233" t="str">
        <f t="shared" si="326"/>
        <v>RESHRMX</v>
      </c>
      <c r="H204" s="576">
        <f t="shared" si="282"/>
        <v>2048</v>
      </c>
      <c r="I204" s="572">
        <v>0</v>
      </c>
      <c r="J204" s="572">
        <v>0</v>
      </c>
      <c r="K204" s="572">
        <v>0</v>
      </c>
      <c r="L204" s="462">
        <v>0.98</v>
      </c>
      <c r="M204" s="462">
        <v>0.98</v>
      </c>
      <c r="N204" s="462">
        <v>0.98</v>
      </c>
      <c r="O204" s="244">
        <f t="shared" si="310"/>
        <v>3.1536000000000002E-2</v>
      </c>
      <c r="P204" s="460">
        <v>0.2</v>
      </c>
      <c r="Q204" s="245">
        <v>30</v>
      </c>
      <c r="R204" s="227">
        <v>2</v>
      </c>
      <c r="T204" s="268">
        <f t="shared" si="293"/>
        <v>0</v>
      </c>
      <c r="U204" s="268"/>
      <c r="V204" s="602" t="str">
        <f>'Data manipulation'!$B$34</f>
        <v>Heat</v>
      </c>
      <c r="W204" s="254" t="s">
        <v>191</v>
      </c>
      <c r="X204" s="246">
        <v>2019</v>
      </c>
      <c r="Y204" s="434">
        <f>_xlfn.IFNA(INDEX('Data manipulation'!$C$23:$O$39,MATCH($V204,'Data manipulation'!$B$23:$B$39,0),MATCH($X204,'Data manipulation'!$C$22:$O$22,0))/1000,0)*SUMIFS('Regional split'!$F$4:$F$6,'Regional split'!$B$4:$B$6,Y$3)*SUMIFS('Data manipulation'!$V$39:$V$42,'Data manipulation'!$X$39:$X$42,$E204,'Data manipulation'!$Y$39:$Y$42,$D204)</f>
        <v>1.9501080479999999</v>
      </c>
      <c r="Z204" s="434">
        <f>_xlfn.IFNA(INDEX('Data manipulation'!$C$23:$O$39,MATCH($V204,'Data manipulation'!$B$23:$B$39,0),MATCH($X204,'Data manipulation'!$C$22:$O$22,0))/1000,0)*SUMIFS('Regional split'!$F$4:$F$6,'Regional split'!$B$4:$B$6,Z$3)*SUMIFS('Data manipulation'!$V$39:$V$42,'Data manipulation'!$X$39:$X$42,$E204,'Data manipulation'!$Y$39:$Y$42,$D204)</f>
        <v>0</v>
      </c>
      <c r="AA204" s="434">
        <f>_xlfn.IFNA(INDEX('Data manipulation'!$C$23:$O$39,MATCH($V204,'Data manipulation'!$B$23:$B$39,0),MATCH($X204,'Data manipulation'!$C$22:$O$22,0))/1000,0)*SUMIFS('Regional split'!$F$4:$F$6,'Regional split'!$B$4:$B$6,AA$3)*SUMIFS('Data manipulation'!$V$39:$V$42,'Data manipulation'!$X$39:$X$42,$E204,'Data manipulation'!$Y$39:$Y$42,$D204)</f>
        <v>0</v>
      </c>
      <c r="AB204" s="445">
        <f t="shared" si="305"/>
        <v>1.91110588704</v>
      </c>
      <c r="AC204" s="251">
        <f t="shared" si="306"/>
        <v>0</v>
      </c>
      <c r="AD204" s="446">
        <f t="shared" si="307"/>
        <v>0</v>
      </c>
      <c r="AU204" s="260"/>
      <c r="AZ204" s="252"/>
    </row>
    <row r="205" spans="2:52" ht="15" customHeight="1" thickBot="1">
      <c r="B205" s="233" t="str">
        <f t="shared" ref="B205:G205" si="327">B125</f>
        <v>RHTRMLPGE1</v>
      </c>
      <c r="C205" s="233" t="str">
        <f t="shared" si="327"/>
        <v>Residential Heating Technology Rural Multi - LPG - Existing 1</v>
      </c>
      <c r="D205" s="233" t="str">
        <f t="shared" si="327"/>
        <v>Rural</v>
      </c>
      <c r="E205" s="233" t="str">
        <f t="shared" si="327"/>
        <v>Multi storey</v>
      </c>
      <c r="F205" s="233" t="str">
        <f t="shared" si="327"/>
        <v>RESLPG</v>
      </c>
      <c r="G205" s="233" t="str">
        <f t="shared" si="327"/>
        <v>RESHRMB</v>
      </c>
      <c r="H205" s="576">
        <f t="shared" si="282"/>
        <v>2048</v>
      </c>
      <c r="I205" s="250">
        <v>0</v>
      </c>
      <c r="J205" s="250">
        <v>0</v>
      </c>
      <c r="K205" s="250">
        <v>0</v>
      </c>
      <c r="L205" s="462">
        <v>0.98</v>
      </c>
      <c r="M205" s="462">
        <v>0.98</v>
      </c>
      <c r="N205" s="462">
        <v>0.98</v>
      </c>
      <c r="O205" s="244">
        <f t="shared" si="310"/>
        <v>3.1536000000000002E-2</v>
      </c>
      <c r="P205" s="460">
        <v>0.2</v>
      </c>
      <c r="Q205" s="245">
        <v>30</v>
      </c>
      <c r="R205" s="227">
        <v>2</v>
      </c>
      <c r="T205" s="268">
        <f t="shared" si="293"/>
        <v>0</v>
      </c>
      <c r="U205" s="268"/>
      <c r="V205" s="602" t="s">
        <v>790</v>
      </c>
      <c r="W205" s="428" t="s">
        <v>790</v>
      </c>
      <c r="X205" s="246">
        <v>2019</v>
      </c>
      <c r="Y205" s="434">
        <f>_xlfn.IFNA(INDEX('Data manipulation'!$C$23:$O$39,MATCH($V205,'Data manipulation'!$B$23:$B$39,0),MATCH($X205,'Data manipulation'!$C$22:$O$22,0))/1000,0)*SUMIFS('Regional split'!$F$4:$F$6,'Regional split'!$B$4:$B$6,Y$3)*SUMIFS('Data manipulation'!$V$39:$V$42,'Data manipulation'!$X$39:$X$42,$E205,'Data manipulation'!$Y$39:$Y$42,$D205)</f>
        <v>0</v>
      </c>
      <c r="Z205" s="434">
        <f>_xlfn.IFNA(INDEX('Data manipulation'!$C$23:$O$39,MATCH($V205,'Data manipulation'!$B$23:$B$39,0),MATCH($X205,'Data manipulation'!$C$22:$O$22,0))/1000,0)*SUMIFS('Regional split'!$F$4:$F$6,'Regional split'!$B$4:$B$6,Z$3)*SUMIFS('Data manipulation'!$V$39:$V$42,'Data manipulation'!$X$39:$X$42,$E205,'Data manipulation'!$Y$39:$Y$42,$D205)</f>
        <v>0</v>
      </c>
      <c r="AA205" s="434">
        <f>_xlfn.IFNA(INDEX('Data manipulation'!$C$23:$O$39,MATCH($V205,'Data manipulation'!$B$23:$B$39,0),MATCH($X205,'Data manipulation'!$C$22:$O$22,0))/1000,0)*SUMIFS('Regional split'!$F$4:$F$6,'Regional split'!$B$4:$B$6,AA$3)*SUMIFS('Data manipulation'!$V$39:$V$42,'Data manipulation'!$X$39:$X$42,$E205,'Data manipulation'!$Y$39:$Y$42,$D205)</f>
        <v>0</v>
      </c>
      <c r="AB205" s="447">
        <f t="shared" si="305"/>
        <v>0</v>
      </c>
      <c r="AC205" s="433">
        <f t="shared" si="306"/>
        <v>0</v>
      </c>
      <c r="AD205" s="454">
        <f t="shared" si="307"/>
        <v>0</v>
      </c>
      <c r="AU205" s="260"/>
      <c r="AZ205" s="252"/>
    </row>
    <row r="206" spans="2:52">
      <c r="B206" s="241"/>
      <c r="C206" s="269"/>
      <c r="D206" s="269"/>
      <c r="E206" s="269"/>
      <c r="F206" s="269"/>
      <c r="G206" s="269"/>
      <c r="H206" s="269"/>
      <c r="I206" s="269"/>
      <c r="J206" s="269"/>
      <c r="K206" s="269"/>
      <c r="L206" s="269"/>
      <c r="M206" s="269"/>
      <c r="N206" s="269"/>
      <c r="O206" s="269"/>
      <c r="P206" s="269"/>
      <c r="Q206" s="269"/>
      <c r="R206" s="269"/>
      <c r="S206" s="269"/>
      <c r="T206" s="269"/>
      <c r="U206" s="269"/>
      <c r="V206" s="269"/>
      <c r="W206" s="269"/>
      <c r="X206" s="269"/>
      <c r="Y206" s="269"/>
      <c r="Z206" s="269"/>
      <c r="AA206" s="269"/>
      <c r="AB206" s="269"/>
      <c r="AC206" s="269"/>
      <c r="AD206" s="269"/>
      <c r="AE206" s="269"/>
      <c r="AF206" s="269"/>
      <c r="AG206" s="269"/>
      <c r="AH206" s="269"/>
      <c r="AI206" s="269"/>
      <c r="AJ206" s="269"/>
      <c r="AK206" s="269"/>
      <c r="AL206" s="269"/>
      <c r="AM206" s="269"/>
      <c r="AN206" s="269"/>
      <c r="AO206" s="269"/>
      <c r="AP206" s="269"/>
    </row>
    <row r="207" spans="2:52">
      <c r="B207" s="241"/>
      <c r="C207" s="269"/>
      <c r="D207" s="269"/>
      <c r="E207" s="269"/>
      <c r="F207" s="269"/>
      <c r="G207" s="269"/>
      <c r="H207" s="269"/>
      <c r="I207" s="269"/>
      <c r="J207" s="269"/>
      <c r="K207" s="269"/>
      <c r="L207" s="269"/>
      <c r="M207" s="269"/>
      <c r="N207" s="269"/>
      <c r="O207" s="269"/>
      <c r="P207" s="269"/>
      <c r="Q207" s="269"/>
      <c r="R207" s="269"/>
      <c r="S207" s="269"/>
      <c r="T207" s="269"/>
      <c r="U207" s="269"/>
      <c r="V207" s="269"/>
      <c r="W207" s="269"/>
      <c r="X207" s="269"/>
      <c r="Y207" s="269"/>
      <c r="Z207" s="269"/>
      <c r="AA207" s="269"/>
      <c r="AB207" s="269"/>
      <c r="AC207" s="269"/>
      <c r="AD207" s="269"/>
      <c r="AE207" s="269"/>
      <c r="AF207" s="269"/>
      <c r="AG207" s="269"/>
      <c r="AH207" s="269"/>
      <c r="AI207" s="269"/>
      <c r="AJ207" s="269"/>
      <c r="AK207" s="269"/>
      <c r="AL207" s="269"/>
      <c r="AM207" s="269"/>
      <c r="AN207" s="269"/>
      <c r="AO207" s="269"/>
      <c r="AP207" s="269"/>
    </row>
    <row r="208" spans="2:52">
      <c r="B208" s="241"/>
      <c r="C208" s="269"/>
      <c r="D208" s="269"/>
      <c r="E208" s="269"/>
      <c r="F208" s="269"/>
      <c r="G208" s="269"/>
      <c r="H208" s="269"/>
      <c r="I208" s="269"/>
      <c r="J208" s="269"/>
      <c r="K208" s="269"/>
      <c r="L208" s="269"/>
      <c r="M208" s="269"/>
      <c r="N208" s="269"/>
      <c r="O208" s="269"/>
      <c r="P208" s="269"/>
      <c r="Q208" s="269"/>
      <c r="R208" s="269"/>
      <c r="S208" s="269"/>
      <c r="T208" s="269"/>
      <c r="U208" s="269"/>
      <c r="V208" s="269"/>
      <c r="W208" s="269"/>
      <c r="X208" s="269"/>
      <c r="Y208" s="269"/>
      <c r="Z208" s="269"/>
      <c r="AA208" s="269"/>
      <c r="AB208" s="269"/>
      <c r="AC208" s="269"/>
      <c r="AD208" s="269"/>
      <c r="AE208" s="269"/>
      <c r="AF208" s="269"/>
      <c r="AG208" s="269"/>
      <c r="AH208" s="269"/>
      <c r="AI208" s="269"/>
      <c r="AJ208" s="269"/>
      <c r="AK208" s="269"/>
      <c r="AL208" s="269"/>
      <c r="AM208" s="269"/>
      <c r="AN208" s="269"/>
      <c r="AO208" s="269"/>
      <c r="AP208" s="269"/>
    </row>
    <row r="209" spans="2:42">
      <c r="B209" s="241"/>
      <c r="C209" s="269"/>
      <c r="D209" s="269"/>
      <c r="E209" s="269"/>
      <c r="F209" s="269"/>
      <c r="G209" s="269"/>
      <c r="H209" s="269"/>
      <c r="I209" s="269"/>
      <c r="J209" s="269"/>
      <c r="K209" s="269"/>
      <c r="L209" s="269"/>
      <c r="M209" s="269"/>
      <c r="N209" s="269"/>
      <c r="O209" s="269"/>
      <c r="P209" s="269"/>
      <c r="Q209" s="269"/>
      <c r="R209" s="269"/>
      <c r="S209" s="269"/>
      <c r="T209" s="269"/>
      <c r="U209" s="269"/>
      <c r="V209" s="269"/>
      <c r="W209" s="269"/>
      <c r="X209" s="269"/>
      <c r="Y209" s="269"/>
      <c r="Z209" s="269"/>
      <c r="AA209" s="269"/>
      <c r="AB209" s="269"/>
      <c r="AC209" s="269"/>
      <c r="AD209" s="269"/>
      <c r="AE209" s="269"/>
      <c r="AF209" s="269"/>
      <c r="AG209" s="269"/>
      <c r="AH209" s="269"/>
      <c r="AI209" s="269"/>
      <c r="AJ209" s="269"/>
      <c r="AK209" s="269"/>
      <c r="AL209" s="269"/>
      <c r="AM209" s="269"/>
      <c r="AN209" s="269"/>
      <c r="AO209" s="269"/>
      <c r="AP209" s="269"/>
    </row>
    <row r="210" spans="2:42">
      <c r="B210" s="241"/>
      <c r="C210" s="269"/>
      <c r="D210" s="269"/>
      <c r="E210" s="269"/>
      <c r="F210" s="269"/>
      <c r="G210" s="269"/>
      <c r="H210" s="269"/>
      <c r="I210" s="269"/>
      <c r="J210" s="269"/>
      <c r="K210" s="269"/>
      <c r="L210" s="269"/>
      <c r="M210" s="269"/>
      <c r="N210" s="269"/>
      <c r="O210" s="269"/>
      <c r="P210" s="269"/>
      <c r="Q210" s="269"/>
      <c r="R210" s="269"/>
      <c r="S210" s="269"/>
      <c r="T210" s="269"/>
      <c r="U210" s="269"/>
      <c r="V210" s="269"/>
      <c r="W210" s="269"/>
      <c r="X210" s="269"/>
      <c r="Y210" s="269"/>
      <c r="Z210" s="269"/>
      <c r="AA210" s="269"/>
      <c r="AB210" s="269"/>
      <c r="AC210" s="269"/>
      <c r="AD210" s="269"/>
      <c r="AE210" s="269"/>
      <c r="AF210" s="269"/>
      <c r="AG210" s="269"/>
      <c r="AH210" s="269"/>
      <c r="AI210" s="269"/>
      <c r="AJ210" s="269"/>
      <c r="AK210" s="269"/>
      <c r="AL210" s="269"/>
      <c r="AM210" s="269"/>
      <c r="AN210" s="269"/>
      <c r="AO210" s="269"/>
      <c r="AP210" s="269"/>
    </row>
    <row r="211" spans="2:42">
      <c r="B211" s="241"/>
      <c r="C211" s="269"/>
      <c r="D211" s="269"/>
      <c r="E211" s="269"/>
      <c r="F211" s="269"/>
      <c r="G211" s="269"/>
      <c r="H211" s="269"/>
      <c r="I211" s="269"/>
      <c r="J211" s="269"/>
      <c r="K211" s="269"/>
      <c r="L211" s="269"/>
      <c r="M211" s="269"/>
      <c r="N211" s="269"/>
      <c r="O211" s="269"/>
      <c r="P211" s="269"/>
      <c r="Q211" s="269"/>
      <c r="R211" s="269"/>
      <c r="S211" s="269"/>
      <c r="T211" s="269"/>
      <c r="U211" s="269"/>
      <c r="V211" s="269"/>
      <c r="W211" s="269"/>
      <c r="X211" s="269"/>
      <c r="Y211" s="269"/>
      <c r="Z211" s="269"/>
      <c r="AA211" s="269"/>
      <c r="AB211" s="269"/>
      <c r="AC211" s="269"/>
      <c r="AD211" s="269"/>
      <c r="AE211" s="269"/>
      <c r="AF211" s="269"/>
      <c r="AG211" s="269"/>
      <c r="AH211" s="269"/>
      <c r="AI211" s="269"/>
      <c r="AJ211" s="269"/>
      <c r="AK211" s="269"/>
      <c r="AL211" s="269"/>
      <c r="AM211" s="269"/>
      <c r="AN211" s="269"/>
      <c r="AO211" s="269"/>
      <c r="AP211" s="269"/>
    </row>
    <row r="212" spans="2:42">
      <c r="B212" s="241"/>
      <c r="C212" s="269"/>
      <c r="D212" s="269"/>
      <c r="E212" s="269"/>
      <c r="F212" s="269"/>
      <c r="G212" s="269"/>
      <c r="H212" s="269"/>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c r="AE212" s="269"/>
      <c r="AF212" s="269"/>
      <c r="AG212" s="269"/>
      <c r="AH212" s="269"/>
      <c r="AI212" s="269"/>
      <c r="AJ212" s="269"/>
      <c r="AK212" s="269"/>
      <c r="AL212" s="269"/>
      <c r="AM212" s="269"/>
      <c r="AN212" s="269"/>
      <c r="AO212" s="269"/>
      <c r="AP212" s="269"/>
    </row>
    <row r="213" spans="2:42">
      <c r="B213" s="241"/>
      <c r="C213" s="269"/>
      <c r="D213" s="269"/>
      <c r="E213" s="269"/>
      <c r="F213" s="269"/>
      <c r="G213" s="269"/>
      <c r="H213" s="269"/>
      <c r="I213" s="269"/>
      <c r="J213" s="269"/>
      <c r="K213" s="269"/>
      <c r="L213" s="269"/>
      <c r="M213" s="269"/>
      <c r="N213" s="269"/>
      <c r="O213" s="269"/>
      <c r="P213" s="269"/>
      <c r="Q213" s="269"/>
      <c r="R213" s="269"/>
      <c r="S213" s="269"/>
      <c r="T213" s="269"/>
      <c r="U213" s="269"/>
      <c r="V213" s="269"/>
      <c r="W213" s="269"/>
      <c r="X213" s="269"/>
      <c r="Y213" s="269"/>
      <c r="Z213" s="269"/>
      <c r="AA213" s="269"/>
      <c r="AB213" s="269"/>
      <c r="AC213" s="269"/>
      <c r="AD213" s="269"/>
      <c r="AE213" s="269"/>
      <c r="AF213" s="269"/>
      <c r="AG213" s="269"/>
      <c r="AH213" s="269"/>
      <c r="AI213" s="269"/>
      <c r="AJ213" s="269"/>
      <c r="AK213" s="269"/>
      <c r="AL213" s="269"/>
      <c r="AM213" s="269"/>
      <c r="AN213" s="269"/>
      <c r="AO213" s="269"/>
      <c r="AP213" s="269"/>
    </row>
    <row r="214" spans="2:42">
      <c r="B214" s="241"/>
      <c r="C214" s="269"/>
      <c r="D214" s="269"/>
      <c r="E214" s="269"/>
      <c r="F214" s="269"/>
      <c r="G214" s="269"/>
      <c r="H214" s="269"/>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c r="AE214" s="269"/>
      <c r="AF214" s="269"/>
      <c r="AG214" s="269"/>
      <c r="AH214" s="269"/>
      <c r="AI214" s="269"/>
      <c r="AJ214" s="269"/>
      <c r="AK214" s="269"/>
      <c r="AL214" s="269"/>
      <c r="AM214" s="269"/>
      <c r="AN214" s="269"/>
      <c r="AO214" s="269"/>
      <c r="AP214" s="269"/>
    </row>
    <row r="215" spans="2:42">
      <c r="B215" s="241"/>
      <c r="C215" s="269"/>
      <c r="D215" s="269"/>
      <c r="E215" s="269"/>
      <c r="F215" s="269"/>
      <c r="G215" s="269"/>
      <c r="H215" s="269"/>
      <c r="I215" s="269"/>
      <c r="J215" s="269"/>
      <c r="K215" s="269"/>
      <c r="L215" s="269"/>
      <c r="M215" s="269"/>
      <c r="N215" s="269"/>
      <c r="O215" s="269"/>
      <c r="P215" s="269"/>
      <c r="Q215" s="269"/>
      <c r="R215" s="269"/>
      <c r="S215" s="269"/>
      <c r="T215" s="269"/>
      <c r="U215" s="269"/>
      <c r="V215" s="269"/>
      <c r="W215" s="269"/>
      <c r="X215" s="269"/>
      <c r="Y215" s="269"/>
      <c r="Z215" s="269"/>
      <c r="AA215" s="269"/>
      <c r="AB215" s="269"/>
      <c r="AC215" s="269"/>
      <c r="AD215" s="269"/>
      <c r="AE215" s="269"/>
      <c r="AF215" s="269"/>
      <c r="AG215" s="269"/>
      <c r="AH215" s="269"/>
      <c r="AI215" s="269"/>
      <c r="AJ215" s="269"/>
      <c r="AK215" s="269"/>
      <c r="AL215" s="269"/>
      <c r="AM215" s="269"/>
      <c r="AN215" s="269"/>
      <c r="AO215" s="269"/>
      <c r="AP215" s="269"/>
    </row>
    <row r="216" spans="2:42">
      <c r="B216" s="241"/>
      <c r="C216" s="269"/>
      <c r="D216" s="269"/>
      <c r="E216" s="269"/>
      <c r="F216" s="269"/>
      <c r="G216" s="269"/>
      <c r="H216" s="269"/>
      <c r="I216" s="269"/>
      <c r="J216" s="269"/>
      <c r="K216" s="269"/>
      <c r="L216" s="269"/>
      <c r="M216" s="269"/>
      <c r="N216" s="269"/>
      <c r="O216" s="269"/>
      <c r="P216" s="269"/>
      <c r="Q216" s="269"/>
      <c r="R216" s="269"/>
      <c r="S216" s="269"/>
      <c r="T216" s="269"/>
      <c r="U216" s="269"/>
      <c r="V216" s="269"/>
      <c r="W216" s="269"/>
      <c r="X216" s="269"/>
      <c r="Y216" s="269"/>
      <c r="Z216" s="269"/>
      <c r="AA216" s="269"/>
      <c r="AB216" s="269"/>
      <c r="AC216" s="269"/>
      <c r="AD216" s="269"/>
      <c r="AE216" s="269"/>
      <c r="AF216" s="269"/>
      <c r="AG216" s="269"/>
      <c r="AH216" s="269"/>
      <c r="AI216" s="269"/>
      <c r="AJ216" s="269"/>
      <c r="AK216" s="269"/>
      <c r="AL216" s="269"/>
      <c r="AM216" s="269"/>
      <c r="AN216" s="269"/>
      <c r="AO216" s="269"/>
      <c r="AP216" s="269"/>
    </row>
    <row r="217" spans="2:42">
      <c r="B217" s="241"/>
      <c r="C217" s="269"/>
      <c r="D217" s="269"/>
      <c r="E217" s="269"/>
      <c r="F217" s="269"/>
      <c r="G217" s="269"/>
      <c r="H217" s="269"/>
      <c r="I217" s="269"/>
      <c r="J217" s="269"/>
      <c r="K217" s="269"/>
      <c r="L217" s="269"/>
      <c r="M217" s="269"/>
      <c r="N217" s="269"/>
      <c r="O217" s="269"/>
      <c r="P217" s="269"/>
      <c r="Q217" s="269"/>
      <c r="R217" s="269"/>
      <c r="S217" s="269"/>
      <c r="T217" s="269"/>
      <c r="U217" s="269"/>
      <c r="V217" s="269"/>
      <c r="W217" s="269"/>
      <c r="X217" s="269"/>
      <c r="Y217" s="269"/>
      <c r="Z217" s="269"/>
      <c r="AA217" s="269"/>
      <c r="AB217" s="269"/>
      <c r="AC217" s="269"/>
      <c r="AD217" s="269"/>
      <c r="AE217" s="269"/>
      <c r="AF217" s="269"/>
      <c r="AG217" s="269"/>
      <c r="AH217" s="269"/>
      <c r="AI217" s="269"/>
      <c r="AJ217" s="269"/>
      <c r="AK217" s="269"/>
      <c r="AL217" s="269"/>
      <c r="AM217" s="269"/>
      <c r="AN217" s="269"/>
      <c r="AO217" s="269"/>
      <c r="AP217" s="269"/>
    </row>
    <row r="218" spans="2:42">
      <c r="B218" s="241"/>
      <c r="C218" s="269"/>
      <c r="D218" s="269"/>
      <c r="E218" s="269"/>
      <c r="F218" s="269"/>
      <c r="G218" s="269"/>
      <c r="H218" s="269"/>
      <c r="I218" s="269"/>
      <c r="J218" s="269"/>
      <c r="K218" s="269"/>
      <c r="L218" s="269"/>
      <c r="M218" s="269"/>
      <c r="N218" s="269"/>
      <c r="O218" s="269"/>
      <c r="P218" s="269"/>
      <c r="Q218" s="269"/>
      <c r="R218" s="269"/>
      <c r="S218" s="269"/>
      <c r="T218" s="269"/>
      <c r="U218" s="269"/>
      <c r="V218" s="269"/>
      <c r="W218" s="269"/>
      <c r="X218" s="269"/>
      <c r="Y218" s="269"/>
      <c r="Z218" s="269"/>
      <c r="AA218" s="269"/>
      <c r="AB218" s="269"/>
      <c r="AC218" s="269"/>
      <c r="AD218" s="269"/>
      <c r="AE218" s="269"/>
      <c r="AF218" s="269"/>
      <c r="AG218" s="269"/>
      <c r="AH218" s="269"/>
      <c r="AI218" s="269"/>
      <c r="AJ218" s="269"/>
      <c r="AK218" s="269"/>
      <c r="AL218" s="269"/>
      <c r="AM218" s="269"/>
      <c r="AN218" s="269"/>
      <c r="AO218" s="269"/>
      <c r="AP218" s="269"/>
    </row>
    <row r="219" spans="2:42">
      <c r="B219" s="241"/>
      <c r="C219" s="269"/>
      <c r="D219" s="269"/>
      <c r="E219" s="269"/>
      <c r="F219" s="269"/>
      <c r="G219" s="269"/>
      <c r="H219" s="269"/>
      <c r="I219" s="269"/>
      <c r="J219" s="269"/>
      <c r="K219" s="269"/>
      <c r="L219" s="269"/>
      <c r="M219" s="269"/>
      <c r="N219" s="269"/>
      <c r="O219" s="269"/>
      <c r="P219" s="269"/>
      <c r="Q219" s="269"/>
      <c r="R219" s="269"/>
      <c r="S219" s="269"/>
      <c r="T219" s="269"/>
      <c r="U219" s="269"/>
      <c r="V219" s="269"/>
      <c r="W219" s="269"/>
      <c r="X219" s="269"/>
      <c r="Y219" s="269"/>
      <c r="Z219" s="269"/>
      <c r="AA219" s="269"/>
      <c r="AB219" s="269"/>
      <c r="AC219" s="269"/>
      <c r="AD219" s="269"/>
      <c r="AE219" s="269"/>
      <c r="AF219" s="269"/>
      <c r="AG219" s="269"/>
      <c r="AH219" s="269"/>
      <c r="AI219" s="269"/>
      <c r="AJ219" s="269"/>
      <c r="AK219" s="269"/>
      <c r="AL219" s="269"/>
      <c r="AM219" s="269"/>
      <c r="AN219" s="269"/>
      <c r="AO219" s="269"/>
      <c r="AP219" s="269"/>
    </row>
    <row r="220" spans="2:42">
      <c r="B220" s="241"/>
      <c r="C220" s="269"/>
      <c r="D220" s="269"/>
      <c r="E220" s="269"/>
      <c r="F220" s="269"/>
      <c r="G220" s="269"/>
      <c r="H220" s="269"/>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c r="AE220" s="269"/>
      <c r="AF220" s="269"/>
      <c r="AG220" s="269"/>
      <c r="AH220" s="269"/>
      <c r="AI220" s="269"/>
      <c r="AJ220" s="269"/>
      <c r="AK220" s="269"/>
      <c r="AL220" s="269"/>
      <c r="AM220" s="269"/>
      <c r="AN220" s="269"/>
      <c r="AO220" s="269"/>
      <c r="AP220" s="269"/>
    </row>
    <row r="221" spans="2:42">
      <c r="B221" s="241"/>
      <c r="C221" s="269"/>
      <c r="D221" s="269"/>
      <c r="E221" s="269"/>
      <c r="F221" s="269"/>
      <c r="G221" s="269"/>
      <c r="H221" s="269"/>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c r="AE221" s="269"/>
      <c r="AF221" s="269"/>
      <c r="AG221" s="269"/>
      <c r="AH221" s="269"/>
      <c r="AI221" s="269"/>
      <c r="AJ221" s="269"/>
      <c r="AK221" s="269"/>
      <c r="AL221" s="269"/>
      <c r="AM221" s="269"/>
      <c r="AN221" s="269"/>
      <c r="AO221" s="269"/>
      <c r="AP221" s="269"/>
    </row>
    <row r="222" spans="2:42">
      <c r="B222" s="241"/>
      <c r="C222" s="269"/>
      <c r="D222" s="269"/>
      <c r="E222" s="269"/>
      <c r="F222" s="269"/>
      <c r="G222" s="269"/>
      <c r="H222" s="269"/>
      <c r="I222" s="269"/>
      <c r="J222" s="269"/>
      <c r="K222" s="269"/>
      <c r="L222" s="269"/>
      <c r="M222" s="269"/>
      <c r="N222" s="269"/>
      <c r="O222" s="269"/>
      <c r="P222" s="269"/>
      <c r="Q222" s="269"/>
      <c r="R222" s="269"/>
      <c r="S222" s="269"/>
      <c r="T222" s="269"/>
      <c r="U222" s="269"/>
      <c r="V222" s="269"/>
      <c r="W222" s="269"/>
      <c r="X222" s="269"/>
      <c r="Y222" s="269"/>
      <c r="Z222" s="269"/>
      <c r="AA222" s="269"/>
      <c r="AB222" s="269"/>
      <c r="AC222" s="269"/>
      <c r="AD222" s="269"/>
      <c r="AE222" s="269"/>
      <c r="AF222" s="269"/>
      <c r="AG222" s="269"/>
      <c r="AH222" s="269"/>
      <c r="AI222" s="269"/>
      <c r="AJ222" s="269"/>
      <c r="AK222" s="269"/>
      <c r="AL222" s="269"/>
      <c r="AM222" s="269"/>
      <c r="AN222" s="269"/>
      <c r="AO222" s="269"/>
      <c r="AP222" s="269"/>
    </row>
    <row r="223" spans="2:42">
      <c r="B223" s="241"/>
      <c r="C223" s="269"/>
      <c r="D223" s="269"/>
      <c r="E223" s="269"/>
      <c r="F223" s="269"/>
      <c r="G223" s="269"/>
      <c r="H223" s="269"/>
      <c r="I223" s="269"/>
      <c r="J223" s="269"/>
      <c r="K223" s="269"/>
      <c r="L223" s="269"/>
      <c r="M223" s="269"/>
      <c r="N223" s="269"/>
      <c r="O223" s="269"/>
      <c r="P223" s="269"/>
      <c r="Q223" s="269"/>
      <c r="R223" s="269"/>
      <c r="S223" s="269"/>
      <c r="T223" s="269"/>
      <c r="U223" s="269"/>
      <c r="V223" s="269"/>
      <c r="W223" s="269"/>
      <c r="X223" s="269"/>
      <c r="Y223" s="269"/>
      <c r="Z223" s="269"/>
      <c r="AA223" s="269"/>
      <c r="AB223" s="269"/>
      <c r="AC223" s="269"/>
      <c r="AD223" s="269"/>
      <c r="AE223" s="269"/>
      <c r="AF223" s="269"/>
      <c r="AG223" s="269"/>
      <c r="AH223" s="269"/>
      <c r="AI223" s="269"/>
      <c r="AJ223" s="269"/>
      <c r="AK223" s="269"/>
      <c r="AL223" s="269"/>
      <c r="AM223" s="269"/>
      <c r="AN223" s="269"/>
      <c r="AO223" s="269"/>
      <c r="AP223" s="269"/>
    </row>
    <row r="224" spans="2:42">
      <c r="B224" s="241"/>
      <c r="C224" s="241"/>
      <c r="D224" s="241"/>
      <c r="E224" s="241"/>
      <c r="F224" s="259"/>
      <c r="G224" s="259"/>
      <c r="H224" s="259"/>
      <c r="I224" s="259"/>
      <c r="J224" s="259"/>
      <c r="K224" s="259"/>
      <c r="L224" s="259"/>
      <c r="M224" s="259"/>
      <c r="N224" s="259"/>
      <c r="O224" s="259"/>
      <c r="P224" s="235"/>
      <c r="Q224" s="235"/>
      <c r="R224" s="235"/>
      <c r="S224" s="235"/>
      <c r="AD224" s="227"/>
      <c r="AE224" s="233"/>
    </row>
    <row r="225" spans="2:31">
      <c r="B225" s="241"/>
      <c r="C225" s="241"/>
      <c r="D225" s="241"/>
      <c r="E225" s="241"/>
      <c r="F225" s="259"/>
      <c r="G225" s="259"/>
      <c r="H225" s="259"/>
      <c r="I225" s="259"/>
      <c r="J225" s="259"/>
      <c r="K225" s="259"/>
      <c r="L225" s="259"/>
      <c r="M225" s="259"/>
      <c r="N225" s="259"/>
      <c r="O225" s="259"/>
      <c r="P225" s="235"/>
      <c r="Q225" s="235"/>
      <c r="R225" s="235"/>
      <c r="S225" s="235"/>
      <c r="AD225" s="227"/>
      <c r="AE225" s="233"/>
    </row>
    <row r="226" spans="2:31">
      <c r="B226" s="241"/>
      <c r="C226" s="241"/>
      <c r="D226" s="241"/>
      <c r="E226" s="241"/>
      <c r="F226" s="259"/>
      <c r="G226" s="259"/>
      <c r="H226" s="259"/>
      <c r="I226" s="259"/>
      <c r="J226" s="259"/>
      <c r="K226" s="259"/>
      <c r="L226" s="259"/>
      <c r="M226" s="259"/>
      <c r="N226" s="259"/>
      <c r="O226" s="259"/>
      <c r="P226" s="235"/>
      <c r="Q226" s="235"/>
      <c r="R226" s="235"/>
      <c r="S226" s="235"/>
      <c r="AD226" s="227"/>
      <c r="AE226" s="233"/>
    </row>
    <row r="227" spans="2:31">
      <c r="B227" s="241"/>
      <c r="C227" s="241"/>
      <c r="D227" s="241"/>
      <c r="E227" s="241"/>
      <c r="F227" s="259"/>
      <c r="G227" s="259"/>
      <c r="H227" s="259"/>
      <c r="I227" s="259"/>
      <c r="J227" s="259"/>
      <c r="K227" s="259"/>
      <c r="L227" s="259"/>
      <c r="M227" s="259"/>
      <c r="N227" s="259"/>
      <c r="O227" s="259"/>
      <c r="P227" s="235"/>
      <c r="Q227" s="235"/>
      <c r="R227" s="235"/>
      <c r="S227" s="235"/>
      <c r="AD227" s="227"/>
      <c r="AE227" s="233"/>
    </row>
    <row r="228" spans="2:31">
      <c r="B228" s="241"/>
      <c r="C228" s="241"/>
      <c r="D228" s="241"/>
      <c r="E228" s="241"/>
      <c r="F228" s="259"/>
      <c r="G228" s="259"/>
      <c r="H228" s="259"/>
      <c r="I228" s="259"/>
      <c r="J228" s="259"/>
      <c r="K228" s="259"/>
      <c r="L228" s="259"/>
      <c r="M228" s="259"/>
      <c r="N228" s="259"/>
      <c r="O228" s="259"/>
      <c r="P228" s="235"/>
      <c r="Q228" s="235"/>
      <c r="R228" s="235"/>
      <c r="S228" s="235"/>
      <c r="AD228" s="227"/>
      <c r="AE228" s="233"/>
    </row>
    <row r="229" spans="2:31">
      <c r="B229" s="241"/>
      <c r="C229" s="241"/>
      <c r="D229" s="241"/>
      <c r="E229" s="241"/>
      <c r="F229" s="259"/>
      <c r="G229" s="259"/>
      <c r="H229" s="259"/>
      <c r="I229" s="259"/>
      <c r="J229" s="259"/>
      <c r="K229" s="259"/>
      <c r="L229" s="259"/>
      <c r="M229" s="259"/>
      <c r="N229" s="259"/>
      <c r="O229" s="259"/>
      <c r="P229" s="235"/>
      <c r="Q229" s="235"/>
      <c r="R229" s="235"/>
      <c r="S229" s="235"/>
      <c r="AD229" s="227"/>
      <c r="AE229" s="233"/>
    </row>
    <row r="230" spans="2:31">
      <c r="B230" s="241"/>
      <c r="C230" s="241"/>
      <c r="D230" s="241"/>
      <c r="E230" s="241"/>
      <c r="F230" s="259"/>
      <c r="G230" s="259"/>
      <c r="H230" s="259"/>
      <c r="I230" s="259"/>
      <c r="J230" s="259"/>
      <c r="K230" s="259"/>
      <c r="L230" s="259"/>
      <c r="M230" s="259"/>
      <c r="N230" s="259"/>
      <c r="O230" s="259"/>
      <c r="P230" s="235"/>
      <c r="Q230" s="235"/>
      <c r="R230" s="235"/>
      <c r="S230" s="235"/>
      <c r="AD230" s="227"/>
      <c r="AE230" s="233"/>
    </row>
    <row r="231" spans="2:31">
      <c r="B231" s="241"/>
      <c r="C231" s="241"/>
      <c r="D231" s="241"/>
      <c r="E231" s="241"/>
      <c r="F231" s="259"/>
      <c r="G231" s="259"/>
      <c r="H231" s="259"/>
      <c r="I231" s="259"/>
      <c r="J231" s="259"/>
      <c r="K231" s="259"/>
      <c r="L231" s="259"/>
      <c r="M231" s="259"/>
      <c r="N231" s="259"/>
      <c r="O231" s="259"/>
      <c r="P231" s="235"/>
      <c r="Q231" s="235"/>
      <c r="R231" s="235"/>
      <c r="S231" s="235"/>
      <c r="AD231" s="227"/>
      <c r="AE231" s="233"/>
    </row>
    <row r="232" spans="2:31">
      <c r="B232" s="241"/>
      <c r="C232" s="241"/>
      <c r="D232" s="241"/>
      <c r="E232" s="241"/>
      <c r="F232" s="259"/>
      <c r="G232" s="259"/>
      <c r="H232" s="259"/>
      <c r="I232" s="259"/>
      <c r="J232" s="259"/>
      <c r="K232" s="259"/>
      <c r="L232" s="259"/>
      <c r="M232" s="259"/>
      <c r="N232" s="259"/>
      <c r="O232" s="259"/>
      <c r="P232" s="235"/>
      <c r="Q232" s="235"/>
      <c r="R232" s="235"/>
      <c r="S232" s="235"/>
      <c r="AD232" s="227"/>
      <c r="AE232" s="233"/>
    </row>
    <row r="233" spans="2:31">
      <c r="B233" s="241"/>
      <c r="C233" s="241"/>
      <c r="D233" s="241"/>
      <c r="E233" s="241"/>
      <c r="F233" s="259"/>
      <c r="G233" s="259"/>
      <c r="H233" s="259"/>
      <c r="I233" s="259"/>
      <c r="J233" s="259"/>
      <c r="K233" s="259"/>
      <c r="L233" s="259"/>
      <c r="M233" s="259"/>
      <c r="N233" s="259"/>
      <c r="O233" s="259"/>
      <c r="P233" s="235"/>
      <c r="Q233" s="235"/>
      <c r="R233" s="235"/>
      <c r="S233" s="235"/>
      <c r="AD233" s="227"/>
      <c r="AE233" s="233"/>
    </row>
    <row r="234" spans="2:31">
      <c r="B234" s="241"/>
      <c r="C234" s="241"/>
      <c r="D234" s="241"/>
      <c r="E234" s="241"/>
      <c r="F234" s="259"/>
      <c r="G234" s="259"/>
      <c r="H234" s="259"/>
      <c r="I234" s="259"/>
      <c r="J234" s="259"/>
      <c r="K234" s="259"/>
      <c r="L234" s="259"/>
      <c r="M234" s="259"/>
      <c r="N234" s="259"/>
      <c r="O234" s="259"/>
      <c r="P234" s="235"/>
      <c r="Q234" s="235"/>
      <c r="R234" s="235"/>
      <c r="S234" s="235"/>
      <c r="AD234" s="227"/>
      <c r="AE234" s="233"/>
    </row>
    <row r="235" spans="2:31">
      <c r="B235" s="241"/>
      <c r="C235" s="241"/>
      <c r="D235" s="241"/>
      <c r="E235" s="241"/>
      <c r="F235" s="259"/>
      <c r="G235" s="259"/>
      <c r="H235" s="259"/>
      <c r="I235" s="259"/>
      <c r="J235" s="259"/>
      <c r="K235" s="259"/>
      <c r="L235" s="259"/>
      <c r="M235" s="259"/>
      <c r="N235" s="259"/>
      <c r="O235" s="259"/>
      <c r="P235" s="235"/>
      <c r="Q235" s="235"/>
      <c r="R235" s="235"/>
      <c r="S235" s="235"/>
      <c r="AD235" s="227"/>
      <c r="AE235" s="233"/>
    </row>
    <row r="236" spans="2:31">
      <c r="B236" s="241"/>
      <c r="C236" s="241"/>
      <c r="D236" s="241"/>
      <c r="E236" s="241"/>
      <c r="F236" s="259"/>
      <c r="G236" s="259"/>
      <c r="H236" s="259"/>
      <c r="I236" s="259"/>
      <c r="J236" s="259"/>
      <c r="K236" s="259"/>
      <c r="L236" s="259"/>
      <c r="M236" s="259"/>
      <c r="N236" s="259"/>
      <c r="O236" s="259"/>
      <c r="P236" s="235"/>
      <c r="Q236" s="235"/>
      <c r="R236" s="235"/>
      <c r="S236" s="235"/>
      <c r="AD236" s="227"/>
      <c r="AE236" s="233"/>
    </row>
    <row r="237" spans="2:31">
      <c r="B237" s="241"/>
      <c r="C237" s="241"/>
      <c r="D237" s="241"/>
      <c r="E237" s="241"/>
      <c r="F237" s="259"/>
      <c r="G237" s="259"/>
      <c r="H237" s="259"/>
      <c r="I237" s="259"/>
      <c r="J237" s="259"/>
      <c r="K237" s="259"/>
      <c r="L237" s="259"/>
      <c r="M237" s="259"/>
      <c r="N237" s="259"/>
      <c r="O237" s="259"/>
      <c r="P237" s="235"/>
      <c r="Q237" s="235"/>
      <c r="R237" s="235"/>
      <c r="S237" s="235"/>
      <c r="AD237" s="227"/>
      <c r="AE237" s="233"/>
    </row>
    <row r="238" spans="2:31">
      <c r="B238" s="241"/>
      <c r="C238" s="241"/>
      <c r="D238" s="241"/>
      <c r="E238" s="241"/>
      <c r="F238" s="259"/>
      <c r="G238" s="259"/>
      <c r="H238" s="259"/>
      <c r="I238" s="259"/>
      <c r="J238" s="259"/>
      <c r="K238" s="259"/>
      <c r="L238" s="259"/>
      <c r="M238" s="259"/>
      <c r="N238" s="259"/>
      <c r="O238" s="259"/>
      <c r="P238" s="235"/>
      <c r="Q238" s="235"/>
      <c r="R238" s="235"/>
      <c r="S238" s="235"/>
      <c r="AD238" s="227"/>
      <c r="AE238" s="233"/>
    </row>
    <row r="239" spans="2:31">
      <c r="B239" s="241"/>
      <c r="C239" s="241"/>
      <c r="D239" s="241"/>
      <c r="E239" s="241"/>
      <c r="F239" s="259"/>
      <c r="G239" s="259"/>
      <c r="H239" s="259"/>
      <c r="I239" s="259"/>
      <c r="J239" s="259"/>
      <c r="K239" s="259"/>
      <c r="L239" s="259"/>
      <c r="M239" s="259"/>
      <c r="N239" s="259"/>
      <c r="O239" s="259"/>
      <c r="P239" s="235"/>
      <c r="Q239" s="235"/>
      <c r="R239" s="235"/>
      <c r="S239" s="235"/>
      <c r="AD239" s="227"/>
      <c r="AE239" s="233"/>
    </row>
    <row r="240" spans="2:31">
      <c r="B240" s="241"/>
      <c r="C240" s="241"/>
      <c r="D240" s="241"/>
      <c r="E240" s="241"/>
      <c r="F240" s="259"/>
      <c r="G240" s="259"/>
      <c r="H240" s="259"/>
      <c r="I240" s="259"/>
      <c r="J240" s="259"/>
      <c r="K240" s="259"/>
      <c r="L240" s="259"/>
      <c r="M240" s="259"/>
      <c r="N240" s="259"/>
      <c r="O240" s="259"/>
      <c r="P240" s="235"/>
      <c r="Q240" s="235"/>
      <c r="R240" s="235"/>
      <c r="S240" s="235"/>
      <c r="AD240" s="227"/>
      <c r="AE240" s="233"/>
    </row>
    <row r="241" spans="2:31">
      <c r="B241" s="241"/>
      <c r="C241" s="241"/>
      <c r="D241" s="241"/>
      <c r="E241" s="241"/>
      <c r="F241" s="259"/>
      <c r="G241" s="259"/>
      <c r="H241" s="259"/>
      <c r="I241" s="259"/>
      <c r="J241" s="259"/>
      <c r="K241" s="259"/>
      <c r="L241" s="259"/>
      <c r="M241" s="259"/>
      <c r="N241" s="259"/>
      <c r="O241" s="259"/>
      <c r="P241" s="235"/>
      <c r="Q241" s="235"/>
      <c r="R241" s="235"/>
      <c r="S241" s="235"/>
      <c r="AD241" s="227"/>
      <c r="AE241" s="233"/>
    </row>
    <row r="242" spans="2:31">
      <c r="B242" s="241"/>
      <c r="C242" s="241"/>
      <c r="D242" s="241"/>
      <c r="E242" s="241"/>
      <c r="F242" s="259"/>
      <c r="G242" s="259"/>
      <c r="H242" s="259"/>
      <c r="I242" s="259"/>
      <c r="J242" s="259"/>
      <c r="K242" s="259"/>
      <c r="L242" s="259"/>
      <c r="M242" s="259"/>
      <c r="N242" s="259"/>
      <c r="O242" s="259"/>
      <c r="P242" s="235"/>
      <c r="Q242" s="235"/>
      <c r="R242" s="235"/>
      <c r="S242" s="235"/>
      <c r="AD242" s="227"/>
      <c r="AE242" s="233"/>
    </row>
    <row r="243" spans="2:31">
      <c r="B243" s="241"/>
      <c r="C243" s="241"/>
      <c r="D243" s="241"/>
      <c r="E243" s="241"/>
      <c r="F243" s="259"/>
      <c r="G243" s="259"/>
      <c r="H243" s="259"/>
      <c r="I243" s="259"/>
      <c r="J243" s="259"/>
      <c r="K243" s="259"/>
      <c r="L243" s="259"/>
      <c r="M243" s="259"/>
      <c r="N243" s="259"/>
      <c r="O243" s="259"/>
      <c r="P243" s="235"/>
      <c r="Q243" s="235"/>
      <c r="R243" s="235"/>
      <c r="S243" s="235"/>
      <c r="AD243" s="227"/>
      <c r="AE243" s="233"/>
    </row>
    <row r="244" spans="2:31">
      <c r="B244" s="241"/>
      <c r="C244" s="241"/>
      <c r="D244" s="241"/>
      <c r="E244" s="241"/>
      <c r="F244" s="259"/>
      <c r="G244" s="259"/>
      <c r="H244" s="259"/>
      <c r="I244" s="259"/>
      <c r="J244" s="259"/>
      <c r="K244" s="259"/>
      <c r="L244" s="259"/>
      <c r="M244" s="259"/>
      <c r="N244" s="259"/>
      <c r="O244" s="259"/>
      <c r="P244" s="235"/>
      <c r="Q244" s="235"/>
      <c r="R244" s="235"/>
      <c r="S244" s="235"/>
      <c r="AD244" s="227"/>
      <c r="AE244" s="233"/>
    </row>
    <row r="245" spans="2:31">
      <c r="B245" s="241"/>
      <c r="C245" s="241"/>
      <c r="D245" s="241"/>
      <c r="E245" s="241"/>
      <c r="F245" s="259"/>
      <c r="G245" s="259"/>
      <c r="H245" s="259"/>
      <c r="I245" s="259"/>
      <c r="J245" s="259"/>
      <c r="K245" s="259"/>
      <c r="L245" s="259"/>
      <c r="M245" s="259"/>
      <c r="N245" s="259"/>
      <c r="O245" s="259"/>
      <c r="P245" s="235"/>
      <c r="Q245" s="235"/>
      <c r="R245" s="235"/>
      <c r="S245" s="235"/>
      <c r="AD245" s="227"/>
      <c r="AE245" s="233"/>
    </row>
    <row r="246" spans="2:31">
      <c r="B246" s="241"/>
      <c r="C246" s="241"/>
      <c r="D246" s="241"/>
      <c r="E246" s="241"/>
      <c r="F246" s="259"/>
      <c r="G246" s="259"/>
      <c r="H246" s="259"/>
      <c r="I246" s="259"/>
      <c r="J246" s="259"/>
      <c r="K246" s="259"/>
      <c r="L246" s="259"/>
      <c r="M246" s="259"/>
      <c r="N246" s="259"/>
      <c r="O246" s="259"/>
      <c r="P246" s="235"/>
      <c r="Q246" s="235"/>
      <c r="R246" s="235"/>
      <c r="S246" s="235"/>
      <c r="AD246" s="227"/>
      <c r="AE246" s="233"/>
    </row>
    <row r="247" spans="2:31">
      <c r="B247" s="241"/>
      <c r="C247" s="241"/>
      <c r="D247" s="241"/>
      <c r="E247" s="241"/>
      <c r="F247" s="259"/>
      <c r="G247" s="259"/>
      <c r="H247" s="259"/>
      <c r="I247" s="259"/>
      <c r="J247" s="259"/>
      <c r="K247" s="259"/>
      <c r="L247" s="259"/>
      <c r="M247" s="259"/>
      <c r="N247" s="259"/>
      <c r="O247" s="259"/>
      <c r="P247" s="235"/>
      <c r="Q247" s="235"/>
      <c r="R247" s="235"/>
      <c r="S247" s="235"/>
      <c r="AD247" s="227"/>
      <c r="AE247" s="233"/>
    </row>
    <row r="248" spans="2:31">
      <c r="B248" s="241"/>
      <c r="C248" s="241"/>
      <c r="D248" s="241"/>
      <c r="E248" s="241"/>
      <c r="F248" s="259"/>
      <c r="G248" s="259"/>
      <c r="H248" s="259"/>
      <c r="I248" s="259"/>
      <c r="J248" s="259"/>
      <c r="K248" s="259"/>
      <c r="L248" s="259"/>
      <c r="M248" s="259"/>
      <c r="N248" s="259"/>
      <c r="O248" s="235"/>
      <c r="P248" s="235"/>
      <c r="Q248" s="235"/>
    </row>
    <row r="249" spans="2:31">
      <c r="B249" s="241"/>
      <c r="C249" s="241"/>
      <c r="D249" s="241"/>
      <c r="E249" s="241"/>
      <c r="F249" s="259"/>
      <c r="G249" s="259"/>
      <c r="H249" s="259"/>
      <c r="I249" s="259"/>
      <c r="J249" s="259"/>
      <c r="K249" s="259"/>
      <c r="L249" s="259"/>
      <c r="M249" s="259"/>
      <c r="N249" s="259"/>
      <c r="O249" s="235"/>
      <c r="P249" s="235"/>
      <c r="Q249" s="235"/>
    </row>
    <row r="250" spans="2:31">
      <c r="B250" s="241"/>
      <c r="C250" s="241"/>
      <c r="D250" s="241"/>
      <c r="E250" s="241"/>
      <c r="F250" s="259"/>
      <c r="G250" s="259"/>
      <c r="H250" s="259"/>
      <c r="I250" s="259"/>
      <c r="J250" s="259"/>
      <c r="K250" s="259"/>
      <c r="L250" s="259"/>
      <c r="M250" s="259"/>
      <c r="N250" s="259"/>
      <c r="O250" s="235"/>
      <c r="P250" s="235"/>
      <c r="Q250" s="235"/>
    </row>
    <row r="251" spans="2:31">
      <c r="B251" s="241"/>
      <c r="C251" s="241"/>
      <c r="D251" s="241"/>
      <c r="E251" s="241"/>
      <c r="F251" s="259"/>
      <c r="G251" s="259"/>
      <c r="H251" s="259"/>
      <c r="I251" s="259"/>
      <c r="J251" s="259"/>
      <c r="K251" s="259"/>
      <c r="L251" s="259"/>
      <c r="M251" s="259"/>
      <c r="N251" s="259"/>
      <c r="O251" s="235"/>
      <c r="P251" s="235"/>
      <c r="Q251" s="235"/>
    </row>
    <row r="252" spans="2:31">
      <c r="B252" s="241"/>
      <c r="C252" s="241"/>
      <c r="D252" s="241"/>
      <c r="E252" s="241"/>
      <c r="F252" s="259"/>
      <c r="G252" s="259"/>
      <c r="H252" s="259"/>
      <c r="I252" s="259"/>
      <c r="J252" s="259"/>
      <c r="K252" s="259"/>
      <c r="L252" s="259"/>
      <c r="M252" s="259"/>
      <c r="N252" s="259"/>
      <c r="O252" s="235"/>
      <c r="P252" s="235"/>
      <c r="Q252" s="235"/>
    </row>
    <row r="253" spans="2:31">
      <c r="B253" s="241"/>
      <c r="C253" s="241"/>
      <c r="D253" s="241"/>
      <c r="E253" s="241"/>
      <c r="F253" s="259"/>
      <c r="G253" s="259"/>
      <c r="H253" s="259"/>
      <c r="I253" s="259"/>
      <c r="J253" s="259"/>
      <c r="K253" s="259"/>
      <c r="L253" s="259"/>
      <c r="M253" s="259"/>
      <c r="N253" s="259"/>
      <c r="O253" s="235"/>
      <c r="P253" s="235"/>
      <c r="Q253" s="235"/>
    </row>
    <row r="254" spans="2:31">
      <c r="B254" s="241"/>
      <c r="C254" s="241"/>
      <c r="D254" s="241"/>
      <c r="E254" s="241"/>
      <c r="F254" s="259"/>
      <c r="G254" s="259"/>
      <c r="H254" s="259"/>
      <c r="I254" s="259"/>
      <c r="J254" s="259"/>
      <c r="K254" s="259"/>
      <c r="L254" s="259"/>
      <c r="M254" s="259"/>
      <c r="N254" s="259"/>
      <c r="O254" s="235"/>
      <c r="P254" s="235"/>
      <c r="Q254" s="235"/>
    </row>
    <row r="255" spans="2:31">
      <c r="B255" s="241"/>
      <c r="C255" s="241"/>
      <c r="D255" s="241"/>
      <c r="E255" s="241"/>
      <c r="F255" s="259"/>
      <c r="G255" s="259"/>
      <c r="H255" s="259"/>
      <c r="I255" s="259"/>
      <c r="J255" s="259"/>
      <c r="K255" s="259"/>
      <c r="L255" s="259"/>
      <c r="M255" s="259"/>
      <c r="N255" s="259"/>
      <c r="O255" s="235"/>
      <c r="P255" s="235"/>
      <c r="Q255" s="235"/>
    </row>
    <row r="256" spans="2:31">
      <c r="B256" s="241"/>
      <c r="C256" s="241"/>
      <c r="D256" s="241"/>
      <c r="E256" s="241"/>
      <c r="F256" s="259"/>
      <c r="G256" s="259"/>
      <c r="H256" s="259"/>
      <c r="I256" s="259"/>
      <c r="J256" s="259"/>
      <c r="K256" s="259"/>
      <c r="L256" s="259"/>
      <c r="M256" s="259"/>
      <c r="N256" s="259"/>
      <c r="O256" s="235"/>
      <c r="P256" s="235"/>
      <c r="Q256" s="235"/>
    </row>
    <row r="257" spans="2:17">
      <c r="B257" s="241"/>
      <c r="C257" s="241"/>
      <c r="D257" s="241"/>
      <c r="E257" s="241"/>
      <c r="F257" s="259"/>
      <c r="G257" s="259"/>
      <c r="H257" s="259"/>
      <c r="I257" s="259"/>
      <c r="J257" s="259"/>
      <c r="K257" s="259"/>
      <c r="L257" s="259"/>
      <c r="M257" s="259"/>
      <c r="N257" s="259"/>
      <c r="O257" s="235"/>
      <c r="P257" s="235"/>
      <c r="Q257" s="235"/>
    </row>
    <row r="258" spans="2:17">
      <c r="B258" s="241"/>
      <c r="C258" s="241"/>
      <c r="D258" s="241"/>
      <c r="E258" s="241"/>
      <c r="F258" s="259"/>
      <c r="G258" s="259"/>
      <c r="H258" s="259"/>
      <c r="I258" s="259"/>
      <c r="J258" s="259"/>
      <c r="K258" s="259"/>
      <c r="L258" s="259"/>
      <c r="M258" s="259"/>
      <c r="N258" s="259"/>
      <c r="O258" s="235"/>
      <c r="P258" s="235"/>
      <c r="Q258" s="235"/>
    </row>
    <row r="259" spans="2:17">
      <c r="B259" s="241"/>
      <c r="C259" s="241"/>
      <c r="D259" s="241"/>
      <c r="E259" s="241"/>
      <c r="F259" s="259"/>
      <c r="G259" s="259"/>
      <c r="H259" s="259"/>
      <c r="I259" s="259"/>
      <c r="J259" s="259"/>
      <c r="K259" s="259"/>
      <c r="L259" s="259"/>
      <c r="M259" s="259"/>
      <c r="N259" s="259"/>
      <c r="O259" s="235"/>
      <c r="P259" s="235"/>
      <c r="Q259" s="235"/>
    </row>
    <row r="260" spans="2:17">
      <c r="B260" s="241"/>
      <c r="C260" s="241"/>
      <c r="D260" s="241"/>
      <c r="E260" s="241"/>
      <c r="F260" s="259"/>
      <c r="G260" s="259"/>
      <c r="H260" s="259"/>
      <c r="I260" s="259"/>
      <c r="J260" s="259"/>
      <c r="K260" s="259"/>
      <c r="L260" s="259"/>
      <c r="M260" s="259"/>
      <c r="N260" s="259"/>
      <c r="O260" s="235"/>
      <c r="P260" s="235"/>
      <c r="Q260" s="235"/>
    </row>
    <row r="261" spans="2:17">
      <c r="B261" s="241"/>
      <c r="C261" s="241"/>
      <c r="D261" s="241"/>
      <c r="E261" s="241"/>
      <c r="F261" s="259"/>
      <c r="G261" s="259"/>
      <c r="H261" s="259"/>
      <c r="I261" s="259"/>
      <c r="J261" s="259"/>
      <c r="K261" s="259"/>
      <c r="L261" s="259"/>
      <c r="M261" s="259"/>
      <c r="N261" s="259"/>
      <c r="O261" s="235"/>
      <c r="P261" s="235"/>
      <c r="Q261" s="235"/>
    </row>
    <row r="262" spans="2:17">
      <c r="B262" s="241"/>
      <c r="C262" s="241"/>
      <c r="D262" s="241"/>
      <c r="E262" s="241"/>
      <c r="F262" s="259"/>
      <c r="G262" s="259"/>
      <c r="H262" s="259"/>
      <c r="I262" s="259"/>
      <c r="J262" s="259"/>
      <c r="K262" s="259"/>
      <c r="L262" s="259"/>
      <c r="M262" s="259"/>
      <c r="N262" s="259"/>
      <c r="O262" s="235"/>
      <c r="P262" s="235"/>
      <c r="Q262" s="235"/>
    </row>
    <row r="263" spans="2:17">
      <c r="B263" s="241"/>
      <c r="C263" s="241"/>
      <c r="D263" s="241"/>
      <c r="E263" s="241"/>
      <c r="F263" s="259"/>
      <c r="G263" s="259"/>
      <c r="H263" s="259"/>
      <c r="I263" s="259"/>
      <c r="J263" s="259"/>
      <c r="K263" s="259"/>
      <c r="L263" s="259"/>
      <c r="M263" s="259"/>
      <c r="N263" s="259"/>
      <c r="O263" s="235"/>
      <c r="P263" s="235"/>
      <c r="Q263" s="235"/>
    </row>
    <row r="264" spans="2:17">
      <c r="B264" s="241"/>
      <c r="C264" s="241"/>
      <c r="D264" s="241"/>
      <c r="E264" s="241"/>
      <c r="F264" s="259"/>
      <c r="G264" s="259"/>
      <c r="H264" s="259"/>
      <c r="I264" s="259"/>
      <c r="J264" s="259"/>
      <c r="K264" s="259"/>
      <c r="L264" s="259"/>
      <c r="M264" s="259"/>
      <c r="N264" s="259"/>
      <c r="O264" s="235"/>
      <c r="P264" s="235"/>
      <c r="Q264" s="235"/>
    </row>
    <row r="265" spans="2:17">
      <c r="B265" s="241"/>
      <c r="C265" s="241"/>
      <c r="D265" s="241"/>
      <c r="E265" s="241"/>
      <c r="F265" s="259"/>
      <c r="G265" s="259"/>
      <c r="H265" s="259"/>
      <c r="I265" s="259"/>
      <c r="J265" s="259"/>
      <c r="K265" s="259"/>
      <c r="L265" s="259"/>
      <c r="M265" s="259"/>
      <c r="N265" s="259"/>
      <c r="O265" s="235"/>
      <c r="P265" s="235"/>
      <c r="Q265" s="235"/>
    </row>
    <row r="266" spans="2:17">
      <c r="B266" s="241"/>
      <c r="C266" s="241"/>
      <c r="D266" s="241"/>
      <c r="E266" s="241"/>
      <c r="F266" s="259"/>
      <c r="G266" s="259"/>
      <c r="H266" s="259"/>
      <c r="I266" s="259"/>
      <c r="J266" s="259"/>
      <c r="K266" s="259"/>
      <c r="L266" s="259"/>
      <c r="M266" s="259"/>
      <c r="N266" s="259"/>
      <c r="O266" s="235"/>
      <c r="P266" s="235"/>
      <c r="Q266" s="235"/>
    </row>
    <row r="267" spans="2:17">
      <c r="B267" s="241"/>
      <c r="C267" s="241"/>
      <c r="D267" s="241"/>
      <c r="E267" s="241"/>
      <c r="F267" s="259"/>
      <c r="G267" s="259"/>
      <c r="H267" s="259"/>
      <c r="I267" s="259"/>
      <c r="J267" s="259"/>
      <c r="K267" s="259"/>
      <c r="L267" s="259"/>
      <c r="M267" s="259"/>
      <c r="N267" s="259"/>
      <c r="O267" s="235"/>
      <c r="P267" s="235"/>
      <c r="Q267" s="235"/>
    </row>
    <row r="268" spans="2:17">
      <c r="B268" s="241"/>
      <c r="C268" s="241"/>
      <c r="D268" s="241"/>
      <c r="E268" s="241"/>
      <c r="F268" s="259"/>
      <c r="G268" s="259"/>
      <c r="H268" s="259"/>
      <c r="I268" s="259"/>
      <c r="J268" s="259"/>
      <c r="K268" s="259"/>
      <c r="L268" s="259"/>
      <c r="M268" s="259"/>
      <c r="N268" s="259"/>
      <c r="O268" s="235"/>
      <c r="P268" s="235"/>
      <c r="Q268" s="235"/>
    </row>
    <row r="269" spans="2:17">
      <c r="B269" s="241"/>
      <c r="C269" s="241"/>
      <c r="D269" s="241"/>
      <c r="E269" s="241"/>
      <c r="F269" s="259"/>
      <c r="G269" s="259"/>
      <c r="H269" s="259"/>
      <c r="I269" s="259"/>
      <c r="J269" s="259"/>
      <c r="K269" s="259"/>
      <c r="L269" s="259"/>
      <c r="M269" s="259"/>
      <c r="N269" s="259"/>
      <c r="O269" s="235"/>
      <c r="P269" s="235"/>
      <c r="Q269" s="235"/>
    </row>
    <row r="270" spans="2:17">
      <c r="B270" s="241"/>
      <c r="C270" s="241"/>
      <c r="D270" s="241"/>
      <c r="E270" s="241"/>
      <c r="F270" s="259"/>
      <c r="G270" s="259"/>
      <c r="H270" s="259"/>
      <c r="I270" s="259"/>
      <c r="J270" s="259"/>
      <c r="K270" s="259"/>
      <c r="L270" s="259"/>
      <c r="M270" s="259"/>
      <c r="N270" s="259"/>
      <c r="O270" s="235"/>
      <c r="P270" s="235"/>
      <c r="Q270" s="235"/>
    </row>
    <row r="271" spans="2:17">
      <c r="B271" s="241"/>
      <c r="C271" s="241"/>
      <c r="D271" s="241"/>
      <c r="E271" s="241"/>
      <c r="F271" s="259"/>
      <c r="G271" s="259"/>
      <c r="H271" s="259"/>
      <c r="I271" s="259"/>
      <c r="J271" s="259"/>
      <c r="K271" s="259"/>
      <c r="L271" s="259"/>
      <c r="M271" s="259"/>
      <c r="N271" s="259"/>
      <c r="O271" s="235"/>
      <c r="P271" s="235"/>
      <c r="Q271" s="235"/>
    </row>
    <row r="272" spans="2:17">
      <c r="B272" s="241"/>
      <c r="C272" s="241"/>
      <c r="D272" s="241"/>
      <c r="E272" s="241"/>
      <c r="F272" s="259"/>
      <c r="G272" s="259"/>
      <c r="H272" s="259"/>
      <c r="I272" s="259"/>
      <c r="J272" s="259"/>
      <c r="K272" s="259"/>
      <c r="L272" s="259"/>
      <c r="M272" s="259"/>
      <c r="N272" s="259"/>
      <c r="O272" s="235"/>
      <c r="P272" s="235"/>
      <c r="Q272" s="235"/>
    </row>
    <row r="273" spans="2:17">
      <c r="B273" s="241"/>
      <c r="C273" s="241"/>
      <c r="D273" s="241"/>
      <c r="E273" s="241"/>
      <c r="F273" s="259"/>
      <c r="G273" s="259"/>
      <c r="H273" s="259"/>
      <c r="I273" s="259"/>
      <c r="J273" s="259"/>
      <c r="K273" s="259"/>
      <c r="L273" s="259"/>
      <c r="M273" s="259"/>
      <c r="N273" s="259"/>
      <c r="O273" s="235"/>
      <c r="P273" s="235"/>
      <c r="Q273" s="235"/>
    </row>
    <row r="274" spans="2:17">
      <c r="B274" s="241"/>
      <c r="C274" s="241"/>
      <c r="D274" s="241"/>
      <c r="E274" s="241"/>
      <c r="F274" s="259"/>
      <c r="G274" s="259"/>
      <c r="H274" s="259"/>
      <c r="I274" s="259"/>
      <c r="J274" s="259"/>
      <c r="K274" s="259"/>
      <c r="L274" s="259"/>
      <c r="M274" s="259"/>
      <c r="N274" s="259"/>
      <c r="O274" s="235"/>
      <c r="P274" s="235"/>
      <c r="Q274" s="235"/>
    </row>
    <row r="275" spans="2:17">
      <c r="B275" s="241"/>
      <c r="C275" s="241"/>
      <c r="D275" s="241"/>
      <c r="E275" s="241"/>
      <c r="F275" s="259"/>
      <c r="G275" s="259"/>
      <c r="H275" s="259"/>
      <c r="I275" s="259"/>
      <c r="J275" s="259"/>
      <c r="K275" s="259"/>
      <c r="L275" s="259"/>
      <c r="M275" s="259"/>
      <c r="N275" s="259"/>
      <c r="O275" s="235"/>
      <c r="P275" s="235"/>
      <c r="Q275" s="235"/>
    </row>
    <row r="276" spans="2:17">
      <c r="B276" s="241"/>
      <c r="C276" s="241"/>
      <c r="D276" s="241"/>
      <c r="E276" s="241"/>
      <c r="F276" s="259"/>
      <c r="G276" s="259"/>
      <c r="H276" s="259"/>
      <c r="I276" s="259"/>
      <c r="J276" s="259"/>
      <c r="K276" s="259"/>
      <c r="L276" s="259"/>
      <c r="M276" s="259"/>
      <c r="N276" s="259"/>
      <c r="O276" s="235"/>
      <c r="P276" s="235"/>
      <c r="Q276" s="235"/>
    </row>
    <row r="277" spans="2:17">
      <c r="B277" s="241"/>
      <c r="C277" s="241"/>
      <c r="D277" s="241"/>
      <c r="E277" s="241"/>
      <c r="F277" s="259"/>
      <c r="G277" s="259"/>
      <c r="H277" s="259"/>
      <c r="I277" s="259"/>
      <c r="J277" s="259"/>
      <c r="K277" s="259"/>
      <c r="L277" s="259"/>
      <c r="M277" s="259"/>
      <c r="N277" s="259"/>
      <c r="O277" s="235"/>
      <c r="P277" s="235"/>
      <c r="Q277" s="235"/>
    </row>
    <row r="278" spans="2:17">
      <c r="B278" s="241"/>
      <c r="C278" s="241"/>
      <c r="D278" s="241"/>
      <c r="E278" s="241"/>
      <c r="F278" s="259"/>
      <c r="G278" s="259"/>
      <c r="H278" s="259"/>
      <c r="I278" s="259"/>
      <c r="J278" s="259"/>
      <c r="K278" s="259"/>
      <c r="L278" s="259"/>
      <c r="M278" s="259"/>
      <c r="N278" s="259"/>
      <c r="O278" s="235"/>
      <c r="P278" s="235"/>
      <c r="Q278" s="235"/>
    </row>
    <row r="279" spans="2:17">
      <c r="B279" s="241"/>
      <c r="C279" s="241"/>
      <c r="D279" s="241"/>
      <c r="E279" s="241"/>
      <c r="F279" s="259"/>
      <c r="G279" s="259"/>
      <c r="H279" s="259"/>
      <c r="I279" s="259"/>
      <c r="J279" s="259"/>
      <c r="K279" s="259"/>
      <c r="L279" s="259"/>
      <c r="M279" s="259"/>
      <c r="N279" s="259"/>
      <c r="O279" s="235"/>
      <c r="P279" s="235"/>
      <c r="Q279" s="235"/>
    </row>
    <row r="280" spans="2:17">
      <c r="B280" s="241"/>
      <c r="C280" s="241"/>
      <c r="D280" s="241"/>
      <c r="E280" s="241"/>
      <c r="F280" s="259"/>
      <c r="G280" s="259"/>
      <c r="H280" s="259"/>
      <c r="I280" s="259"/>
      <c r="J280" s="259"/>
      <c r="K280" s="259"/>
      <c r="L280" s="259"/>
      <c r="M280" s="259"/>
      <c r="N280" s="259"/>
      <c r="O280" s="235"/>
      <c r="P280" s="235"/>
      <c r="Q280" s="235"/>
    </row>
    <row r="281" spans="2:17">
      <c r="B281" s="241"/>
      <c r="C281" s="241"/>
      <c r="D281" s="241"/>
      <c r="E281" s="241"/>
      <c r="F281" s="259"/>
      <c r="G281" s="259"/>
      <c r="H281" s="259"/>
      <c r="I281" s="259"/>
      <c r="J281" s="259"/>
      <c r="K281" s="259"/>
      <c r="L281" s="259"/>
      <c r="M281" s="259"/>
      <c r="N281" s="259"/>
      <c r="O281" s="235"/>
      <c r="P281" s="235"/>
      <c r="Q281" s="235"/>
    </row>
    <row r="282" spans="2:17">
      <c r="B282" s="241"/>
      <c r="C282" s="241"/>
      <c r="D282" s="241"/>
      <c r="E282" s="241"/>
      <c r="F282" s="259"/>
      <c r="G282" s="259"/>
      <c r="H282" s="259"/>
      <c r="I282" s="259"/>
      <c r="J282" s="259"/>
      <c r="K282" s="259"/>
      <c r="L282" s="259"/>
      <c r="M282" s="259"/>
      <c r="N282" s="259"/>
      <c r="O282" s="235"/>
      <c r="P282" s="235"/>
      <c r="Q282" s="235"/>
    </row>
    <row r="283" spans="2:17">
      <c r="B283" s="241"/>
      <c r="C283" s="241"/>
      <c r="D283" s="241"/>
      <c r="E283" s="241"/>
      <c r="F283" s="259"/>
      <c r="G283" s="259"/>
      <c r="H283" s="259"/>
      <c r="I283" s="259"/>
      <c r="J283" s="259"/>
      <c r="K283" s="259"/>
      <c r="L283" s="259"/>
      <c r="M283" s="259"/>
      <c r="N283" s="259"/>
      <c r="O283" s="235"/>
      <c r="P283" s="235"/>
      <c r="Q283" s="235"/>
    </row>
    <row r="284" spans="2:17">
      <c r="B284" s="241"/>
      <c r="C284" s="241"/>
      <c r="D284" s="241"/>
      <c r="E284" s="241"/>
      <c r="F284" s="259"/>
      <c r="G284" s="259"/>
      <c r="H284" s="259"/>
      <c r="I284" s="259"/>
      <c r="J284" s="259"/>
      <c r="K284" s="259"/>
      <c r="L284" s="259"/>
      <c r="M284" s="259"/>
      <c r="N284" s="259"/>
      <c r="O284" s="235"/>
      <c r="P284" s="235"/>
      <c r="Q284" s="235"/>
    </row>
    <row r="285" spans="2:17">
      <c r="B285" s="241"/>
      <c r="C285" s="241"/>
      <c r="D285" s="241"/>
      <c r="E285" s="241"/>
      <c r="F285" s="259"/>
      <c r="G285" s="259"/>
      <c r="H285" s="259"/>
      <c r="I285" s="259"/>
      <c r="J285" s="259"/>
      <c r="K285" s="259"/>
      <c r="L285" s="259"/>
      <c r="M285" s="259"/>
      <c r="N285" s="259"/>
      <c r="O285" s="235"/>
      <c r="P285" s="235"/>
      <c r="Q285" s="235"/>
    </row>
    <row r="286" spans="2:17">
      <c r="B286" s="241"/>
      <c r="C286" s="241"/>
      <c r="D286" s="241"/>
      <c r="E286" s="241"/>
      <c r="F286" s="259"/>
      <c r="G286" s="259"/>
      <c r="H286" s="259"/>
      <c r="I286" s="259"/>
      <c r="J286" s="259"/>
      <c r="K286" s="259"/>
      <c r="L286" s="259"/>
      <c r="M286" s="259"/>
      <c r="N286" s="259"/>
      <c r="O286" s="235"/>
      <c r="P286" s="235"/>
      <c r="Q286" s="235"/>
    </row>
    <row r="287" spans="2:17">
      <c r="B287" s="241"/>
      <c r="C287" s="241"/>
      <c r="D287" s="241"/>
      <c r="E287" s="241"/>
      <c r="F287" s="259"/>
      <c r="G287" s="259"/>
      <c r="H287" s="259"/>
      <c r="I287" s="259"/>
      <c r="J287" s="259"/>
      <c r="K287" s="259"/>
      <c r="L287" s="259"/>
      <c r="M287" s="259"/>
      <c r="N287" s="259"/>
      <c r="O287" s="235"/>
      <c r="P287" s="235"/>
      <c r="Q287" s="235"/>
    </row>
    <row r="288" spans="2:17">
      <c r="B288" s="241"/>
      <c r="C288" s="241"/>
      <c r="D288" s="241"/>
      <c r="E288" s="241"/>
      <c r="F288" s="259"/>
      <c r="G288" s="259"/>
      <c r="H288" s="259"/>
      <c r="I288" s="259"/>
      <c r="J288" s="259"/>
      <c r="K288" s="259"/>
      <c r="L288" s="259"/>
      <c r="M288" s="259"/>
      <c r="N288" s="259"/>
      <c r="O288" s="235"/>
      <c r="P288" s="235"/>
      <c r="Q288" s="235"/>
    </row>
    <row r="289" spans="2:17">
      <c r="B289" s="241"/>
      <c r="C289" s="241"/>
      <c r="D289" s="241"/>
      <c r="E289" s="241"/>
      <c r="F289" s="259"/>
      <c r="G289" s="259"/>
      <c r="H289" s="259"/>
      <c r="I289" s="259"/>
      <c r="J289" s="259"/>
      <c r="K289" s="259"/>
      <c r="L289" s="259"/>
      <c r="M289" s="259"/>
      <c r="N289" s="259"/>
      <c r="O289" s="235"/>
      <c r="P289" s="235"/>
      <c r="Q289" s="235"/>
    </row>
    <row r="290" spans="2:17">
      <c r="B290" s="241"/>
      <c r="C290" s="241"/>
      <c r="D290" s="241"/>
      <c r="E290" s="241"/>
      <c r="F290" s="259"/>
      <c r="G290" s="259"/>
      <c r="H290" s="259"/>
      <c r="I290" s="259"/>
      <c r="J290" s="259"/>
      <c r="K290" s="259"/>
      <c r="L290" s="259"/>
      <c r="M290" s="259"/>
      <c r="N290" s="259"/>
      <c r="O290" s="235"/>
      <c r="P290" s="235"/>
      <c r="Q290" s="235"/>
    </row>
    <row r="291" spans="2:17">
      <c r="B291" s="241"/>
      <c r="C291" s="241"/>
      <c r="D291" s="241"/>
      <c r="E291" s="241"/>
      <c r="F291" s="259"/>
      <c r="G291" s="259"/>
      <c r="H291" s="259"/>
      <c r="I291" s="259"/>
      <c r="J291" s="259"/>
      <c r="K291" s="259"/>
      <c r="L291" s="259"/>
      <c r="M291" s="259"/>
      <c r="N291" s="259"/>
      <c r="O291" s="235"/>
      <c r="P291" s="235"/>
      <c r="Q291" s="235"/>
    </row>
    <row r="292" spans="2:17">
      <c r="B292" s="241"/>
      <c r="C292" s="241"/>
      <c r="D292" s="241"/>
      <c r="E292" s="241"/>
      <c r="F292" s="259"/>
      <c r="G292" s="259"/>
      <c r="H292" s="259"/>
      <c r="I292" s="259"/>
      <c r="J292" s="259"/>
      <c r="K292" s="259"/>
      <c r="L292" s="259"/>
      <c r="M292" s="259"/>
      <c r="N292" s="259"/>
      <c r="O292" s="235"/>
      <c r="P292" s="235"/>
      <c r="Q292" s="235"/>
    </row>
    <row r="293" spans="2:17">
      <c r="B293" s="241"/>
      <c r="C293" s="241"/>
      <c r="D293" s="241"/>
      <c r="E293" s="241"/>
      <c r="F293" s="259"/>
      <c r="G293" s="259"/>
      <c r="H293" s="259"/>
      <c r="I293" s="259"/>
      <c r="J293" s="259"/>
      <c r="K293" s="259"/>
      <c r="L293" s="259"/>
      <c r="M293" s="259"/>
      <c r="N293" s="259"/>
      <c r="O293" s="235"/>
      <c r="P293" s="235"/>
      <c r="Q293" s="235"/>
    </row>
    <row r="294" spans="2:17">
      <c r="B294" s="241"/>
      <c r="C294" s="241"/>
      <c r="D294" s="241"/>
      <c r="E294" s="241"/>
      <c r="F294" s="259"/>
      <c r="G294" s="259"/>
      <c r="H294" s="259"/>
      <c r="I294" s="259"/>
      <c r="J294" s="259"/>
      <c r="K294" s="259"/>
      <c r="L294" s="259"/>
      <c r="M294" s="259"/>
      <c r="N294" s="259"/>
      <c r="O294" s="235"/>
      <c r="P294" s="235"/>
      <c r="Q294" s="235"/>
    </row>
    <row r="295" spans="2:17">
      <c r="B295" s="241"/>
      <c r="C295" s="241"/>
      <c r="D295" s="241"/>
      <c r="E295" s="241"/>
      <c r="F295" s="259"/>
      <c r="G295" s="259"/>
      <c r="H295" s="259"/>
      <c r="I295" s="259"/>
      <c r="J295" s="259"/>
      <c r="K295" s="259"/>
      <c r="L295" s="259"/>
      <c r="M295" s="259"/>
      <c r="N295" s="259"/>
      <c r="O295" s="235"/>
      <c r="P295" s="235"/>
      <c r="Q295" s="235"/>
    </row>
    <row r="296" spans="2:17">
      <c r="B296" s="241"/>
      <c r="C296" s="241"/>
      <c r="D296" s="241"/>
      <c r="E296" s="241"/>
      <c r="F296" s="259"/>
      <c r="G296" s="259"/>
      <c r="H296" s="259"/>
      <c r="I296" s="259"/>
      <c r="J296" s="259"/>
      <c r="K296" s="259"/>
      <c r="L296" s="259"/>
      <c r="M296" s="259"/>
      <c r="N296" s="259"/>
      <c r="O296" s="235"/>
      <c r="P296" s="235"/>
      <c r="Q296" s="235"/>
    </row>
    <row r="297" spans="2:17">
      <c r="B297" s="241"/>
      <c r="C297" s="241"/>
      <c r="D297" s="241"/>
      <c r="E297" s="241"/>
      <c r="F297" s="259"/>
      <c r="G297" s="259"/>
      <c r="H297" s="259"/>
      <c r="I297" s="259"/>
      <c r="J297" s="259"/>
      <c r="K297" s="259"/>
      <c r="L297" s="259"/>
      <c r="M297" s="259"/>
      <c r="N297" s="259"/>
      <c r="O297" s="235"/>
      <c r="P297" s="235"/>
      <c r="Q297" s="235"/>
    </row>
    <row r="298" spans="2:17">
      <c r="B298" s="241"/>
      <c r="C298" s="241"/>
      <c r="D298" s="241"/>
      <c r="E298" s="241"/>
      <c r="F298" s="259"/>
      <c r="G298" s="259"/>
      <c r="H298" s="259"/>
      <c r="I298" s="259"/>
      <c r="J298" s="259"/>
      <c r="K298" s="259"/>
      <c r="L298" s="259"/>
      <c r="M298" s="259"/>
      <c r="N298" s="259"/>
      <c r="O298" s="235"/>
      <c r="P298" s="235"/>
      <c r="Q298" s="235"/>
    </row>
    <row r="299" spans="2:17">
      <c r="B299" s="241"/>
      <c r="C299" s="241"/>
      <c r="D299" s="241"/>
      <c r="E299" s="241"/>
      <c r="F299" s="259"/>
      <c r="G299" s="259"/>
      <c r="H299" s="259"/>
      <c r="I299" s="259"/>
      <c r="J299" s="259"/>
      <c r="K299" s="259"/>
      <c r="L299" s="259"/>
      <c r="M299" s="259"/>
      <c r="N299" s="259"/>
      <c r="O299" s="235"/>
      <c r="P299" s="235"/>
      <c r="Q299" s="235"/>
    </row>
    <row r="300" spans="2:17">
      <c r="B300" s="241"/>
      <c r="C300" s="241"/>
      <c r="D300" s="241"/>
      <c r="E300" s="241"/>
      <c r="F300" s="259"/>
      <c r="G300" s="259"/>
      <c r="H300" s="259"/>
      <c r="I300" s="259"/>
      <c r="J300" s="259"/>
      <c r="K300" s="259"/>
      <c r="L300" s="259"/>
      <c r="M300" s="259"/>
      <c r="N300" s="259"/>
      <c r="O300" s="235"/>
      <c r="P300" s="235"/>
      <c r="Q300" s="235"/>
    </row>
    <row r="301" spans="2:17">
      <c r="B301" s="241"/>
      <c r="C301" s="241"/>
      <c r="D301" s="241"/>
      <c r="E301" s="241"/>
      <c r="F301" s="259"/>
      <c r="G301" s="259"/>
      <c r="H301" s="259"/>
      <c r="I301" s="259"/>
      <c r="J301" s="259"/>
      <c r="K301" s="259"/>
      <c r="L301" s="259"/>
      <c r="M301" s="259"/>
      <c r="N301" s="259"/>
      <c r="O301" s="235"/>
      <c r="P301" s="235"/>
      <c r="Q301" s="235"/>
    </row>
    <row r="302" spans="2:17">
      <c r="B302" s="241"/>
      <c r="C302" s="241"/>
      <c r="D302" s="241"/>
      <c r="E302" s="241"/>
      <c r="F302" s="259"/>
      <c r="G302" s="259"/>
      <c r="H302" s="259"/>
      <c r="I302" s="259"/>
      <c r="J302" s="259"/>
      <c r="K302" s="259"/>
      <c r="L302" s="259"/>
      <c r="M302" s="259"/>
      <c r="N302" s="259"/>
      <c r="O302" s="235"/>
      <c r="P302" s="235"/>
      <c r="Q302" s="235"/>
    </row>
    <row r="303" spans="2:17">
      <c r="B303" s="241"/>
      <c r="C303" s="241"/>
      <c r="D303" s="241"/>
      <c r="E303" s="241"/>
      <c r="F303" s="259"/>
      <c r="G303" s="259"/>
      <c r="H303" s="259"/>
      <c r="I303" s="259"/>
      <c r="J303" s="259"/>
      <c r="K303" s="259"/>
      <c r="L303" s="259"/>
      <c r="M303" s="259"/>
      <c r="N303" s="259"/>
      <c r="O303" s="235"/>
      <c r="P303" s="235"/>
      <c r="Q303" s="235"/>
    </row>
    <row r="304" spans="2:17">
      <c r="B304" s="241"/>
      <c r="C304" s="241"/>
      <c r="D304" s="241"/>
      <c r="E304" s="241"/>
      <c r="F304" s="259"/>
      <c r="G304" s="259"/>
      <c r="H304" s="259"/>
      <c r="I304" s="259"/>
      <c r="J304" s="259"/>
      <c r="K304" s="259"/>
      <c r="L304" s="259"/>
      <c r="M304" s="259"/>
      <c r="N304" s="259"/>
      <c r="O304" s="235"/>
      <c r="P304" s="235"/>
      <c r="Q304" s="235"/>
    </row>
    <row r="305" spans="2:17">
      <c r="B305" s="241"/>
      <c r="C305" s="241"/>
      <c r="D305" s="241"/>
      <c r="E305" s="241"/>
      <c r="F305" s="259"/>
      <c r="G305" s="259"/>
      <c r="H305" s="259"/>
      <c r="I305" s="259"/>
      <c r="J305" s="259"/>
      <c r="K305" s="259"/>
      <c r="L305" s="259"/>
      <c r="M305" s="259"/>
      <c r="N305" s="259"/>
      <c r="O305" s="235"/>
      <c r="P305" s="235"/>
      <c r="Q305" s="235"/>
    </row>
    <row r="306" spans="2:17">
      <c r="B306" s="241"/>
      <c r="C306" s="241"/>
      <c r="D306" s="241"/>
      <c r="E306" s="241"/>
      <c r="F306" s="259"/>
      <c r="G306" s="259"/>
      <c r="H306" s="259"/>
      <c r="I306" s="259"/>
      <c r="J306" s="259"/>
      <c r="K306" s="259"/>
      <c r="L306" s="259"/>
      <c r="M306" s="259"/>
      <c r="N306" s="259"/>
      <c r="O306" s="235"/>
      <c r="P306" s="235"/>
      <c r="Q306" s="235"/>
    </row>
    <row r="307" spans="2:17">
      <c r="B307" s="241"/>
      <c r="C307" s="241"/>
      <c r="D307" s="241"/>
      <c r="E307" s="241"/>
      <c r="F307" s="259"/>
      <c r="G307" s="259"/>
      <c r="H307" s="259"/>
      <c r="I307" s="259"/>
      <c r="J307" s="259"/>
      <c r="K307" s="259"/>
      <c r="L307" s="259"/>
      <c r="M307" s="259"/>
      <c r="N307" s="259"/>
      <c r="O307" s="235"/>
      <c r="P307" s="235"/>
      <c r="Q307" s="235"/>
    </row>
    <row r="308" spans="2:17">
      <c r="B308" s="241"/>
      <c r="C308" s="241"/>
      <c r="D308" s="241"/>
      <c r="E308" s="241"/>
      <c r="F308" s="259"/>
      <c r="G308" s="259"/>
      <c r="H308" s="259"/>
      <c r="I308" s="259"/>
      <c r="J308" s="259"/>
      <c r="K308" s="259"/>
      <c r="L308" s="259"/>
      <c r="M308" s="259"/>
      <c r="N308" s="259"/>
      <c r="O308" s="235"/>
      <c r="P308" s="235"/>
      <c r="Q308" s="235"/>
    </row>
    <row r="309" spans="2:17">
      <c r="B309" s="241"/>
      <c r="C309" s="241"/>
      <c r="D309" s="241"/>
      <c r="E309" s="241"/>
      <c r="F309" s="259"/>
      <c r="G309" s="259"/>
      <c r="H309" s="259"/>
      <c r="I309" s="259"/>
      <c r="J309" s="259"/>
      <c r="K309" s="259"/>
      <c r="L309" s="259"/>
      <c r="M309" s="259"/>
      <c r="N309" s="259"/>
      <c r="O309" s="235"/>
      <c r="P309" s="235"/>
      <c r="Q309" s="235"/>
    </row>
    <row r="310" spans="2:17">
      <c r="B310" s="241"/>
      <c r="C310" s="241"/>
      <c r="D310" s="241"/>
      <c r="E310" s="241"/>
      <c r="F310" s="259"/>
      <c r="G310" s="259"/>
      <c r="H310" s="259"/>
      <c r="I310" s="259"/>
      <c r="J310" s="259"/>
      <c r="K310" s="259"/>
      <c r="L310" s="259"/>
      <c r="M310" s="259"/>
      <c r="N310" s="259"/>
      <c r="O310" s="235"/>
      <c r="P310" s="235"/>
      <c r="Q310" s="235"/>
    </row>
    <row r="311" spans="2:17">
      <c r="B311" s="241"/>
      <c r="C311" s="241"/>
      <c r="D311" s="241"/>
      <c r="E311" s="241"/>
      <c r="F311" s="259"/>
      <c r="G311" s="259"/>
      <c r="H311" s="259"/>
      <c r="I311" s="259"/>
      <c r="J311" s="259"/>
      <c r="K311" s="259"/>
      <c r="L311" s="259"/>
      <c r="M311" s="259"/>
      <c r="N311" s="259"/>
      <c r="O311" s="235"/>
      <c r="P311" s="235"/>
      <c r="Q311" s="235"/>
    </row>
    <row r="312" spans="2:17">
      <c r="B312" s="241"/>
      <c r="C312" s="241"/>
      <c r="D312" s="241"/>
      <c r="E312" s="241"/>
      <c r="F312" s="259"/>
      <c r="G312" s="259"/>
      <c r="H312" s="259"/>
      <c r="I312" s="259"/>
      <c r="J312" s="259"/>
      <c r="K312" s="259"/>
      <c r="L312" s="259"/>
      <c r="M312" s="259"/>
      <c r="N312" s="259"/>
      <c r="O312" s="235"/>
      <c r="P312" s="235"/>
      <c r="Q312" s="235"/>
    </row>
    <row r="313" spans="2:17">
      <c r="B313" s="241"/>
      <c r="C313" s="241"/>
      <c r="D313" s="241"/>
      <c r="E313" s="241"/>
      <c r="F313" s="259"/>
      <c r="G313" s="259"/>
      <c r="H313" s="259"/>
      <c r="I313" s="259"/>
      <c r="J313" s="259"/>
      <c r="K313" s="259"/>
      <c r="L313" s="259"/>
      <c r="M313" s="259"/>
      <c r="N313" s="259"/>
      <c r="O313" s="235"/>
      <c r="P313" s="235"/>
      <c r="Q313" s="235"/>
    </row>
    <row r="314" spans="2:17">
      <c r="B314" s="241"/>
      <c r="C314" s="241"/>
      <c r="D314" s="241"/>
      <c r="E314" s="241"/>
      <c r="F314" s="259"/>
      <c r="G314" s="259"/>
      <c r="H314" s="259"/>
      <c r="I314" s="259"/>
      <c r="J314" s="259"/>
      <c r="K314" s="259"/>
      <c r="L314" s="259"/>
      <c r="M314" s="259"/>
      <c r="N314" s="259"/>
      <c r="O314" s="235"/>
      <c r="P314" s="235"/>
      <c r="Q314" s="235"/>
    </row>
    <row r="315" spans="2:17">
      <c r="B315" s="241"/>
      <c r="C315" s="241"/>
      <c r="D315" s="241"/>
      <c r="E315" s="241"/>
      <c r="F315" s="259"/>
      <c r="G315" s="259"/>
      <c r="H315" s="259"/>
      <c r="I315" s="259"/>
      <c r="J315" s="259"/>
      <c r="K315" s="259"/>
      <c r="L315" s="259"/>
      <c r="M315" s="259"/>
      <c r="N315" s="259"/>
      <c r="O315" s="235"/>
      <c r="P315" s="235"/>
      <c r="Q315" s="235"/>
    </row>
    <row r="316" spans="2:17">
      <c r="B316" s="241"/>
      <c r="C316" s="241"/>
      <c r="D316" s="241"/>
      <c r="E316" s="241"/>
      <c r="F316" s="259"/>
      <c r="G316" s="259"/>
      <c r="H316" s="259"/>
      <c r="I316" s="259"/>
      <c r="J316" s="259"/>
      <c r="K316" s="259"/>
      <c r="L316" s="259"/>
      <c r="M316" s="259"/>
      <c r="N316" s="259"/>
      <c r="O316" s="235"/>
      <c r="P316" s="235"/>
      <c r="Q316" s="235"/>
    </row>
    <row r="317" spans="2:17">
      <c r="B317" s="241"/>
      <c r="C317" s="241"/>
      <c r="D317" s="241"/>
      <c r="E317" s="241"/>
      <c r="F317" s="259"/>
      <c r="G317" s="259"/>
      <c r="H317" s="259"/>
      <c r="I317" s="259"/>
      <c r="J317" s="259"/>
      <c r="K317" s="259"/>
      <c r="L317" s="259"/>
      <c r="M317" s="259"/>
      <c r="N317" s="259"/>
      <c r="O317" s="235"/>
      <c r="P317" s="235"/>
      <c r="Q317" s="235"/>
    </row>
    <row r="318" spans="2:17">
      <c r="B318" s="241"/>
      <c r="C318" s="241"/>
      <c r="D318" s="241"/>
      <c r="E318" s="241"/>
      <c r="F318" s="259"/>
      <c r="G318" s="259"/>
      <c r="H318" s="259"/>
      <c r="I318" s="259"/>
      <c r="J318" s="259"/>
      <c r="K318" s="259"/>
      <c r="L318" s="259"/>
      <c r="M318" s="259"/>
      <c r="N318" s="259"/>
      <c r="O318" s="235"/>
      <c r="P318" s="235"/>
      <c r="Q318" s="235"/>
    </row>
    <row r="319" spans="2:17">
      <c r="B319" s="241"/>
      <c r="C319" s="241"/>
      <c r="D319" s="241"/>
      <c r="E319" s="241"/>
      <c r="F319" s="259"/>
      <c r="G319" s="259"/>
      <c r="H319" s="259"/>
      <c r="I319" s="259"/>
      <c r="J319" s="259"/>
      <c r="K319" s="259"/>
      <c r="L319" s="259"/>
      <c r="M319" s="259"/>
      <c r="N319" s="259"/>
      <c r="O319" s="235"/>
      <c r="P319" s="235"/>
      <c r="Q319" s="235"/>
    </row>
    <row r="320" spans="2:17">
      <c r="B320" s="241"/>
      <c r="C320" s="241"/>
      <c r="D320" s="241"/>
      <c r="E320" s="241"/>
      <c r="F320" s="259"/>
      <c r="G320" s="259"/>
      <c r="H320" s="259"/>
      <c r="I320" s="259"/>
      <c r="J320" s="259"/>
      <c r="K320" s="259"/>
      <c r="L320" s="259"/>
      <c r="M320" s="259"/>
      <c r="N320" s="259"/>
      <c r="O320" s="235"/>
      <c r="P320" s="235"/>
      <c r="Q320" s="235"/>
    </row>
    <row r="321" spans="2:17">
      <c r="B321" s="241"/>
      <c r="C321" s="241"/>
      <c r="D321" s="241"/>
      <c r="E321" s="241"/>
      <c r="F321" s="259"/>
      <c r="G321" s="259"/>
      <c r="H321" s="259"/>
      <c r="I321" s="259"/>
      <c r="J321" s="259"/>
      <c r="K321" s="259"/>
      <c r="L321" s="259"/>
      <c r="M321" s="259"/>
      <c r="N321" s="259"/>
      <c r="O321" s="235"/>
      <c r="P321" s="235"/>
      <c r="Q321" s="235"/>
    </row>
    <row r="322" spans="2:17">
      <c r="B322" s="241"/>
      <c r="C322" s="241"/>
      <c r="D322" s="241"/>
      <c r="E322" s="241"/>
      <c r="F322" s="259"/>
      <c r="G322" s="259"/>
      <c r="H322" s="259"/>
      <c r="I322" s="259"/>
      <c r="J322" s="259"/>
      <c r="K322" s="259"/>
      <c r="L322" s="259"/>
      <c r="M322" s="259"/>
      <c r="N322" s="259"/>
      <c r="O322" s="235"/>
      <c r="P322" s="235"/>
      <c r="Q322" s="235"/>
    </row>
    <row r="323" spans="2:17">
      <c r="B323" s="241"/>
      <c r="C323" s="241"/>
      <c r="D323" s="241"/>
      <c r="E323" s="241"/>
      <c r="F323" s="259"/>
      <c r="G323" s="259"/>
      <c r="H323" s="259"/>
      <c r="I323" s="259"/>
      <c r="J323" s="259"/>
      <c r="K323" s="259"/>
      <c r="L323" s="259"/>
      <c r="M323" s="259"/>
      <c r="N323" s="259"/>
      <c r="O323" s="235"/>
      <c r="P323" s="235"/>
      <c r="Q323" s="235"/>
    </row>
    <row r="324" spans="2:17">
      <c r="B324" s="241"/>
      <c r="C324" s="241"/>
      <c r="D324" s="241"/>
      <c r="E324" s="241"/>
      <c r="F324" s="259"/>
      <c r="G324" s="259"/>
      <c r="H324" s="259"/>
      <c r="I324" s="259"/>
      <c r="J324" s="259"/>
      <c r="K324" s="259"/>
      <c r="L324" s="259"/>
      <c r="M324" s="259"/>
      <c r="N324" s="259"/>
      <c r="O324" s="235"/>
      <c r="P324" s="235"/>
      <c r="Q324" s="235"/>
    </row>
    <row r="325" spans="2:17">
      <c r="B325" s="241"/>
      <c r="C325" s="241"/>
      <c r="D325" s="241"/>
      <c r="E325" s="241"/>
      <c r="F325" s="259"/>
      <c r="G325" s="259"/>
      <c r="H325" s="259"/>
      <c r="I325" s="259"/>
      <c r="J325" s="259"/>
      <c r="K325" s="259"/>
      <c r="L325" s="259"/>
      <c r="M325" s="259"/>
      <c r="N325" s="259"/>
      <c r="O325" s="235"/>
      <c r="P325" s="235"/>
      <c r="Q325" s="235"/>
    </row>
    <row r="326" spans="2:17">
      <c r="B326" s="241"/>
      <c r="C326" s="241"/>
      <c r="D326" s="241"/>
      <c r="E326" s="241"/>
      <c r="F326" s="259"/>
      <c r="G326" s="259"/>
      <c r="H326" s="259"/>
      <c r="I326" s="259"/>
      <c r="J326" s="259"/>
      <c r="K326" s="259"/>
      <c r="L326" s="259"/>
      <c r="M326" s="259"/>
      <c r="N326" s="259"/>
      <c r="O326" s="235"/>
      <c r="P326" s="235"/>
      <c r="Q326" s="235"/>
    </row>
    <row r="327" spans="2:17">
      <c r="B327" s="241"/>
      <c r="C327" s="241"/>
      <c r="D327" s="241"/>
      <c r="E327" s="241"/>
      <c r="F327" s="259"/>
      <c r="G327" s="259"/>
      <c r="H327" s="259"/>
      <c r="I327" s="259"/>
      <c r="J327" s="259"/>
      <c r="K327" s="259"/>
      <c r="L327" s="259"/>
      <c r="M327" s="259"/>
      <c r="N327" s="259"/>
      <c r="O327" s="235"/>
      <c r="P327" s="235"/>
      <c r="Q327" s="235"/>
    </row>
    <row r="328" spans="2:17">
      <c r="B328" s="241"/>
      <c r="C328" s="241"/>
      <c r="D328" s="241"/>
      <c r="E328" s="241"/>
      <c r="F328" s="259"/>
      <c r="G328" s="259"/>
      <c r="H328" s="259"/>
      <c r="I328" s="259"/>
      <c r="J328" s="259"/>
      <c r="K328" s="259"/>
      <c r="L328" s="259"/>
      <c r="M328" s="259"/>
      <c r="N328" s="259"/>
      <c r="O328" s="235"/>
      <c r="P328" s="235"/>
      <c r="Q328" s="235"/>
    </row>
    <row r="329" spans="2:17">
      <c r="B329" s="241"/>
      <c r="C329" s="241"/>
      <c r="D329" s="241"/>
      <c r="E329" s="241"/>
      <c r="F329" s="259"/>
      <c r="G329" s="259"/>
      <c r="H329" s="259"/>
      <c r="I329" s="259"/>
      <c r="J329" s="259"/>
      <c r="K329" s="259"/>
      <c r="L329" s="259"/>
      <c r="M329" s="259"/>
      <c r="N329" s="259"/>
      <c r="O329" s="235"/>
      <c r="P329" s="235"/>
      <c r="Q329" s="235"/>
    </row>
    <row r="330" spans="2:17">
      <c r="B330" s="241"/>
      <c r="C330" s="241"/>
      <c r="D330" s="241"/>
      <c r="E330" s="241"/>
      <c r="F330" s="259"/>
      <c r="G330" s="259"/>
      <c r="H330" s="259"/>
      <c r="I330" s="259"/>
      <c r="J330" s="259"/>
      <c r="K330" s="259"/>
      <c r="L330" s="259"/>
      <c r="M330" s="259"/>
      <c r="N330" s="259"/>
      <c r="O330" s="235"/>
      <c r="P330" s="235"/>
      <c r="Q330" s="235"/>
    </row>
    <row r="331" spans="2:17">
      <c r="B331" s="241"/>
      <c r="C331" s="241"/>
      <c r="D331" s="241"/>
      <c r="E331" s="241"/>
      <c r="F331" s="259"/>
      <c r="G331" s="259"/>
      <c r="H331" s="259"/>
      <c r="I331" s="259"/>
      <c r="J331" s="259"/>
      <c r="K331" s="259"/>
      <c r="L331" s="259"/>
      <c r="M331" s="259"/>
      <c r="N331" s="259"/>
      <c r="O331" s="235"/>
      <c r="P331" s="235"/>
      <c r="Q331" s="235"/>
    </row>
    <row r="332" spans="2:17">
      <c r="B332" s="241"/>
      <c r="C332" s="241"/>
      <c r="D332" s="241"/>
      <c r="E332" s="241"/>
      <c r="F332" s="259"/>
      <c r="G332" s="259"/>
      <c r="H332" s="259"/>
      <c r="I332" s="259"/>
      <c r="J332" s="259"/>
      <c r="K332" s="259"/>
      <c r="L332" s="259"/>
      <c r="M332" s="259"/>
      <c r="N332" s="259"/>
      <c r="O332" s="235"/>
      <c r="P332" s="235"/>
      <c r="Q332" s="235"/>
    </row>
    <row r="333" spans="2:17">
      <c r="B333" s="241"/>
      <c r="C333" s="241"/>
      <c r="D333" s="241"/>
      <c r="E333" s="241"/>
      <c r="F333" s="259"/>
      <c r="G333" s="259"/>
      <c r="H333" s="259"/>
      <c r="I333" s="259"/>
      <c r="J333" s="259"/>
      <c r="K333" s="259"/>
      <c r="L333" s="259"/>
      <c r="M333" s="259"/>
      <c r="N333" s="259"/>
      <c r="O333" s="235"/>
      <c r="P333" s="235"/>
      <c r="Q333" s="235"/>
    </row>
    <row r="334" spans="2:17">
      <c r="B334" s="241"/>
      <c r="C334" s="241"/>
      <c r="D334" s="241"/>
      <c r="E334" s="241"/>
      <c r="F334" s="259"/>
      <c r="G334" s="259"/>
      <c r="H334" s="259"/>
      <c r="I334" s="259"/>
      <c r="J334" s="259"/>
      <c r="K334" s="259"/>
      <c r="L334" s="259"/>
      <c r="M334" s="259"/>
      <c r="N334" s="259"/>
      <c r="O334" s="235"/>
      <c r="P334" s="235"/>
      <c r="Q334" s="235"/>
    </row>
    <row r="335" spans="2:17">
      <c r="B335" s="241"/>
      <c r="C335" s="241"/>
      <c r="D335" s="241"/>
      <c r="E335" s="241"/>
      <c r="F335" s="259"/>
      <c r="G335" s="259"/>
      <c r="H335" s="259"/>
      <c r="I335" s="259"/>
      <c r="J335" s="259"/>
      <c r="K335" s="259"/>
      <c r="L335" s="259"/>
      <c r="M335" s="259"/>
      <c r="N335" s="259"/>
      <c r="O335" s="235"/>
      <c r="P335" s="235"/>
      <c r="Q335" s="235"/>
    </row>
    <row r="336" spans="2:17">
      <c r="B336" s="241"/>
      <c r="C336" s="241"/>
      <c r="D336" s="241"/>
      <c r="E336" s="241"/>
      <c r="F336" s="259"/>
      <c r="G336" s="259"/>
      <c r="H336" s="259"/>
      <c r="I336" s="259"/>
      <c r="J336" s="259"/>
      <c r="K336" s="259"/>
      <c r="L336" s="259"/>
      <c r="M336" s="259"/>
      <c r="N336" s="259"/>
      <c r="O336" s="235"/>
      <c r="P336" s="235"/>
      <c r="Q336" s="235"/>
    </row>
    <row r="337" spans="2:17">
      <c r="B337" s="241"/>
      <c r="C337" s="241"/>
      <c r="D337" s="241"/>
      <c r="E337" s="241"/>
      <c r="F337" s="259"/>
      <c r="G337" s="259"/>
      <c r="H337" s="259"/>
      <c r="I337" s="259"/>
      <c r="J337" s="259"/>
      <c r="K337" s="259"/>
      <c r="L337" s="259"/>
      <c r="M337" s="259"/>
      <c r="N337" s="259"/>
      <c r="O337" s="235"/>
      <c r="P337" s="235"/>
      <c r="Q337" s="235"/>
    </row>
    <row r="338" spans="2:17">
      <c r="B338" s="241"/>
      <c r="C338" s="241"/>
      <c r="D338" s="241"/>
      <c r="E338" s="241"/>
      <c r="F338" s="259"/>
      <c r="G338" s="259"/>
      <c r="H338" s="259"/>
      <c r="I338" s="259"/>
      <c r="J338" s="259"/>
      <c r="K338" s="259"/>
      <c r="L338" s="259"/>
      <c r="M338" s="259"/>
      <c r="N338" s="259"/>
      <c r="O338" s="235"/>
      <c r="P338" s="235"/>
      <c r="Q338" s="235"/>
    </row>
    <row r="339" spans="2:17">
      <c r="B339" s="241"/>
      <c r="C339" s="241"/>
      <c r="D339" s="241"/>
      <c r="E339" s="241"/>
      <c r="F339" s="259"/>
      <c r="G339" s="259"/>
      <c r="H339" s="259"/>
      <c r="I339" s="259"/>
      <c r="J339" s="259"/>
      <c r="K339" s="259"/>
      <c r="L339" s="259"/>
      <c r="M339" s="259"/>
      <c r="N339" s="259"/>
      <c r="O339" s="235"/>
      <c r="P339" s="235"/>
      <c r="Q339" s="235"/>
    </row>
    <row r="340" spans="2:17">
      <c r="B340" s="241"/>
      <c r="C340" s="241"/>
      <c r="D340" s="241"/>
      <c r="E340" s="241"/>
      <c r="F340" s="259"/>
      <c r="G340" s="259"/>
      <c r="H340" s="259"/>
      <c r="I340" s="259"/>
      <c r="J340" s="259"/>
      <c r="K340" s="259"/>
      <c r="L340" s="259"/>
      <c r="M340" s="259"/>
      <c r="N340" s="259"/>
      <c r="O340" s="235"/>
      <c r="P340" s="235"/>
      <c r="Q340" s="235"/>
    </row>
    <row r="341" spans="2:17">
      <c r="B341" s="241"/>
      <c r="C341" s="241"/>
      <c r="D341" s="241"/>
      <c r="E341" s="241"/>
      <c r="F341" s="259"/>
      <c r="G341" s="259"/>
      <c r="H341" s="259"/>
      <c r="I341" s="259"/>
      <c r="J341" s="259"/>
      <c r="K341" s="259"/>
      <c r="L341" s="259"/>
      <c r="M341" s="259"/>
      <c r="N341" s="259"/>
      <c r="O341" s="235"/>
      <c r="P341" s="235"/>
      <c r="Q341" s="235"/>
    </row>
    <row r="342" spans="2:17">
      <c r="B342" s="241"/>
      <c r="C342" s="241"/>
      <c r="D342" s="241"/>
      <c r="E342" s="241"/>
      <c r="F342" s="259"/>
      <c r="G342" s="259"/>
      <c r="H342" s="259"/>
      <c r="I342" s="259"/>
      <c r="J342" s="259"/>
      <c r="K342" s="259"/>
      <c r="L342" s="259"/>
      <c r="M342" s="259"/>
      <c r="N342" s="259"/>
      <c r="O342" s="235"/>
      <c r="P342" s="235"/>
      <c r="Q342" s="235"/>
    </row>
    <row r="343" spans="2:17">
      <c r="B343" s="241"/>
      <c r="C343" s="241"/>
      <c r="D343" s="241"/>
      <c r="E343" s="241"/>
      <c r="F343" s="259"/>
      <c r="G343" s="259"/>
      <c r="H343" s="259"/>
      <c r="I343" s="259"/>
      <c r="J343" s="259"/>
      <c r="K343" s="259"/>
      <c r="L343" s="259"/>
      <c r="M343" s="259"/>
      <c r="N343" s="259"/>
      <c r="O343" s="235"/>
      <c r="P343" s="235"/>
      <c r="Q343" s="235"/>
    </row>
    <row r="344" spans="2:17">
      <c r="B344" s="241"/>
      <c r="C344" s="241"/>
      <c r="D344" s="241"/>
      <c r="E344" s="241"/>
      <c r="F344" s="259"/>
      <c r="G344" s="259"/>
      <c r="H344" s="259"/>
      <c r="I344" s="259"/>
      <c r="J344" s="259"/>
      <c r="K344" s="259"/>
      <c r="L344" s="259"/>
      <c r="M344" s="259"/>
      <c r="N344" s="259"/>
      <c r="O344" s="235"/>
      <c r="P344" s="235"/>
      <c r="Q344" s="235"/>
    </row>
    <row r="345" spans="2:17">
      <c r="B345" s="241"/>
      <c r="C345" s="241"/>
      <c r="D345" s="241"/>
      <c r="E345" s="241"/>
      <c r="F345" s="259"/>
      <c r="G345" s="259"/>
      <c r="H345" s="259"/>
      <c r="I345" s="259"/>
      <c r="J345" s="259"/>
      <c r="K345" s="259"/>
      <c r="L345" s="259"/>
      <c r="M345" s="259"/>
      <c r="N345" s="259"/>
      <c r="O345" s="235"/>
      <c r="P345" s="235"/>
      <c r="Q345" s="235"/>
    </row>
    <row r="346" spans="2:17">
      <c r="B346" s="241"/>
      <c r="C346" s="241"/>
      <c r="D346" s="241"/>
      <c r="E346" s="241"/>
      <c r="F346" s="259"/>
      <c r="G346" s="259"/>
      <c r="H346" s="259"/>
      <c r="I346" s="259"/>
      <c r="J346" s="259"/>
      <c r="K346" s="259"/>
      <c r="L346" s="259"/>
      <c r="M346" s="259"/>
      <c r="N346" s="259"/>
      <c r="O346" s="235"/>
      <c r="P346" s="235"/>
      <c r="Q346" s="235"/>
    </row>
    <row r="347" spans="2:17">
      <c r="B347" s="241"/>
      <c r="C347" s="241"/>
      <c r="D347" s="241"/>
      <c r="E347" s="241"/>
      <c r="F347" s="259"/>
      <c r="G347" s="259"/>
      <c r="H347" s="259"/>
      <c r="I347" s="259"/>
      <c r="J347" s="259"/>
      <c r="K347" s="259"/>
      <c r="L347" s="259"/>
      <c r="M347" s="259"/>
      <c r="N347" s="259"/>
      <c r="O347" s="235"/>
      <c r="P347" s="235"/>
      <c r="Q347" s="235"/>
    </row>
    <row r="348" spans="2:17">
      <c r="B348" s="241"/>
      <c r="C348" s="241"/>
      <c r="D348" s="241"/>
      <c r="E348" s="241"/>
      <c r="F348" s="259"/>
      <c r="G348" s="259"/>
      <c r="H348" s="259"/>
      <c r="I348" s="259"/>
      <c r="J348" s="259"/>
      <c r="K348" s="259"/>
      <c r="L348" s="259"/>
      <c r="M348" s="259"/>
      <c r="N348" s="259"/>
      <c r="O348" s="235"/>
      <c r="P348" s="235"/>
      <c r="Q348" s="235"/>
    </row>
    <row r="349" spans="2:17">
      <c r="B349" s="241"/>
      <c r="C349" s="241"/>
      <c r="D349" s="241"/>
      <c r="E349" s="241"/>
      <c r="F349" s="259"/>
      <c r="G349" s="259"/>
      <c r="H349" s="259"/>
      <c r="I349" s="259"/>
      <c r="J349" s="259"/>
      <c r="K349" s="259"/>
      <c r="L349" s="259"/>
      <c r="M349" s="259"/>
      <c r="N349" s="259"/>
      <c r="O349" s="235"/>
      <c r="P349" s="235"/>
      <c r="Q349" s="235"/>
    </row>
    <row r="350" spans="2:17">
      <c r="B350" s="241"/>
      <c r="C350" s="241"/>
      <c r="D350" s="241"/>
      <c r="E350" s="241"/>
      <c r="F350" s="259"/>
      <c r="G350" s="259"/>
      <c r="H350" s="259"/>
      <c r="I350" s="259"/>
      <c r="J350" s="259"/>
      <c r="K350" s="259"/>
      <c r="L350" s="259"/>
      <c r="M350" s="259"/>
      <c r="N350" s="259"/>
      <c r="O350" s="235"/>
      <c r="P350" s="235"/>
      <c r="Q350" s="235"/>
    </row>
    <row r="351" spans="2:17">
      <c r="B351" s="241"/>
      <c r="C351" s="241"/>
      <c r="D351" s="241"/>
      <c r="E351" s="241"/>
      <c r="F351" s="259"/>
      <c r="G351" s="259"/>
      <c r="H351" s="259"/>
      <c r="I351" s="259"/>
      <c r="J351" s="259"/>
      <c r="K351" s="259"/>
      <c r="L351" s="259"/>
      <c r="M351" s="259"/>
      <c r="N351" s="259"/>
      <c r="O351" s="235"/>
      <c r="P351" s="235"/>
      <c r="Q351" s="235"/>
    </row>
    <row r="352" spans="2:17">
      <c r="B352" s="241"/>
      <c r="C352" s="241"/>
      <c r="D352" s="241"/>
      <c r="E352" s="241"/>
      <c r="F352" s="259"/>
      <c r="G352" s="259"/>
      <c r="H352" s="259"/>
      <c r="I352" s="259"/>
      <c r="J352" s="259"/>
      <c r="K352" s="259"/>
      <c r="L352" s="259"/>
      <c r="M352" s="259"/>
      <c r="N352" s="259"/>
      <c r="O352" s="235"/>
      <c r="P352" s="235"/>
      <c r="Q352" s="235"/>
    </row>
    <row r="353" spans="2:17">
      <c r="B353" s="241"/>
      <c r="C353" s="241"/>
      <c r="D353" s="241"/>
      <c r="E353" s="241"/>
      <c r="F353" s="259"/>
      <c r="G353" s="259"/>
      <c r="H353" s="259"/>
      <c r="I353" s="259"/>
      <c r="J353" s="259"/>
      <c r="K353" s="259"/>
      <c r="L353" s="259"/>
      <c r="M353" s="259"/>
      <c r="N353" s="259"/>
      <c r="O353" s="235"/>
      <c r="P353" s="235"/>
      <c r="Q353" s="235"/>
    </row>
    <row r="354" spans="2:17">
      <c r="B354" s="241"/>
      <c r="C354" s="241"/>
      <c r="D354" s="241"/>
      <c r="E354" s="241"/>
      <c r="F354" s="259"/>
      <c r="G354" s="259"/>
      <c r="H354" s="259"/>
      <c r="I354" s="259"/>
      <c r="J354" s="259"/>
      <c r="K354" s="259"/>
      <c r="L354" s="259"/>
      <c r="M354" s="259"/>
      <c r="N354" s="259"/>
      <c r="O354" s="235"/>
      <c r="P354" s="235"/>
      <c r="Q354" s="235"/>
    </row>
    <row r="355" spans="2:17">
      <c r="B355" s="241"/>
      <c r="C355" s="241"/>
      <c r="D355" s="241"/>
      <c r="E355" s="241"/>
      <c r="F355" s="259"/>
      <c r="G355" s="259"/>
      <c r="H355" s="259"/>
      <c r="I355" s="259"/>
      <c r="J355" s="259"/>
      <c r="K355" s="259"/>
      <c r="L355" s="259"/>
      <c r="M355" s="259"/>
      <c r="N355" s="259"/>
      <c r="O355" s="235"/>
      <c r="P355" s="235"/>
      <c r="Q355" s="235"/>
    </row>
    <row r="356" spans="2:17">
      <c r="B356" s="241"/>
      <c r="C356" s="241"/>
      <c r="D356" s="241"/>
      <c r="E356" s="241"/>
      <c r="F356" s="259"/>
      <c r="G356" s="259"/>
      <c r="H356" s="259"/>
      <c r="I356" s="259"/>
      <c r="J356" s="259"/>
      <c r="K356" s="259"/>
      <c r="L356" s="259"/>
      <c r="M356" s="259"/>
      <c r="N356" s="259"/>
      <c r="O356" s="235"/>
      <c r="P356" s="235"/>
      <c r="Q356" s="235"/>
    </row>
    <row r="357" spans="2:17">
      <c r="B357" s="241"/>
      <c r="C357" s="241"/>
      <c r="D357" s="241"/>
      <c r="E357" s="241"/>
      <c r="F357" s="259"/>
      <c r="G357" s="259"/>
      <c r="H357" s="259"/>
      <c r="I357" s="259"/>
      <c r="J357" s="259"/>
      <c r="K357" s="259"/>
      <c r="L357" s="259"/>
      <c r="M357" s="259"/>
      <c r="N357" s="259"/>
      <c r="O357" s="235"/>
      <c r="P357" s="235"/>
      <c r="Q357" s="235"/>
    </row>
    <row r="358" spans="2:17">
      <c r="B358" s="241"/>
      <c r="C358" s="241"/>
      <c r="D358" s="241"/>
      <c r="E358" s="241"/>
      <c r="F358" s="259"/>
      <c r="G358" s="259"/>
      <c r="H358" s="259"/>
      <c r="I358" s="259"/>
      <c r="J358" s="259"/>
      <c r="K358" s="259"/>
      <c r="L358" s="259"/>
      <c r="M358" s="259"/>
      <c r="N358" s="259"/>
      <c r="O358" s="235"/>
      <c r="P358" s="235"/>
      <c r="Q358" s="235"/>
    </row>
    <row r="359" spans="2:17">
      <c r="B359" s="241"/>
      <c r="C359" s="241"/>
      <c r="D359" s="241"/>
      <c r="E359" s="241"/>
      <c r="F359" s="259"/>
      <c r="G359" s="259"/>
      <c r="H359" s="259"/>
      <c r="I359" s="259"/>
      <c r="J359" s="259"/>
      <c r="K359" s="259"/>
      <c r="L359" s="259"/>
      <c r="M359" s="259"/>
      <c r="N359" s="259"/>
      <c r="O359" s="235"/>
      <c r="P359" s="235"/>
      <c r="Q359" s="235"/>
    </row>
    <row r="360" spans="2:17">
      <c r="B360" s="241"/>
      <c r="C360" s="241"/>
      <c r="D360" s="241"/>
      <c r="E360" s="241"/>
      <c r="F360" s="259"/>
      <c r="G360" s="259"/>
      <c r="H360" s="259"/>
      <c r="I360" s="259"/>
      <c r="J360" s="259"/>
      <c r="K360" s="259"/>
      <c r="L360" s="259"/>
      <c r="M360" s="259"/>
      <c r="N360" s="259"/>
      <c r="O360" s="235"/>
      <c r="P360" s="235"/>
      <c r="Q360" s="235"/>
    </row>
    <row r="361" spans="2:17">
      <c r="B361" s="241"/>
      <c r="C361" s="241"/>
      <c r="D361" s="241"/>
      <c r="E361" s="241"/>
      <c r="F361" s="259"/>
      <c r="G361" s="259"/>
      <c r="H361" s="259"/>
      <c r="I361" s="259"/>
      <c r="J361" s="259"/>
      <c r="K361" s="259"/>
      <c r="L361" s="259"/>
      <c r="M361" s="259"/>
      <c r="N361" s="259"/>
      <c r="O361" s="235"/>
      <c r="P361" s="235"/>
      <c r="Q361" s="235"/>
    </row>
    <row r="362" spans="2:17">
      <c r="B362" s="241"/>
      <c r="C362" s="241"/>
      <c r="D362" s="241"/>
      <c r="E362" s="241"/>
      <c r="F362" s="259"/>
      <c r="G362" s="259"/>
      <c r="H362" s="259"/>
      <c r="I362" s="259"/>
      <c r="J362" s="259"/>
      <c r="K362" s="259"/>
      <c r="L362" s="259"/>
      <c r="M362" s="259"/>
      <c r="N362" s="259"/>
      <c r="O362" s="235"/>
      <c r="P362" s="235"/>
      <c r="Q362" s="235"/>
    </row>
    <row r="363" spans="2:17">
      <c r="B363" s="241"/>
      <c r="C363" s="241"/>
      <c r="D363" s="241"/>
      <c r="E363" s="241"/>
      <c r="F363" s="259"/>
      <c r="G363" s="259"/>
      <c r="H363" s="259"/>
      <c r="I363" s="259"/>
      <c r="J363" s="259"/>
      <c r="K363" s="259"/>
      <c r="L363" s="259"/>
      <c r="M363" s="259"/>
      <c r="N363" s="259"/>
      <c r="O363" s="235"/>
      <c r="P363" s="235"/>
      <c r="Q363" s="235"/>
    </row>
    <row r="364" spans="2:17">
      <c r="B364" s="241"/>
      <c r="C364" s="241"/>
      <c r="D364" s="241"/>
      <c r="E364" s="241"/>
      <c r="F364" s="259"/>
      <c r="G364" s="259"/>
      <c r="H364" s="259"/>
      <c r="I364" s="259"/>
      <c r="J364" s="259"/>
      <c r="K364" s="259"/>
      <c r="L364" s="259"/>
      <c r="M364" s="259"/>
      <c r="N364" s="259"/>
      <c r="O364" s="235"/>
      <c r="P364" s="235"/>
      <c r="Q364" s="235"/>
    </row>
    <row r="365" spans="2:17">
      <c r="B365" s="241"/>
      <c r="C365" s="241"/>
      <c r="D365" s="241"/>
      <c r="E365" s="241"/>
      <c r="F365" s="259"/>
      <c r="G365" s="259"/>
      <c r="H365" s="259"/>
      <c r="I365" s="259"/>
      <c r="J365" s="259"/>
      <c r="K365" s="259"/>
      <c r="L365" s="259"/>
      <c r="M365" s="259"/>
      <c r="N365" s="259"/>
      <c r="O365" s="235"/>
      <c r="P365" s="235"/>
      <c r="Q365" s="235"/>
    </row>
    <row r="366" spans="2:17">
      <c r="B366" s="241"/>
      <c r="C366" s="241"/>
      <c r="D366" s="241"/>
      <c r="E366" s="241"/>
      <c r="F366" s="259"/>
      <c r="G366" s="259"/>
      <c r="H366" s="259"/>
      <c r="I366" s="259"/>
      <c r="J366" s="259"/>
      <c r="K366" s="259"/>
      <c r="L366" s="259"/>
      <c r="M366" s="259"/>
      <c r="N366" s="259"/>
      <c r="O366" s="235"/>
      <c r="P366" s="235"/>
      <c r="Q366" s="235"/>
    </row>
    <row r="367" spans="2:17">
      <c r="B367" s="241"/>
      <c r="C367" s="241"/>
      <c r="D367" s="241"/>
      <c r="E367" s="241"/>
      <c r="F367" s="259"/>
      <c r="G367" s="259"/>
      <c r="H367" s="259"/>
      <c r="I367" s="259"/>
      <c r="J367" s="259"/>
      <c r="K367" s="259"/>
      <c r="L367" s="259"/>
      <c r="M367" s="259"/>
      <c r="N367" s="259"/>
      <c r="O367" s="235"/>
      <c r="P367" s="235"/>
      <c r="Q367" s="235"/>
    </row>
    <row r="368" spans="2:17">
      <c r="B368" s="241"/>
      <c r="C368" s="241"/>
      <c r="D368" s="241"/>
      <c r="E368" s="241"/>
      <c r="F368" s="259"/>
      <c r="G368" s="259"/>
      <c r="H368" s="259"/>
      <c r="I368" s="259"/>
      <c r="J368" s="259"/>
      <c r="K368" s="259"/>
      <c r="L368" s="259"/>
      <c r="M368" s="259"/>
      <c r="N368" s="259"/>
      <c r="O368" s="235"/>
      <c r="P368" s="235"/>
      <c r="Q368" s="235"/>
    </row>
    <row r="369" spans="2:17">
      <c r="B369" s="241"/>
      <c r="C369" s="241"/>
      <c r="D369" s="241"/>
      <c r="E369" s="241"/>
      <c r="F369" s="259"/>
      <c r="G369" s="259"/>
      <c r="H369" s="259"/>
      <c r="I369" s="259"/>
      <c r="J369" s="259"/>
      <c r="K369" s="259"/>
      <c r="L369" s="259"/>
      <c r="M369" s="259"/>
      <c r="N369" s="259"/>
      <c r="O369" s="235"/>
      <c r="P369" s="235"/>
      <c r="Q369" s="235"/>
    </row>
    <row r="370" spans="2:17">
      <c r="B370" s="241"/>
      <c r="C370" s="241"/>
      <c r="D370" s="241"/>
      <c r="E370" s="241"/>
      <c r="F370" s="259"/>
      <c r="G370" s="259"/>
      <c r="H370" s="259"/>
      <c r="I370" s="259"/>
      <c r="J370" s="259"/>
      <c r="K370" s="259"/>
      <c r="L370" s="259"/>
      <c r="M370" s="259"/>
      <c r="N370" s="259"/>
      <c r="O370" s="235"/>
      <c r="P370" s="235"/>
      <c r="Q370" s="235"/>
    </row>
    <row r="371" spans="2:17">
      <c r="B371" s="241"/>
      <c r="C371" s="241"/>
      <c r="D371" s="241"/>
      <c r="E371" s="241"/>
      <c r="F371" s="259"/>
      <c r="G371" s="259"/>
      <c r="H371" s="259"/>
      <c r="I371" s="259"/>
      <c r="J371" s="259"/>
      <c r="K371" s="259"/>
      <c r="L371" s="259"/>
      <c r="M371" s="259"/>
      <c r="N371" s="259"/>
      <c r="O371" s="235"/>
      <c r="P371" s="235"/>
      <c r="Q371" s="235"/>
    </row>
    <row r="372" spans="2:17">
      <c r="B372" s="241"/>
      <c r="C372" s="241"/>
      <c r="D372" s="241"/>
      <c r="E372" s="241"/>
      <c r="F372" s="259"/>
      <c r="G372" s="259"/>
      <c r="H372" s="259"/>
      <c r="I372" s="259"/>
      <c r="J372" s="259"/>
      <c r="K372" s="259"/>
      <c r="L372" s="259"/>
      <c r="M372" s="259"/>
      <c r="N372" s="259"/>
      <c r="O372" s="235"/>
      <c r="P372" s="235"/>
      <c r="Q372" s="235"/>
    </row>
    <row r="373" spans="2:17">
      <c r="B373" s="241"/>
      <c r="C373" s="241"/>
      <c r="D373" s="241"/>
      <c r="E373" s="241"/>
      <c r="F373" s="259"/>
      <c r="G373" s="259"/>
      <c r="H373" s="259"/>
      <c r="I373" s="259"/>
      <c r="J373" s="259"/>
      <c r="K373" s="259"/>
      <c r="L373" s="259"/>
      <c r="M373" s="259"/>
      <c r="N373" s="259"/>
      <c r="O373" s="235"/>
      <c r="P373" s="235"/>
      <c r="Q373" s="235"/>
    </row>
    <row r="374" spans="2:17">
      <c r="B374" s="241"/>
      <c r="C374" s="241"/>
      <c r="D374" s="241"/>
      <c r="E374" s="241"/>
      <c r="F374" s="259"/>
      <c r="G374" s="259"/>
      <c r="H374" s="259"/>
      <c r="I374" s="259"/>
      <c r="J374" s="259"/>
      <c r="K374" s="259"/>
      <c r="L374" s="259"/>
      <c r="M374" s="259"/>
      <c r="N374" s="259"/>
      <c r="O374" s="235"/>
      <c r="P374" s="235"/>
      <c r="Q374" s="235"/>
    </row>
    <row r="375" spans="2:17">
      <c r="B375" s="241"/>
      <c r="C375" s="241"/>
      <c r="D375" s="241"/>
      <c r="E375" s="241"/>
      <c r="F375" s="259"/>
      <c r="G375" s="259"/>
      <c r="H375" s="259"/>
      <c r="I375" s="259"/>
      <c r="J375" s="259"/>
      <c r="K375" s="259"/>
      <c r="L375" s="259"/>
      <c r="M375" s="259"/>
      <c r="N375" s="259"/>
      <c r="O375" s="235"/>
      <c r="P375" s="235"/>
      <c r="Q375" s="235"/>
    </row>
    <row r="376" spans="2:17">
      <c r="B376" s="241"/>
      <c r="C376" s="241"/>
      <c r="D376" s="241"/>
      <c r="E376" s="241"/>
      <c r="F376" s="259"/>
      <c r="G376" s="259"/>
      <c r="H376" s="259"/>
      <c r="I376" s="259"/>
      <c r="J376" s="259"/>
      <c r="K376" s="259"/>
      <c r="L376" s="259"/>
      <c r="M376" s="259"/>
      <c r="N376" s="259"/>
      <c r="O376" s="235"/>
      <c r="P376" s="235"/>
      <c r="Q376" s="235"/>
    </row>
    <row r="377" spans="2:17">
      <c r="B377" s="241"/>
      <c r="C377" s="241"/>
      <c r="D377" s="241"/>
      <c r="E377" s="241"/>
      <c r="F377" s="259"/>
      <c r="G377" s="259"/>
      <c r="H377" s="259"/>
      <c r="I377" s="259"/>
      <c r="J377" s="259"/>
      <c r="K377" s="259"/>
      <c r="L377" s="259"/>
      <c r="M377" s="259"/>
      <c r="N377" s="259"/>
      <c r="O377" s="235"/>
      <c r="P377" s="235"/>
      <c r="Q377" s="235"/>
    </row>
    <row r="378" spans="2:17">
      <c r="B378" s="241"/>
      <c r="C378" s="241"/>
      <c r="D378" s="241"/>
      <c r="E378" s="241"/>
      <c r="F378" s="259"/>
      <c r="G378" s="259"/>
      <c r="H378" s="259"/>
      <c r="I378" s="259"/>
      <c r="J378" s="259"/>
      <c r="K378" s="259"/>
      <c r="L378" s="259"/>
      <c r="M378" s="259"/>
      <c r="N378" s="259"/>
      <c r="O378" s="235"/>
      <c r="P378" s="235"/>
      <c r="Q378" s="235"/>
    </row>
    <row r="379" spans="2:17">
      <c r="B379" s="241"/>
      <c r="C379" s="241"/>
      <c r="D379" s="241"/>
      <c r="E379" s="241"/>
      <c r="F379" s="259"/>
      <c r="G379" s="259"/>
      <c r="H379" s="259"/>
      <c r="I379" s="259"/>
      <c r="J379" s="259"/>
      <c r="K379" s="259"/>
      <c r="L379" s="259"/>
      <c r="M379" s="259"/>
      <c r="N379" s="259"/>
      <c r="O379" s="235"/>
      <c r="P379" s="235"/>
      <c r="Q379" s="235"/>
    </row>
    <row r="380" spans="2:17">
      <c r="B380" s="241"/>
      <c r="C380" s="241"/>
      <c r="D380" s="241"/>
      <c r="E380" s="241"/>
      <c r="F380" s="259"/>
      <c r="G380" s="259"/>
      <c r="H380" s="259"/>
      <c r="I380" s="259"/>
      <c r="J380" s="259"/>
      <c r="K380" s="259"/>
      <c r="L380" s="259"/>
      <c r="M380" s="259"/>
      <c r="N380" s="259"/>
      <c r="O380" s="235"/>
      <c r="P380" s="235"/>
      <c r="Q380" s="235"/>
    </row>
    <row r="381" spans="2:17">
      <c r="B381" s="241"/>
      <c r="C381" s="241"/>
      <c r="D381" s="241"/>
      <c r="E381" s="241"/>
      <c r="F381" s="259"/>
      <c r="G381" s="259"/>
      <c r="H381" s="259"/>
      <c r="I381" s="259"/>
      <c r="J381" s="259"/>
      <c r="K381" s="259"/>
      <c r="L381" s="259"/>
      <c r="M381" s="259"/>
      <c r="N381" s="259"/>
      <c r="O381" s="235"/>
      <c r="P381" s="235"/>
      <c r="Q381" s="235"/>
    </row>
    <row r="382" spans="2:17">
      <c r="B382" s="241"/>
      <c r="C382" s="241"/>
      <c r="D382" s="241"/>
      <c r="E382" s="241"/>
      <c r="F382" s="259"/>
      <c r="G382" s="259"/>
      <c r="H382" s="259"/>
      <c r="I382" s="259"/>
      <c r="J382" s="259"/>
      <c r="K382" s="259"/>
      <c r="L382" s="259"/>
      <c r="M382" s="259"/>
      <c r="N382" s="259"/>
      <c r="O382" s="235"/>
      <c r="P382" s="235"/>
      <c r="Q382" s="235"/>
    </row>
    <row r="383" spans="2:17">
      <c r="B383" s="241"/>
      <c r="C383" s="241"/>
      <c r="D383" s="241"/>
      <c r="E383" s="241"/>
      <c r="F383" s="259"/>
      <c r="G383" s="259"/>
      <c r="H383" s="259"/>
      <c r="I383" s="259"/>
      <c r="J383" s="259"/>
      <c r="K383" s="259"/>
      <c r="L383" s="259"/>
      <c r="M383" s="259"/>
      <c r="N383" s="259"/>
      <c r="O383" s="235"/>
      <c r="P383" s="235"/>
      <c r="Q383" s="235"/>
    </row>
    <row r="384" spans="2:17">
      <c r="B384" s="241"/>
      <c r="C384" s="241"/>
      <c r="D384" s="241"/>
      <c r="E384" s="241"/>
      <c r="F384" s="259"/>
      <c r="G384" s="259"/>
      <c r="H384" s="259"/>
      <c r="I384" s="259"/>
      <c r="J384" s="259"/>
      <c r="K384" s="259"/>
      <c r="L384" s="259"/>
      <c r="M384" s="259"/>
      <c r="N384" s="259"/>
      <c r="O384" s="235"/>
      <c r="P384" s="235"/>
      <c r="Q384" s="235"/>
    </row>
    <row r="385" spans="2:17">
      <c r="B385" s="241"/>
      <c r="C385" s="241"/>
      <c r="D385" s="241"/>
      <c r="E385" s="241"/>
      <c r="F385" s="259"/>
      <c r="G385" s="259"/>
      <c r="H385" s="259"/>
      <c r="I385" s="259"/>
      <c r="J385" s="259"/>
      <c r="K385" s="259"/>
      <c r="L385" s="259"/>
      <c r="M385" s="259"/>
      <c r="N385" s="259"/>
      <c r="O385" s="235"/>
      <c r="P385" s="235"/>
      <c r="Q385" s="235"/>
    </row>
    <row r="386" spans="2:17">
      <c r="B386" s="241"/>
      <c r="C386" s="241"/>
      <c r="D386" s="241"/>
      <c r="E386" s="241"/>
      <c r="F386" s="259"/>
      <c r="G386" s="259"/>
      <c r="H386" s="259"/>
      <c r="I386" s="259"/>
      <c r="J386" s="259"/>
      <c r="K386" s="259"/>
      <c r="L386" s="259"/>
      <c r="M386" s="259"/>
      <c r="N386" s="259"/>
      <c r="O386" s="235"/>
      <c r="P386" s="235"/>
      <c r="Q386" s="235"/>
    </row>
    <row r="387" spans="2:17">
      <c r="B387" s="241"/>
      <c r="C387" s="241"/>
      <c r="D387" s="241"/>
      <c r="E387" s="241"/>
      <c r="F387" s="259"/>
      <c r="G387" s="259"/>
      <c r="H387" s="259"/>
      <c r="I387" s="259"/>
      <c r="J387" s="259"/>
      <c r="K387" s="259"/>
      <c r="L387" s="259"/>
      <c r="M387" s="259"/>
      <c r="N387" s="259"/>
      <c r="O387" s="235"/>
      <c r="P387" s="235"/>
      <c r="Q387" s="235"/>
    </row>
    <row r="388" spans="2:17">
      <c r="B388" s="241"/>
      <c r="C388" s="241"/>
      <c r="D388" s="241"/>
      <c r="E388" s="241"/>
      <c r="F388" s="259"/>
      <c r="G388" s="259"/>
      <c r="H388" s="259"/>
      <c r="I388" s="259"/>
      <c r="J388" s="259"/>
      <c r="K388" s="259"/>
      <c r="L388" s="259"/>
      <c r="M388" s="259"/>
      <c r="N388" s="259"/>
      <c r="O388" s="235"/>
      <c r="P388" s="235"/>
      <c r="Q388" s="235"/>
    </row>
    <row r="389" spans="2:17">
      <c r="B389" s="241"/>
      <c r="C389" s="241"/>
      <c r="D389" s="241"/>
      <c r="E389" s="241"/>
      <c r="F389" s="259"/>
      <c r="G389" s="259"/>
      <c r="H389" s="259"/>
      <c r="I389" s="259"/>
      <c r="J389" s="259"/>
      <c r="K389" s="259"/>
      <c r="L389" s="259"/>
      <c r="M389" s="259"/>
      <c r="N389" s="259"/>
      <c r="O389" s="235"/>
      <c r="P389" s="235"/>
      <c r="Q389" s="235"/>
    </row>
    <row r="390" spans="2:17">
      <c r="B390" s="241"/>
      <c r="C390" s="241"/>
      <c r="D390" s="241"/>
      <c r="E390" s="241"/>
      <c r="F390" s="259"/>
      <c r="G390" s="259"/>
      <c r="H390" s="259"/>
      <c r="I390" s="259"/>
      <c r="J390" s="259"/>
      <c r="K390" s="259"/>
      <c r="L390" s="259"/>
      <c r="M390" s="259"/>
      <c r="N390" s="259"/>
      <c r="O390" s="235"/>
      <c r="P390" s="235"/>
      <c r="Q390" s="235"/>
    </row>
    <row r="391" spans="2:17">
      <c r="B391" s="241"/>
      <c r="C391" s="241"/>
      <c r="D391" s="241"/>
      <c r="E391" s="241"/>
      <c r="F391" s="259"/>
      <c r="G391" s="259"/>
      <c r="H391" s="259"/>
      <c r="I391" s="259"/>
      <c r="J391" s="259"/>
      <c r="K391" s="259"/>
      <c r="L391" s="259"/>
      <c r="M391" s="259"/>
      <c r="N391" s="259"/>
      <c r="O391" s="235"/>
      <c r="P391" s="235"/>
      <c r="Q391" s="235"/>
    </row>
    <row r="392" spans="2:17">
      <c r="B392" s="241"/>
      <c r="C392" s="241"/>
      <c r="D392" s="241"/>
      <c r="E392" s="241"/>
      <c r="F392" s="259"/>
      <c r="G392" s="259"/>
      <c r="H392" s="259"/>
      <c r="I392" s="259"/>
      <c r="J392" s="259"/>
      <c r="K392" s="259"/>
      <c r="L392" s="259"/>
      <c r="M392" s="259"/>
      <c r="N392" s="259"/>
      <c r="O392" s="235"/>
      <c r="P392" s="235"/>
      <c r="Q392" s="235"/>
    </row>
    <row r="393" spans="2:17">
      <c r="B393" s="241"/>
      <c r="C393" s="241"/>
      <c r="D393" s="241"/>
      <c r="E393" s="241"/>
      <c r="F393" s="259"/>
      <c r="G393" s="259"/>
      <c r="H393" s="259"/>
      <c r="I393" s="259"/>
      <c r="J393" s="259"/>
      <c r="K393" s="259"/>
      <c r="L393" s="259"/>
      <c r="M393" s="259"/>
      <c r="N393" s="259"/>
      <c r="O393" s="235"/>
      <c r="P393" s="235"/>
      <c r="Q393" s="235"/>
    </row>
    <row r="394" spans="2:17">
      <c r="B394" s="241"/>
      <c r="C394" s="241"/>
      <c r="D394" s="241"/>
      <c r="E394" s="241"/>
      <c r="F394" s="259"/>
      <c r="G394" s="259"/>
      <c r="H394" s="259"/>
      <c r="I394" s="259"/>
      <c r="J394" s="259"/>
      <c r="K394" s="259"/>
      <c r="L394" s="259"/>
      <c r="M394" s="259"/>
      <c r="N394" s="259"/>
      <c r="O394" s="235"/>
      <c r="P394" s="235"/>
      <c r="Q394" s="235"/>
    </row>
    <row r="395" spans="2:17">
      <c r="B395" s="241"/>
      <c r="C395" s="241"/>
      <c r="D395" s="241"/>
      <c r="E395" s="241"/>
      <c r="F395" s="259"/>
      <c r="G395" s="259"/>
      <c r="H395" s="259"/>
      <c r="I395" s="259"/>
      <c r="J395" s="259"/>
      <c r="K395" s="259"/>
      <c r="L395" s="259"/>
      <c r="M395" s="259"/>
      <c r="N395" s="259"/>
      <c r="O395" s="235"/>
      <c r="P395" s="235"/>
      <c r="Q395" s="235"/>
    </row>
    <row r="396" spans="2:17">
      <c r="B396" s="241"/>
      <c r="C396" s="241"/>
      <c r="D396" s="241"/>
      <c r="E396" s="241"/>
      <c r="F396" s="259"/>
      <c r="G396" s="259"/>
      <c r="H396" s="259"/>
      <c r="I396" s="259"/>
      <c r="J396" s="259"/>
      <c r="K396" s="259"/>
      <c r="L396" s="259"/>
      <c r="M396" s="259"/>
      <c r="N396" s="259"/>
      <c r="O396" s="235"/>
      <c r="P396" s="235"/>
      <c r="Q396" s="235"/>
    </row>
    <row r="397" spans="2:17">
      <c r="B397" s="241"/>
      <c r="C397" s="241"/>
      <c r="D397" s="241"/>
      <c r="E397" s="241"/>
      <c r="F397" s="259"/>
      <c r="G397" s="259"/>
      <c r="H397" s="259"/>
      <c r="I397" s="259"/>
      <c r="J397" s="259"/>
      <c r="K397" s="259"/>
      <c r="L397" s="259"/>
      <c r="M397" s="259"/>
      <c r="N397" s="259"/>
      <c r="O397" s="235"/>
      <c r="P397" s="235"/>
      <c r="Q397" s="235"/>
    </row>
    <row r="398" spans="2:17">
      <c r="B398" s="241"/>
      <c r="C398" s="241"/>
      <c r="D398" s="241"/>
      <c r="E398" s="241"/>
      <c r="F398" s="259"/>
      <c r="G398" s="259"/>
      <c r="H398" s="259"/>
      <c r="I398" s="259"/>
      <c r="J398" s="259"/>
      <c r="K398" s="259"/>
      <c r="L398" s="259"/>
      <c r="M398" s="259"/>
      <c r="N398" s="259"/>
      <c r="O398" s="235"/>
      <c r="P398" s="235"/>
      <c r="Q398" s="235"/>
    </row>
    <row r="399" spans="2:17">
      <c r="B399" s="241"/>
      <c r="C399" s="241"/>
      <c r="D399" s="241"/>
      <c r="E399" s="241"/>
      <c r="F399" s="259"/>
      <c r="G399" s="259"/>
      <c r="H399" s="259"/>
      <c r="I399" s="259"/>
      <c r="J399" s="259"/>
      <c r="K399" s="259"/>
      <c r="L399" s="259"/>
      <c r="M399" s="259"/>
      <c r="N399" s="259"/>
      <c r="O399" s="235"/>
      <c r="P399" s="235"/>
      <c r="Q399" s="235"/>
    </row>
    <row r="400" spans="2:17">
      <c r="B400" s="241"/>
      <c r="C400" s="241"/>
      <c r="D400" s="241"/>
      <c r="E400" s="241"/>
      <c r="F400" s="259"/>
      <c r="G400" s="259"/>
      <c r="H400" s="259"/>
      <c r="I400" s="259"/>
      <c r="J400" s="259"/>
      <c r="K400" s="259"/>
      <c r="L400" s="259"/>
      <c r="M400" s="259"/>
      <c r="N400" s="259"/>
      <c r="O400" s="235"/>
      <c r="P400" s="235"/>
      <c r="Q400" s="235"/>
    </row>
    <row r="401" spans="2:17">
      <c r="B401" s="241"/>
      <c r="C401" s="241"/>
      <c r="D401" s="241"/>
      <c r="E401" s="241"/>
      <c r="F401" s="259"/>
      <c r="G401" s="259"/>
      <c r="H401" s="259"/>
      <c r="I401" s="259"/>
      <c r="J401" s="259"/>
      <c r="K401" s="259"/>
      <c r="L401" s="259"/>
      <c r="M401" s="259"/>
      <c r="N401" s="259"/>
      <c r="O401" s="235"/>
      <c r="P401" s="235"/>
      <c r="Q401" s="235"/>
    </row>
    <row r="402" spans="2:17">
      <c r="B402" s="241"/>
      <c r="C402" s="241"/>
      <c r="D402" s="241"/>
      <c r="E402" s="241"/>
      <c r="F402" s="259"/>
      <c r="G402" s="259"/>
      <c r="H402" s="259"/>
      <c r="I402" s="259"/>
      <c r="J402" s="259"/>
      <c r="K402" s="259"/>
      <c r="L402" s="259"/>
      <c r="M402" s="259"/>
      <c r="N402" s="259"/>
      <c r="O402" s="235"/>
      <c r="P402" s="235"/>
      <c r="Q402" s="235"/>
    </row>
    <row r="403" spans="2:17">
      <c r="B403" s="241"/>
      <c r="C403" s="241"/>
      <c r="D403" s="241"/>
      <c r="E403" s="241"/>
      <c r="F403" s="259"/>
      <c r="G403" s="259"/>
      <c r="H403" s="259"/>
      <c r="I403" s="259"/>
      <c r="J403" s="259"/>
      <c r="K403" s="259"/>
      <c r="L403" s="259"/>
      <c r="M403" s="259"/>
      <c r="N403" s="259"/>
      <c r="O403" s="235"/>
      <c r="P403" s="235"/>
      <c r="Q403" s="235"/>
    </row>
    <row r="404" spans="2:17">
      <c r="B404" s="241"/>
      <c r="C404" s="241"/>
      <c r="D404" s="241"/>
      <c r="E404" s="241"/>
      <c r="F404" s="259"/>
      <c r="G404" s="259"/>
      <c r="H404" s="259"/>
      <c r="I404" s="259"/>
      <c r="J404" s="259"/>
      <c r="K404" s="259"/>
      <c r="L404" s="259"/>
      <c r="M404" s="259"/>
      <c r="N404" s="259"/>
      <c r="O404" s="235"/>
      <c r="P404" s="235"/>
      <c r="Q404" s="235"/>
    </row>
    <row r="405" spans="2:17">
      <c r="B405" s="241"/>
      <c r="C405" s="241"/>
      <c r="D405" s="241"/>
      <c r="E405" s="241"/>
      <c r="F405" s="259"/>
      <c r="G405" s="259"/>
      <c r="H405" s="259"/>
      <c r="I405" s="259"/>
      <c r="J405" s="259"/>
      <c r="K405" s="259"/>
      <c r="L405" s="259"/>
      <c r="M405" s="259"/>
      <c r="N405" s="259"/>
      <c r="O405" s="235"/>
      <c r="P405" s="235"/>
      <c r="Q405" s="235"/>
    </row>
    <row r="406" spans="2:17">
      <c r="B406" s="241"/>
      <c r="C406" s="241"/>
      <c r="D406" s="241"/>
      <c r="E406" s="241"/>
      <c r="F406" s="259"/>
      <c r="G406" s="259"/>
      <c r="H406" s="259"/>
      <c r="I406" s="259"/>
      <c r="J406" s="259"/>
      <c r="K406" s="259"/>
      <c r="L406" s="259"/>
      <c r="M406" s="259"/>
      <c r="N406" s="259"/>
      <c r="O406" s="235"/>
      <c r="P406" s="235"/>
      <c r="Q406" s="235"/>
    </row>
    <row r="407" spans="2:17">
      <c r="B407" s="241"/>
      <c r="C407" s="241"/>
      <c r="D407" s="241"/>
      <c r="E407" s="241"/>
      <c r="F407" s="259"/>
      <c r="G407" s="259"/>
      <c r="H407" s="259"/>
      <c r="I407" s="259"/>
      <c r="J407" s="259"/>
      <c r="K407" s="259"/>
      <c r="L407" s="259"/>
      <c r="M407" s="259"/>
      <c r="N407" s="259"/>
      <c r="O407" s="235"/>
      <c r="P407" s="235"/>
      <c r="Q407" s="235"/>
    </row>
    <row r="408" spans="2:17">
      <c r="B408" s="241"/>
      <c r="C408" s="241"/>
      <c r="D408" s="241"/>
      <c r="E408" s="241"/>
      <c r="F408" s="259"/>
      <c r="G408" s="259"/>
      <c r="H408" s="259"/>
      <c r="I408" s="259"/>
      <c r="J408" s="259"/>
      <c r="K408" s="259"/>
      <c r="L408" s="259"/>
      <c r="M408" s="259"/>
      <c r="N408" s="259"/>
      <c r="O408" s="235"/>
      <c r="P408" s="235"/>
      <c r="Q408" s="235"/>
    </row>
    <row r="409" spans="2:17">
      <c r="B409" s="241"/>
      <c r="C409" s="241"/>
      <c r="D409" s="241"/>
      <c r="E409" s="241"/>
      <c r="F409" s="259"/>
      <c r="G409" s="259"/>
      <c r="H409" s="259"/>
      <c r="I409" s="259"/>
      <c r="J409" s="259"/>
      <c r="K409" s="259"/>
      <c r="L409" s="259"/>
      <c r="M409" s="259"/>
      <c r="N409" s="259"/>
      <c r="O409" s="235"/>
      <c r="P409" s="235"/>
      <c r="Q409" s="235"/>
    </row>
    <row r="410" spans="2:17">
      <c r="B410" s="241"/>
      <c r="C410" s="241"/>
      <c r="D410" s="241"/>
      <c r="E410" s="241"/>
      <c r="F410" s="259"/>
      <c r="G410" s="259"/>
      <c r="H410" s="259"/>
      <c r="I410" s="259"/>
      <c r="J410" s="259"/>
      <c r="K410" s="259"/>
      <c r="L410" s="259"/>
      <c r="M410" s="259"/>
      <c r="N410" s="259"/>
      <c r="O410" s="235"/>
      <c r="P410" s="235"/>
      <c r="Q410" s="235"/>
    </row>
    <row r="411" spans="2:17">
      <c r="B411" s="241"/>
      <c r="C411" s="241"/>
      <c r="D411" s="241"/>
      <c r="E411" s="241"/>
      <c r="F411" s="259"/>
      <c r="G411" s="259"/>
      <c r="H411" s="259"/>
      <c r="I411" s="259"/>
      <c r="J411" s="259"/>
      <c r="K411" s="259"/>
      <c r="L411" s="259"/>
      <c r="M411" s="259"/>
      <c r="N411" s="259"/>
      <c r="O411" s="235"/>
      <c r="P411" s="235"/>
      <c r="Q411" s="235"/>
    </row>
    <row r="412" spans="2:17">
      <c r="B412" s="241"/>
      <c r="C412" s="241"/>
      <c r="D412" s="241"/>
      <c r="E412" s="241"/>
      <c r="F412" s="259"/>
      <c r="G412" s="259"/>
      <c r="H412" s="259"/>
      <c r="I412" s="259"/>
      <c r="J412" s="259"/>
      <c r="K412" s="259"/>
      <c r="L412" s="259"/>
      <c r="M412" s="259"/>
      <c r="N412" s="259"/>
      <c r="O412" s="235"/>
      <c r="P412" s="235"/>
      <c r="Q412" s="235"/>
    </row>
    <row r="413" spans="2:17">
      <c r="B413" s="241"/>
      <c r="C413" s="241"/>
      <c r="D413" s="241"/>
      <c r="E413" s="241"/>
      <c r="F413" s="259"/>
      <c r="G413" s="259"/>
      <c r="H413" s="259"/>
      <c r="I413" s="259"/>
      <c r="J413" s="259"/>
      <c r="K413" s="259"/>
      <c r="L413" s="259"/>
      <c r="M413" s="259"/>
      <c r="N413" s="259"/>
      <c r="O413" s="235"/>
      <c r="P413" s="235"/>
      <c r="Q413" s="235"/>
    </row>
    <row r="414" spans="2:17">
      <c r="B414" s="241"/>
      <c r="C414" s="241"/>
      <c r="D414" s="241"/>
      <c r="E414" s="241"/>
      <c r="F414" s="259"/>
      <c r="G414" s="259"/>
      <c r="H414" s="259"/>
      <c r="I414" s="259"/>
      <c r="J414" s="259"/>
      <c r="K414" s="259"/>
      <c r="L414" s="259"/>
      <c r="M414" s="259"/>
      <c r="N414" s="259"/>
      <c r="O414" s="235"/>
      <c r="P414" s="235"/>
      <c r="Q414" s="235"/>
    </row>
    <row r="415" spans="2:17">
      <c r="B415" s="241"/>
      <c r="C415" s="241"/>
      <c r="D415" s="241"/>
      <c r="E415" s="241"/>
      <c r="F415" s="259"/>
      <c r="G415" s="259"/>
      <c r="H415" s="259"/>
      <c r="I415" s="259"/>
      <c r="J415" s="259"/>
      <c r="K415" s="259"/>
      <c r="L415" s="259"/>
      <c r="M415" s="259"/>
      <c r="N415" s="259"/>
      <c r="O415" s="235"/>
      <c r="P415" s="235"/>
      <c r="Q415" s="235"/>
    </row>
    <row r="416" spans="2:17">
      <c r="B416" s="241"/>
      <c r="C416" s="241"/>
      <c r="D416" s="241"/>
      <c r="E416" s="241"/>
      <c r="F416" s="259"/>
      <c r="G416" s="259"/>
      <c r="H416" s="259"/>
      <c r="I416" s="259"/>
      <c r="J416" s="259"/>
      <c r="K416" s="259"/>
      <c r="L416" s="259"/>
      <c r="M416" s="259"/>
      <c r="N416" s="259"/>
      <c r="O416" s="235"/>
      <c r="P416" s="235"/>
      <c r="Q416" s="235"/>
    </row>
    <row r="417" spans="2:17">
      <c r="B417" s="241"/>
      <c r="C417" s="241"/>
      <c r="D417" s="241"/>
      <c r="E417" s="241"/>
      <c r="F417" s="259"/>
      <c r="G417" s="259"/>
      <c r="H417" s="259"/>
      <c r="I417" s="259"/>
      <c r="J417" s="259"/>
      <c r="K417" s="259"/>
      <c r="L417" s="259"/>
      <c r="M417" s="259"/>
      <c r="N417" s="259"/>
      <c r="O417" s="235"/>
      <c r="P417" s="235"/>
      <c r="Q417" s="235"/>
    </row>
    <row r="418" spans="2:17">
      <c r="B418" s="241"/>
      <c r="C418" s="241"/>
      <c r="D418" s="241"/>
      <c r="E418" s="241"/>
      <c r="F418" s="259"/>
      <c r="G418" s="259"/>
      <c r="H418" s="259"/>
      <c r="I418" s="259"/>
      <c r="J418" s="259"/>
      <c r="K418" s="259"/>
      <c r="L418" s="259"/>
      <c r="M418" s="259"/>
      <c r="N418" s="259"/>
      <c r="O418" s="235"/>
      <c r="P418" s="235"/>
      <c r="Q418" s="235"/>
    </row>
    <row r="419" spans="2:17">
      <c r="B419" s="241"/>
      <c r="C419" s="241"/>
      <c r="D419" s="241"/>
      <c r="E419" s="241"/>
      <c r="F419" s="259"/>
      <c r="G419" s="259"/>
      <c r="H419" s="259"/>
      <c r="I419" s="259"/>
      <c r="J419" s="259"/>
      <c r="K419" s="259"/>
      <c r="L419" s="259"/>
      <c r="M419" s="259"/>
      <c r="N419" s="259"/>
      <c r="O419" s="235"/>
      <c r="P419" s="235"/>
      <c r="Q419" s="235"/>
    </row>
    <row r="420" spans="2:17">
      <c r="B420" s="241"/>
      <c r="C420" s="241"/>
      <c r="D420" s="241"/>
      <c r="E420" s="241"/>
      <c r="F420" s="259"/>
      <c r="G420" s="259"/>
      <c r="H420" s="259"/>
      <c r="I420" s="259"/>
      <c r="J420" s="259"/>
      <c r="K420" s="259"/>
      <c r="L420" s="259"/>
      <c r="M420" s="259"/>
      <c r="N420" s="259"/>
      <c r="O420" s="235"/>
      <c r="P420" s="235"/>
      <c r="Q420" s="235"/>
    </row>
    <row r="421" spans="2:17">
      <c r="B421" s="241"/>
      <c r="C421" s="241"/>
      <c r="D421" s="241"/>
      <c r="E421" s="241"/>
      <c r="F421" s="259"/>
      <c r="G421" s="259"/>
      <c r="H421" s="259"/>
      <c r="I421" s="259"/>
      <c r="J421" s="259"/>
      <c r="K421" s="259"/>
      <c r="L421" s="259"/>
      <c r="M421" s="259"/>
      <c r="N421" s="259"/>
      <c r="O421" s="235"/>
      <c r="P421" s="235"/>
      <c r="Q421" s="235"/>
    </row>
    <row r="422" spans="2:17">
      <c r="B422" s="241"/>
      <c r="C422" s="241"/>
      <c r="D422" s="241"/>
      <c r="E422" s="241"/>
      <c r="F422" s="259"/>
      <c r="G422" s="259"/>
      <c r="H422" s="259"/>
      <c r="I422" s="259"/>
      <c r="J422" s="259"/>
      <c r="K422" s="259"/>
      <c r="L422" s="259"/>
      <c r="M422" s="259"/>
      <c r="N422" s="259"/>
      <c r="O422" s="235"/>
      <c r="P422" s="235"/>
      <c r="Q422" s="235"/>
    </row>
    <row r="423" spans="2:17">
      <c r="B423" s="241"/>
      <c r="C423" s="241"/>
      <c r="D423" s="241"/>
      <c r="E423" s="241"/>
      <c r="F423" s="259"/>
      <c r="G423" s="259"/>
      <c r="H423" s="259"/>
      <c r="I423" s="259"/>
      <c r="J423" s="259"/>
      <c r="K423" s="259"/>
      <c r="L423" s="259"/>
      <c r="M423" s="259"/>
      <c r="N423" s="259"/>
      <c r="O423" s="235"/>
      <c r="P423" s="235"/>
      <c r="Q423" s="235"/>
    </row>
    <row r="424" spans="2:17">
      <c r="B424" s="241"/>
      <c r="C424" s="241"/>
      <c r="D424" s="241"/>
      <c r="E424" s="241"/>
      <c r="F424" s="259"/>
      <c r="G424" s="259"/>
      <c r="H424" s="259"/>
      <c r="I424" s="259"/>
      <c r="J424" s="259"/>
      <c r="K424" s="259"/>
      <c r="L424" s="259"/>
      <c r="M424" s="259"/>
      <c r="N424" s="259"/>
      <c r="O424" s="235"/>
      <c r="P424" s="235"/>
      <c r="Q424" s="235"/>
    </row>
    <row r="425" spans="2:17">
      <c r="B425" s="241"/>
      <c r="C425" s="241"/>
      <c r="D425" s="241"/>
      <c r="E425" s="241"/>
      <c r="F425" s="259"/>
      <c r="G425" s="259"/>
      <c r="H425" s="259"/>
      <c r="I425" s="259"/>
      <c r="J425" s="259"/>
      <c r="K425" s="259"/>
      <c r="L425" s="259"/>
      <c r="M425" s="259"/>
      <c r="N425" s="259"/>
      <c r="O425" s="235"/>
      <c r="P425" s="235"/>
      <c r="Q425" s="235"/>
    </row>
    <row r="426" spans="2:17">
      <c r="B426" s="241"/>
      <c r="C426" s="241"/>
      <c r="D426" s="241"/>
      <c r="E426" s="241"/>
      <c r="F426" s="259"/>
      <c r="G426" s="259"/>
      <c r="H426" s="259"/>
      <c r="I426" s="259"/>
      <c r="J426" s="259"/>
      <c r="K426" s="259"/>
      <c r="L426" s="259"/>
      <c r="M426" s="259"/>
      <c r="N426" s="259"/>
      <c r="O426" s="235"/>
      <c r="P426" s="235"/>
      <c r="Q426" s="235"/>
    </row>
    <row r="427" spans="2:17">
      <c r="B427" s="241"/>
      <c r="C427" s="241"/>
      <c r="D427" s="241"/>
      <c r="E427" s="241"/>
      <c r="F427" s="259"/>
      <c r="G427" s="259"/>
      <c r="H427" s="259"/>
      <c r="I427" s="259"/>
      <c r="J427" s="259"/>
      <c r="K427" s="259"/>
      <c r="L427" s="259"/>
      <c r="M427" s="259"/>
      <c r="N427" s="259"/>
      <c r="O427" s="235"/>
      <c r="P427" s="235"/>
      <c r="Q427" s="235"/>
    </row>
    <row r="428" spans="2:17">
      <c r="B428" s="241"/>
      <c r="C428" s="241"/>
      <c r="D428" s="241"/>
      <c r="E428" s="241"/>
      <c r="F428" s="259"/>
      <c r="G428" s="259"/>
      <c r="H428" s="259"/>
      <c r="I428" s="259"/>
      <c r="J428" s="259"/>
      <c r="K428" s="259"/>
      <c r="L428" s="259"/>
      <c r="M428" s="259"/>
      <c r="N428" s="259"/>
      <c r="O428" s="235"/>
      <c r="P428" s="235"/>
      <c r="Q428" s="235"/>
    </row>
    <row r="429" spans="2:17">
      <c r="B429" s="241"/>
      <c r="C429" s="241"/>
      <c r="D429" s="241"/>
      <c r="E429" s="241"/>
      <c r="F429" s="259"/>
      <c r="G429" s="259"/>
      <c r="H429" s="259"/>
      <c r="I429" s="259"/>
      <c r="J429" s="259"/>
      <c r="K429" s="259"/>
      <c r="L429" s="259"/>
      <c r="M429" s="259"/>
      <c r="N429" s="259"/>
      <c r="O429" s="235"/>
      <c r="P429" s="235"/>
      <c r="Q429" s="235"/>
    </row>
    <row r="430" spans="2:17">
      <c r="B430" s="241"/>
      <c r="C430" s="241"/>
      <c r="D430" s="241"/>
      <c r="E430" s="241"/>
      <c r="F430" s="259"/>
      <c r="G430" s="259"/>
      <c r="H430" s="259"/>
      <c r="I430" s="259"/>
      <c r="J430" s="259"/>
      <c r="K430" s="259"/>
      <c r="L430" s="259"/>
      <c r="M430" s="259"/>
      <c r="N430" s="259"/>
      <c r="O430" s="235"/>
      <c r="P430" s="235"/>
      <c r="Q430" s="235"/>
    </row>
    <row r="431" spans="2:17">
      <c r="B431" s="241"/>
      <c r="C431" s="241"/>
      <c r="D431" s="241"/>
      <c r="E431" s="241"/>
      <c r="F431" s="259"/>
      <c r="G431" s="259"/>
      <c r="H431" s="259"/>
      <c r="I431" s="259"/>
      <c r="J431" s="259"/>
      <c r="K431" s="259"/>
      <c r="L431" s="259"/>
      <c r="M431" s="259"/>
      <c r="N431" s="259"/>
      <c r="O431" s="235"/>
      <c r="P431" s="235"/>
      <c r="Q431" s="235"/>
    </row>
    <row r="432" spans="2:17">
      <c r="B432" s="241"/>
      <c r="C432" s="241"/>
      <c r="D432" s="241"/>
      <c r="E432" s="241"/>
      <c r="F432" s="259"/>
      <c r="G432" s="259"/>
      <c r="H432" s="259"/>
      <c r="I432" s="259"/>
      <c r="J432" s="259"/>
      <c r="K432" s="259"/>
      <c r="L432" s="259"/>
      <c r="M432" s="259"/>
      <c r="N432" s="259"/>
      <c r="O432" s="235"/>
      <c r="P432" s="235"/>
      <c r="Q432" s="235"/>
    </row>
    <row r="433" spans="2:17">
      <c r="B433" s="241"/>
      <c r="C433" s="241"/>
      <c r="D433" s="241"/>
      <c r="E433" s="241"/>
      <c r="F433" s="259"/>
      <c r="G433" s="259"/>
      <c r="H433" s="259"/>
      <c r="I433" s="259"/>
      <c r="J433" s="259"/>
      <c r="K433" s="259"/>
      <c r="L433" s="259"/>
      <c r="M433" s="259"/>
      <c r="N433" s="259"/>
      <c r="O433" s="235"/>
      <c r="P433" s="235"/>
      <c r="Q433" s="235"/>
    </row>
    <row r="434" spans="2:17">
      <c r="B434" s="241"/>
      <c r="C434" s="241"/>
      <c r="D434" s="241"/>
      <c r="E434" s="241"/>
      <c r="F434" s="259"/>
      <c r="G434" s="259"/>
      <c r="H434" s="259"/>
      <c r="I434" s="259"/>
      <c r="J434" s="259"/>
      <c r="K434" s="259"/>
      <c r="L434" s="259"/>
      <c r="M434" s="259"/>
      <c r="N434" s="259"/>
      <c r="O434" s="235"/>
      <c r="P434" s="235"/>
      <c r="Q434" s="235"/>
    </row>
    <row r="435" spans="2:17">
      <c r="B435" s="241"/>
      <c r="C435" s="241"/>
      <c r="D435" s="241"/>
      <c r="E435" s="241"/>
      <c r="F435" s="259"/>
      <c r="G435" s="259"/>
      <c r="H435" s="259"/>
      <c r="I435" s="259"/>
      <c r="J435" s="259"/>
      <c r="K435" s="259"/>
      <c r="L435" s="259"/>
      <c r="M435" s="259"/>
      <c r="N435" s="259"/>
      <c r="O435" s="235"/>
      <c r="P435" s="235"/>
      <c r="Q435" s="235"/>
    </row>
    <row r="436" spans="2:17">
      <c r="B436" s="241"/>
      <c r="C436" s="241"/>
      <c r="D436" s="241"/>
      <c r="E436" s="241"/>
      <c r="F436" s="259"/>
      <c r="G436" s="259"/>
      <c r="H436" s="259"/>
      <c r="I436" s="259"/>
      <c r="J436" s="259"/>
      <c r="K436" s="259"/>
      <c r="L436" s="259"/>
      <c r="M436" s="259"/>
      <c r="N436" s="259"/>
      <c r="O436" s="235"/>
      <c r="P436" s="235"/>
      <c r="Q436" s="235"/>
    </row>
    <row r="437" spans="2:17">
      <c r="B437" s="241"/>
      <c r="C437" s="241"/>
      <c r="D437" s="241"/>
      <c r="E437" s="241"/>
      <c r="F437" s="259"/>
      <c r="G437" s="259"/>
      <c r="H437" s="259"/>
      <c r="I437" s="259"/>
      <c r="J437" s="259"/>
      <c r="K437" s="259"/>
      <c r="L437" s="259"/>
      <c r="M437" s="259"/>
      <c r="N437" s="259"/>
      <c r="O437" s="235"/>
      <c r="P437" s="235"/>
      <c r="Q437" s="235"/>
    </row>
    <row r="438" spans="2:17">
      <c r="B438" s="241"/>
      <c r="C438" s="241"/>
      <c r="D438" s="241"/>
      <c r="E438" s="241"/>
      <c r="F438" s="259"/>
      <c r="G438" s="259"/>
      <c r="H438" s="259"/>
      <c r="I438" s="259"/>
      <c r="J438" s="259"/>
      <c r="K438" s="259"/>
      <c r="L438" s="259"/>
      <c r="M438" s="259"/>
      <c r="N438" s="259"/>
      <c r="O438" s="235"/>
      <c r="P438" s="235"/>
      <c r="Q438" s="235"/>
    </row>
    <row r="439" spans="2:17">
      <c r="B439" s="241"/>
      <c r="C439" s="241"/>
      <c r="D439" s="241"/>
      <c r="E439" s="241"/>
      <c r="F439" s="259"/>
      <c r="G439" s="259"/>
      <c r="H439" s="259"/>
      <c r="I439" s="259"/>
      <c r="J439" s="259"/>
      <c r="K439" s="259"/>
      <c r="L439" s="259"/>
      <c r="M439" s="259"/>
      <c r="N439" s="259"/>
      <c r="O439" s="235"/>
      <c r="P439" s="235"/>
      <c r="Q439" s="235"/>
    </row>
    <row r="440" spans="2:17">
      <c r="B440" s="241"/>
      <c r="C440" s="241"/>
      <c r="D440" s="241"/>
      <c r="E440" s="241"/>
      <c r="F440" s="259"/>
      <c r="G440" s="259"/>
      <c r="H440" s="259"/>
      <c r="I440" s="259"/>
      <c r="J440" s="259"/>
      <c r="K440" s="259"/>
      <c r="L440" s="259"/>
      <c r="M440" s="259"/>
      <c r="N440" s="259"/>
      <c r="O440" s="235"/>
      <c r="P440" s="235"/>
      <c r="Q440" s="235"/>
    </row>
    <row r="441" spans="2:17">
      <c r="B441" s="241"/>
      <c r="C441" s="241"/>
      <c r="D441" s="241"/>
      <c r="E441" s="241"/>
      <c r="F441" s="259"/>
      <c r="G441" s="259"/>
      <c r="H441" s="259"/>
      <c r="I441" s="259"/>
      <c r="J441" s="259"/>
      <c r="K441" s="259"/>
      <c r="L441" s="259"/>
      <c r="M441" s="259"/>
      <c r="N441" s="259"/>
      <c r="O441" s="235"/>
      <c r="P441" s="235"/>
      <c r="Q441" s="235"/>
    </row>
    <row r="442" spans="2:17">
      <c r="B442" s="241"/>
      <c r="C442" s="241"/>
      <c r="D442" s="241"/>
      <c r="E442" s="241"/>
      <c r="F442" s="259"/>
      <c r="G442" s="259"/>
      <c r="H442" s="259"/>
      <c r="I442" s="259"/>
      <c r="J442" s="259"/>
      <c r="K442" s="259"/>
      <c r="L442" s="259"/>
      <c r="M442" s="259"/>
      <c r="N442" s="259"/>
      <c r="O442" s="235"/>
      <c r="P442" s="235"/>
      <c r="Q442" s="235"/>
    </row>
    <row r="443" spans="2:17">
      <c r="B443" s="241"/>
      <c r="C443" s="241"/>
      <c r="D443" s="241"/>
      <c r="E443" s="241"/>
      <c r="F443" s="259"/>
      <c r="G443" s="259"/>
      <c r="H443" s="259"/>
      <c r="I443" s="259"/>
      <c r="J443" s="259"/>
      <c r="K443" s="259"/>
      <c r="L443" s="259"/>
      <c r="M443" s="259"/>
      <c r="N443" s="259"/>
      <c r="O443" s="235"/>
      <c r="P443" s="235"/>
      <c r="Q443" s="235"/>
    </row>
    <row r="444" spans="2:17">
      <c r="B444" s="241"/>
      <c r="C444" s="241"/>
      <c r="D444" s="241"/>
      <c r="E444" s="241"/>
      <c r="F444" s="259"/>
      <c r="G444" s="259"/>
      <c r="H444" s="259"/>
      <c r="I444" s="259"/>
      <c r="J444" s="259"/>
      <c r="K444" s="259"/>
      <c r="L444" s="259"/>
      <c r="M444" s="259"/>
      <c r="N444" s="259"/>
      <c r="O444" s="235"/>
      <c r="P444" s="235"/>
      <c r="Q444" s="235"/>
    </row>
    <row r="445" spans="2:17">
      <c r="B445" s="241"/>
      <c r="C445" s="241"/>
      <c r="D445" s="241"/>
      <c r="E445" s="241"/>
      <c r="F445" s="259"/>
      <c r="G445" s="259"/>
      <c r="H445" s="259"/>
      <c r="I445" s="259"/>
      <c r="J445" s="259"/>
      <c r="K445" s="259"/>
      <c r="L445" s="259"/>
      <c r="M445" s="259"/>
      <c r="N445" s="259"/>
      <c r="O445" s="235"/>
      <c r="P445" s="235"/>
      <c r="Q445" s="235"/>
    </row>
    <row r="446" spans="2:17">
      <c r="B446" s="241"/>
      <c r="C446" s="241"/>
      <c r="D446" s="241"/>
      <c r="E446" s="241"/>
      <c r="F446" s="259"/>
      <c r="G446" s="259"/>
      <c r="H446" s="259"/>
      <c r="I446" s="259"/>
      <c r="J446" s="259"/>
      <c r="K446" s="259"/>
      <c r="L446" s="259"/>
      <c r="M446" s="259"/>
      <c r="N446" s="259"/>
      <c r="O446" s="235"/>
      <c r="P446" s="235"/>
      <c r="Q446" s="235"/>
    </row>
    <row r="447" spans="2:17">
      <c r="B447" s="241"/>
      <c r="C447" s="241"/>
      <c r="D447" s="241"/>
      <c r="E447" s="241"/>
      <c r="F447" s="259"/>
      <c r="G447" s="259"/>
      <c r="H447" s="259"/>
      <c r="I447" s="259"/>
      <c r="J447" s="259"/>
      <c r="K447" s="259"/>
      <c r="L447" s="259"/>
      <c r="M447" s="259"/>
      <c r="N447" s="259"/>
      <c r="O447" s="235"/>
      <c r="P447" s="235"/>
      <c r="Q447" s="235"/>
    </row>
    <row r="448" spans="2:17">
      <c r="B448" s="241"/>
      <c r="C448" s="241"/>
      <c r="D448" s="241"/>
      <c r="E448" s="241"/>
      <c r="F448" s="259"/>
      <c r="G448" s="259"/>
      <c r="H448" s="259"/>
      <c r="I448" s="259"/>
      <c r="J448" s="259"/>
      <c r="K448" s="259"/>
      <c r="L448" s="259"/>
      <c r="M448" s="259"/>
      <c r="N448" s="259"/>
      <c r="O448" s="235"/>
      <c r="P448" s="235"/>
      <c r="Q448" s="235"/>
    </row>
    <row r="449" spans="2:17">
      <c r="B449" s="241"/>
      <c r="C449" s="241"/>
      <c r="D449" s="241"/>
      <c r="E449" s="241"/>
      <c r="F449" s="259"/>
      <c r="G449" s="259"/>
      <c r="H449" s="259"/>
      <c r="I449" s="259"/>
      <c r="J449" s="259"/>
      <c r="K449" s="259"/>
      <c r="L449" s="259"/>
      <c r="M449" s="259"/>
      <c r="N449" s="259"/>
      <c r="O449" s="235"/>
      <c r="P449" s="235"/>
      <c r="Q449" s="235"/>
    </row>
    <row r="450" spans="2:17">
      <c r="B450" s="241"/>
      <c r="C450" s="241"/>
      <c r="D450" s="241"/>
      <c r="E450" s="241"/>
      <c r="F450" s="259"/>
      <c r="G450" s="259"/>
      <c r="H450" s="259"/>
      <c r="I450" s="259"/>
      <c r="J450" s="259"/>
      <c r="K450" s="259"/>
      <c r="L450" s="259"/>
      <c r="M450" s="259"/>
      <c r="N450" s="259"/>
      <c r="O450" s="235"/>
      <c r="P450" s="235"/>
      <c r="Q450" s="235"/>
    </row>
    <row r="451" spans="2:17">
      <c r="B451" s="241"/>
      <c r="C451" s="241"/>
      <c r="D451" s="241"/>
      <c r="E451" s="241"/>
      <c r="F451" s="259"/>
      <c r="G451" s="259"/>
      <c r="H451" s="259"/>
      <c r="I451" s="259"/>
      <c r="J451" s="259"/>
      <c r="K451" s="259"/>
      <c r="L451" s="259"/>
      <c r="M451" s="259"/>
      <c r="N451" s="259"/>
      <c r="O451" s="235"/>
      <c r="P451" s="235"/>
      <c r="Q451" s="235"/>
    </row>
    <row r="452" spans="2:17">
      <c r="B452" s="241"/>
      <c r="C452" s="241"/>
      <c r="D452" s="241"/>
      <c r="E452" s="241"/>
      <c r="F452" s="259"/>
      <c r="G452" s="259"/>
      <c r="H452" s="259"/>
      <c r="I452" s="259"/>
      <c r="J452" s="259"/>
      <c r="K452" s="259"/>
      <c r="L452" s="259"/>
      <c r="M452" s="259"/>
      <c r="N452" s="259"/>
      <c r="O452" s="235"/>
      <c r="P452" s="235"/>
      <c r="Q452" s="235"/>
    </row>
    <row r="453" spans="2:17">
      <c r="B453" s="241"/>
      <c r="C453" s="241"/>
      <c r="D453" s="241"/>
      <c r="E453" s="241"/>
      <c r="F453" s="259"/>
      <c r="G453" s="259"/>
      <c r="H453" s="259"/>
      <c r="I453" s="259"/>
      <c r="J453" s="259"/>
      <c r="K453" s="259"/>
      <c r="L453" s="259"/>
      <c r="M453" s="259"/>
      <c r="N453" s="259"/>
      <c r="O453" s="235"/>
      <c r="P453" s="235"/>
      <c r="Q453" s="235"/>
    </row>
    <row r="454" spans="2:17">
      <c r="B454" s="241"/>
      <c r="C454" s="241"/>
      <c r="D454" s="241"/>
      <c r="E454" s="241"/>
      <c r="F454" s="259"/>
      <c r="G454" s="259"/>
      <c r="H454" s="259"/>
      <c r="I454" s="259"/>
      <c r="J454" s="259"/>
      <c r="K454" s="259"/>
      <c r="L454" s="259"/>
      <c r="M454" s="259"/>
      <c r="N454" s="259"/>
      <c r="O454" s="235"/>
      <c r="P454" s="235"/>
      <c r="Q454" s="235"/>
    </row>
    <row r="455" spans="2:17">
      <c r="B455" s="241"/>
      <c r="C455" s="241"/>
      <c r="D455" s="241"/>
      <c r="E455" s="241"/>
      <c r="F455" s="259"/>
      <c r="G455" s="259"/>
      <c r="H455" s="259"/>
      <c r="I455" s="259"/>
      <c r="J455" s="259"/>
      <c r="K455" s="259"/>
      <c r="L455" s="259"/>
      <c r="M455" s="259"/>
      <c r="N455" s="259"/>
      <c r="O455" s="235"/>
      <c r="P455" s="235"/>
      <c r="Q455" s="235"/>
    </row>
    <row r="456" spans="2:17">
      <c r="B456" s="241"/>
      <c r="C456" s="241"/>
      <c r="D456" s="241"/>
      <c r="E456" s="241"/>
      <c r="F456" s="259"/>
      <c r="G456" s="259"/>
      <c r="H456" s="259"/>
      <c r="I456" s="259"/>
      <c r="J456" s="259"/>
      <c r="K456" s="259"/>
      <c r="L456" s="259"/>
      <c r="M456" s="259"/>
      <c r="N456" s="259"/>
      <c r="O456" s="235"/>
      <c r="P456" s="235"/>
      <c r="Q456" s="235"/>
    </row>
    <row r="457" spans="2:17">
      <c r="B457" s="241"/>
      <c r="C457" s="241"/>
      <c r="D457" s="241"/>
      <c r="E457" s="241"/>
      <c r="F457" s="259"/>
      <c r="G457" s="259"/>
      <c r="H457" s="259"/>
      <c r="I457" s="259"/>
      <c r="J457" s="259"/>
      <c r="K457" s="259"/>
      <c r="L457" s="259"/>
      <c r="M457" s="259"/>
      <c r="N457" s="259"/>
      <c r="O457" s="235"/>
      <c r="P457" s="235"/>
      <c r="Q457" s="235"/>
    </row>
    <row r="458" spans="2:17">
      <c r="B458" s="241"/>
      <c r="C458" s="241"/>
      <c r="D458" s="241"/>
      <c r="E458" s="241"/>
      <c r="F458" s="259"/>
      <c r="G458" s="259"/>
      <c r="H458" s="259"/>
      <c r="I458" s="259"/>
      <c r="J458" s="259"/>
      <c r="K458" s="259"/>
      <c r="L458" s="259"/>
      <c r="M458" s="259"/>
      <c r="N458" s="259"/>
      <c r="O458" s="235"/>
      <c r="P458" s="235"/>
      <c r="Q458" s="235"/>
    </row>
    <row r="459" spans="2:17">
      <c r="B459" s="241"/>
      <c r="C459" s="241"/>
      <c r="D459" s="241"/>
      <c r="E459" s="241"/>
      <c r="F459" s="259"/>
      <c r="G459" s="259"/>
      <c r="H459" s="259"/>
      <c r="I459" s="259"/>
      <c r="J459" s="259"/>
      <c r="K459" s="259"/>
      <c r="L459" s="259"/>
      <c r="M459" s="259"/>
      <c r="N459" s="259"/>
      <c r="O459" s="235"/>
      <c r="P459" s="235"/>
      <c r="Q459" s="235"/>
    </row>
    <row r="460" spans="2:17">
      <c r="B460" s="241"/>
      <c r="C460" s="241"/>
      <c r="D460" s="241"/>
      <c r="E460" s="241"/>
      <c r="F460" s="259"/>
      <c r="G460" s="259"/>
      <c r="H460" s="259"/>
      <c r="I460" s="259"/>
      <c r="J460" s="259"/>
      <c r="K460" s="259"/>
      <c r="L460" s="259"/>
      <c r="M460" s="259"/>
      <c r="N460" s="259"/>
      <c r="O460" s="235"/>
      <c r="P460" s="235"/>
      <c r="Q460" s="235"/>
    </row>
    <row r="461" spans="2:17">
      <c r="B461" s="241"/>
      <c r="C461" s="241"/>
      <c r="D461" s="241"/>
      <c r="E461" s="241"/>
      <c r="F461" s="259"/>
      <c r="G461" s="259"/>
      <c r="H461" s="259"/>
      <c r="I461" s="259"/>
      <c r="J461" s="259"/>
      <c r="K461" s="259"/>
      <c r="L461" s="259"/>
      <c r="M461" s="259"/>
      <c r="N461" s="259"/>
      <c r="O461" s="235"/>
      <c r="P461" s="235"/>
      <c r="Q461" s="235"/>
    </row>
    <row r="462" spans="2:17">
      <c r="B462" s="241"/>
      <c r="C462" s="241"/>
      <c r="D462" s="241"/>
      <c r="E462" s="241"/>
      <c r="F462" s="259"/>
      <c r="G462" s="259"/>
      <c r="H462" s="259"/>
      <c r="I462" s="259"/>
      <c r="J462" s="259"/>
      <c r="K462" s="259"/>
      <c r="L462" s="259"/>
      <c r="M462" s="259"/>
      <c r="N462" s="259"/>
      <c r="O462" s="235"/>
      <c r="P462" s="235"/>
      <c r="Q462" s="235"/>
    </row>
    <row r="463" spans="2:17">
      <c r="B463" s="241"/>
      <c r="C463" s="241"/>
      <c r="D463" s="241"/>
      <c r="E463" s="241"/>
      <c r="F463" s="259"/>
      <c r="G463" s="259"/>
      <c r="H463" s="259"/>
      <c r="I463" s="259"/>
      <c r="J463" s="259"/>
      <c r="K463" s="259"/>
      <c r="L463" s="259"/>
      <c r="M463" s="259"/>
      <c r="N463" s="259"/>
      <c r="O463" s="235"/>
      <c r="P463" s="235"/>
      <c r="Q463" s="235"/>
    </row>
    <row r="464" spans="2:17">
      <c r="B464" s="241"/>
      <c r="C464" s="241"/>
      <c r="D464" s="241"/>
      <c r="E464" s="241"/>
      <c r="F464" s="259"/>
      <c r="G464" s="259"/>
      <c r="H464" s="259"/>
      <c r="I464" s="259"/>
      <c r="J464" s="259"/>
      <c r="K464" s="259"/>
      <c r="L464" s="259"/>
      <c r="M464" s="259"/>
      <c r="N464" s="259"/>
      <c r="O464" s="235"/>
      <c r="P464" s="235"/>
      <c r="Q464" s="235"/>
    </row>
    <row r="465" spans="2:17">
      <c r="B465" s="241"/>
      <c r="C465" s="241"/>
      <c r="D465" s="241"/>
      <c r="E465" s="241"/>
      <c r="F465" s="259"/>
      <c r="G465" s="259"/>
      <c r="H465" s="259"/>
      <c r="I465" s="259"/>
      <c r="J465" s="259"/>
      <c r="K465" s="259"/>
      <c r="L465" s="259"/>
      <c r="M465" s="259"/>
      <c r="N465" s="259"/>
      <c r="O465" s="235"/>
      <c r="P465" s="235"/>
      <c r="Q465" s="235"/>
    </row>
    <row r="466" spans="2:17">
      <c r="B466" s="241"/>
      <c r="C466" s="241"/>
      <c r="D466" s="241"/>
      <c r="E466" s="241"/>
      <c r="F466" s="259"/>
      <c r="G466" s="259"/>
      <c r="H466" s="259"/>
      <c r="I466" s="259"/>
      <c r="J466" s="259"/>
      <c r="K466" s="259"/>
      <c r="L466" s="259"/>
      <c r="M466" s="259"/>
      <c r="N466" s="259"/>
      <c r="O466" s="235"/>
      <c r="P466" s="235"/>
      <c r="Q466" s="235"/>
    </row>
    <row r="467" spans="2:17">
      <c r="B467" s="241"/>
      <c r="C467" s="241"/>
      <c r="D467" s="241"/>
      <c r="E467" s="241"/>
      <c r="F467" s="259"/>
      <c r="G467" s="259"/>
      <c r="H467" s="259"/>
      <c r="I467" s="259"/>
      <c r="J467" s="259"/>
      <c r="K467" s="259"/>
      <c r="L467" s="259"/>
      <c r="M467" s="259"/>
      <c r="N467" s="259"/>
      <c r="O467" s="235"/>
      <c r="P467" s="235"/>
      <c r="Q467" s="235"/>
    </row>
    <row r="468" spans="2:17">
      <c r="B468" s="241"/>
      <c r="C468" s="241"/>
      <c r="D468" s="241"/>
      <c r="E468" s="241"/>
      <c r="F468" s="259"/>
      <c r="G468" s="259"/>
      <c r="H468" s="259"/>
      <c r="I468" s="259"/>
      <c r="J468" s="259"/>
      <c r="K468" s="259"/>
      <c r="L468" s="259"/>
      <c r="M468" s="259"/>
      <c r="N468" s="259"/>
      <c r="O468" s="235"/>
      <c r="P468" s="235"/>
      <c r="Q468" s="235"/>
    </row>
    <row r="469" spans="2:17">
      <c r="B469" s="241"/>
      <c r="C469" s="241"/>
      <c r="D469" s="241"/>
      <c r="E469" s="241"/>
      <c r="F469" s="259"/>
      <c r="G469" s="259"/>
      <c r="H469" s="259"/>
      <c r="I469" s="259"/>
      <c r="J469" s="259"/>
      <c r="K469" s="259"/>
      <c r="L469" s="259"/>
      <c r="M469" s="259"/>
      <c r="N469" s="259"/>
      <c r="O469" s="235"/>
      <c r="P469" s="235"/>
      <c r="Q469" s="235"/>
    </row>
    <row r="470" spans="2:17">
      <c r="B470" s="241"/>
      <c r="C470" s="241"/>
      <c r="D470" s="241"/>
      <c r="E470" s="241"/>
      <c r="F470" s="259"/>
      <c r="G470" s="259"/>
      <c r="H470" s="259"/>
      <c r="I470" s="259"/>
      <c r="J470" s="259"/>
      <c r="K470" s="259"/>
      <c r="L470" s="259"/>
      <c r="M470" s="259"/>
      <c r="N470" s="259"/>
      <c r="O470" s="235"/>
      <c r="P470" s="235"/>
      <c r="Q470" s="235"/>
    </row>
    <row r="471" spans="2:17">
      <c r="B471" s="241"/>
      <c r="C471" s="241"/>
      <c r="D471" s="241"/>
      <c r="E471" s="241"/>
      <c r="F471" s="259"/>
      <c r="G471" s="259"/>
      <c r="H471" s="259"/>
      <c r="I471" s="259"/>
      <c r="J471" s="259"/>
      <c r="K471" s="259"/>
      <c r="L471" s="259"/>
      <c r="M471" s="259"/>
      <c r="N471" s="259"/>
      <c r="O471" s="235"/>
      <c r="P471" s="235"/>
      <c r="Q471" s="235"/>
    </row>
    <row r="472" spans="2:17">
      <c r="B472" s="241"/>
      <c r="C472" s="241"/>
      <c r="D472" s="241"/>
      <c r="E472" s="241"/>
      <c r="F472" s="259"/>
      <c r="G472" s="259"/>
      <c r="H472" s="259"/>
      <c r="I472" s="259"/>
      <c r="J472" s="259"/>
      <c r="K472" s="259"/>
      <c r="L472" s="259"/>
      <c r="M472" s="259"/>
      <c r="N472" s="259"/>
      <c r="O472" s="235"/>
      <c r="P472" s="235"/>
      <c r="Q472" s="235"/>
    </row>
    <row r="473" spans="2:17">
      <c r="B473" s="241"/>
      <c r="C473" s="241"/>
      <c r="D473" s="241"/>
      <c r="E473" s="241"/>
      <c r="F473" s="259"/>
      <c r="G473" s="259"/>
      <c r="H473" s="259"/>
      <c r="I473" s="259"/>
      <c r="J473" s="259"/>
      <c r="K473" s="259"/>
      <c r="L473" s="259"/>
      <c r="M473" s="259"/>
      <c r="N473" s="259"/>
      <c r="O473" s="235"/>
      <c r="P473" s="235"/>
      <c r="Q473" s="235"/>
    </row>
    <row r="474" spans="2:17">
      <c r="B474" s="241"/>
      <c r="C474" s="241"/>
      <c r="D474" s="241"/>
      <c r="E474" s="241"/>
      <c r="F474" s="259"/>
      <c r="G474" s="259"/>
      <c r="H474" s="259"/>
      <c r="I474" s="259"/>
      <c r="J474" s="259"/>
      <c r="K474" s="259"/>
      <c r="L474" s="259"/>
      <c r="M474" s="259"/>
      <c r="N474" s="259"/>
      <c r="O474" s="235"/>
      <c r="P474" s="235"/>
      <c r="Q474" s="235"/>
    </row>
    <row r="475" spans="2:17">
      <c r="B475" s="241"/>
      <c r="C475" s="241"/>
      <c r="D475" s="241"/>
      <c r="E475" s="241"/>
      <c r="F475" s="259"/>
      <c r="G475" s="259"/>
      <c r="H475" s="259"/>
      <c r="I475" s="259"/>
      <c r="J475" s="259"/>
      <c r="K475" s="259"/>
      <c r="L475" s="259"/>
      <c r="M475" s="259"/>
      <c r="N475" s="259"/>
      <c r="O475" s="235"/>
      <c r="P475" s="235"/>
      <c r="Q475" s="235"/>
    </row>
    <row r="476" spans="2:17">
      <c r="B476" s="241"/>
      <c r="C476" s="241"/>
      <c r="D476" s="241"/>
      <c r="E476" s="241"/>
      <c r="F476" s="259"/>
      <c r="G476" s="259"/>
      <c r="H476" s="259"/>
      <c r="I476" s="259"/>
      <c r="J476" s="259"/>
      <c r="K476" s="259"/>
      <c r="L476" s="259"/>
      <c r="M476" s="259"/>
      <c r="N476" s="259"/>
      <c r="O476" s="235"/>
      <c r="P476" s="235"/>
      <c r="Q476" s="235"/>
    </row>
    <row r="477" spans="2:17">
      <c r="B477" s="241"/>
      <c r="C477" s="241"/>
      <c r="D477" s="241"/>
      <c r="E477" s="241"/>
      <c r="F477" s="259"/>
      <c r="G477" s="259"/>
      <c r="H477" s="259"/>
      <c r="I477" s="259"/>
      <c r="J477" s="259"/>
      <c r="K477" s="259"/>
      <c r="L477" s="259"/>
      <c r="M477" s="259"/>
      <c r="N477" s="259"/>
      <c r="O477" s="235"/>
      <c r="P477" s="235"/>
      <c r="Q477" s="235"/>
    </row>
    <row r="478" spans="2:17">
      <c r="B478" s="241"/>
      <c r="C478" s="241"/>
      <c r="D478" s="241"/>
      <c r="E478" s="241"/>
      <c r="F478" s="259"/>
      <c r="G478" s="259"/>
      <c r="H478" s="259"/>
      <c r="I478" s="259"/>
      <c r="J478" s="259"/>
      <c r="K478" s="259"/>
      <c r="L478" s="259"/>
      <c r="M478" s="259"/>
      <c r="N478" s="259"/>
      <c r="O478" s="235"/>
      <c r="P478" s="235"/>
      <c r="Q478" s="235"/>
    </row>
    <row r="479" spans="2:17">
      <c r="B479" s="241"/>
      <c r="C479" s="241"/>
      <c r="D479" s="241"/>
      <c r="E479" s="241"/>
      <c r="F479" s="259"/>
      <c r="G479" s="259"/>
      <c r="H479" s="259"/>
      <c r="I479" s="259"/>
      <c r="J479" s="259"/>
      <c r="K479" s="259"/>
      <c r="L479" s="259"/>
      <c r="M479" s="259"/>
      <c r="N479" s="259"/>
      <c r="O479" s="235"/>
      <c r="P479" s="235"/>
      <c r="Q479" s="235"/>
    </row>
    <row r="480" spans="2:17">
      <c r="B480" s="241"/>
      <c r="C480" s="241"/>
      <c r="D480" s="241"/>
      <c r="E480" s="241"/>
      <c r="F480" s="259"/>
      <c r="G480" s="259"/>
      <c r="H480" s="259"/>
      <c r="I480" s="259"/>
      <c r="J480" s="259"/>
      <c r="K480" s="259"/>
      <c r="L480" s="259"/>
      <c r="M480" s="259"/>
      <c r="N480" s="259"/>
      <c r="O480" s="235"/>
      <c r="P480" s="235"/>
      <c r="Q480" s="235"/>
    </row>
    <row r="481" spans="2:17">
      <c r="B481" s="241"/>
      <c r="C481" s="241"/>
      <c r="D481" s="241"/>
      <c r="E481" s="241"/>
      <c r="F481" s="259"/>
      <c r="G481" s="259"/>
      <c r="H481" s="259"/>
      <c r="I481" s="259"/>
      <c r="J481" s="259"/>
      <c r="K481" s="259"/>
      <c r="L481" s="259"/>
      <c r="M481" s="259"/>
      <c r="N481" s="259"/>
      <c r="O481" s="235"/>
      <c r="P481" s="235"/>
      <c r="Q481" s="235"/>
    </row>
    <row r="482" spans="2:17">
      <c r="B482" s="241"/>
      <c r="C482" s="241"/>
      <c r="D482" s="241"/>
      <c r="E482" s="241"/>
      <c r="F482" s="259"/>
      <c r="G482" s="259"/>
      <c r="H482" s="259"/>
      <c r="I482" s="259"/>
      <c r="J482" s="259"/>
      <c r="K482" s="259"/>
      <c r="L482" s="259"/>
      <c r="M482" s="259"/>
      <c r="N482" s="259"/>
      <c r="O482" s="235"/>
      <c r="P482" s="235"/>
      <c r="Q482" s="235"/>
    </row>
    <row r="483" spans="2:17">
      <c r="B483" s="241"/>
      <c r="C483" s="241"/>
      <c r="D483" s="241"/>
      <c r="E483" s="241"/>
      <c r="F483" s="259"/>
      <c r="G483" s="259"/>
      <c r="H483" s="259"/>
      <c r="I483" s="259"/>
      <c r="J483" s="259"/>
      <c r="K483" s="259"/>
      <c r="L483" s="259"/>
      <c r="M483" s="259"/>
      <c r="N483" s="259"/>
      <c r="O483" s="235"/>
      <c r="P483" s="235"/>
      <c r="Q483" s="235"/>
    </row>
    <row r="484" spans="2:17">
      <c r="B484" s="241"/>
      <c r="C484" s="241"/>
      <c r="D484" s="241"/>
      <c r="E484" s="241"/>
      <c r="F484" s="259"/>
      <c r="G484" s="259"/>
      <c r="H484" s="259"/>
      <c r="I484" s="259"/>
      <c r="J484" s="259"/>
      <c r="K484" s="259"/>
      <c r="L484" s="259"/>
      <c r="M484" s="259"/>
      <c r="N484" s="259"/>
      <c r="O484" s="235"/>
      <c r="P484" s="235"/>
      <c r="Q484" s="235"/>
    </row>
    <row r="485" spans="2:17">
      <c r="B485" s="241"/>
      <c r="C485" s="241"/>
      <c r="D485" s="241"/>
      <c r="E485" s="241"/>
      <c r="F485" s="259"/>
      <c r="G485" s="259"/>
      <c r="H485" s="259"/>
      <c r="I485" s="259"/>
      <c r="J485" s="259"/>
      <c r="K485" s="259"/>
      <c r="L485" s="259"/>
      <c r="M485" s="259"/>
      <c r="N485" s="259"/>
      <c r="O485" s="235"/>
      <c r="P485" s="235"/>
      <c r="Q485" s="235"/>
    </row>
    <row r="486" spans="2:17">
      <c r="B486" s="241"/>
      <c r="C486" s="241"/>
      <c r="D486" s="241"/>
      <c r="E486" s="241"/>
      <c r="F486" s="259"/>
      <c r="G486" s="259"/>
      <c r="H486" s="259"/>
      <c r="I486" s="259"/>
      <c r="J486" s="259"/>
      <c r="K486" s="259"/>
      <c r="L486" s="259"/>
      <c r="M486" s="259"/>
      <c r="N486" s="259"/>
      <c r="O486" s="235"/>
      <c r="P486" s="235"/>
      <c r="Q486" s="235"/>
    </row>
    <row r="487" spans="2:17">
      <c r="B487" s="241"/>
      <c r="C487" s="241"/>
      <c r="D487" s="241"/>
      <c r="E487" s="241"/>
      <c r="F487" s="259"/>
      <c r="G487" s="259"/>
      <c r="H487" s="259"/>
      <c r="I487" s="259"/>
      <c r="J487" s="259"/>
      <c r="K487" s="259"/>
      <c r="L487" s="259"/>
      <c r="M487" s="259"/>
      <c r="N487" s="259"/>
      <c r="O487" s="235"/>
      <c r="P487" s="235"/>
      <c r="Q487" s="235"/>
    </row>
    <row r="488" spans="2:17">
      <c r="B488" s="241"/>
      <c r="C488" s="241"/>
      <c r="D488" s="241"/>
      <c r="E488" s="241"/>
      <c r="F488" s="259"/>
      <c r="G488" s="259"/>
      <c r="H488" s="259"/>
      <c r="I488" s="259"/>
      <c r="J488" s="259"/>
      <c r="K488" s="259"/>
      <c r="L488" s="259"/>
      <c r="M488" s="259"/>
      <c r="N488" s="259"/>
      <c r="O488" s="235"/>
      <c r="P488" s="235"/>
      <c r="Q488" s="235"/>
    </row>
    <row r="489" spans="2:17">
      <c r="B489" s="241"/>
      <c r="C489" s="241"/>
      <c r="D489" s="241"/>
      <c r="E489" s="241"/>
      <c r="F489" s="259"/>
      <c r="G489" s="259"/>
      <c r="H489" s="259"/>
      <c r="I489" s="259"/>
      <c r="J489" s="259"/>
      <c r="K489" s="259"/>
      <c r="L489" s="259"/>
      <c r="M489" s="259"/>
      <c r="N489" s="259"/>
      <c r="O489" s="235"/>
      <c r="P489" s="235"/>
      <c r="Q489" s="235"/>
    </row>
    <row r="490" spans="2:17">
      <c r="B490" s="241"/>
      <c r="C490" s="241"/>
      <c r="D490" s="241"/>
      <c r="E490" s="241"/>
      <c r="F490" s="259"/>
      <c r="G490" s="259"/>
      <c r="H490" s="259"/>
      <c r="I490" s="259"/>
      <c r="J490" s="259"/>
      <c r="K490" s="259"/>
      <c r="L490" s="259"/>
      <c r="M490" s="259"/>
      <c r="N490" s="259"/>
      <c r="O490" s="235"/>
      <c r="P490" s="235"/>
      <c r="Q490" s="235"/>
    </row>
    <row r="491" spans="2:17">
      <c r="B491" s="241"/>
      <c r="C491" s="241"/>
      <c r="D491" s="241"/>
      <c r="E491" s="241"/>
      <c r="F491" s="259"/>
      <c r="G491" s="259"/>
      <c r="H491" s="259"/>
      <c r="I491" s="259"/>
      <c r="J491" s="259"/>
      <c r="K491" s="259"/>
      <c r="L491" s="259"/>
      <c r="M491" s="259"/>
      <c r="N491" s="259"/>
      <c r="O491" s="235"/>
      <c r="P491" s="235"/>
      <c r="Q491" s="235"/>
    </row>
    <row r="492" spans="2:17">
      <c r="B492" s="241"/>
      <c r="C492" s="241"/>
      <c r="D492" s="241"/>
      <c r="E492" s="241"/>
      <c r="F492" s="259"/>
      <c r="G492" s="259"/>
      <c r="H492" s="259"/>
      <c r="I492" s="259"/>
      <c r="J492" s="259"/>
      <c r="K492" s="259"/>
      <c r="L492" s="259"/>
      <c r="M492" s="259"/>
      <c r="N492" s="259"/>
      <c r="O492" s="235"/>
      <c r="P492" s="235"/>
      <c r="Q492" s="235"/>
    </row>
    <row r="493" spans="2:17">
      <c r="B493" s="241"/>
      <c r="C493" s="241"/>
      <c r="D493" s="241"/>
      <c r="E493" s="241"/>
      <c r="F493" s="259"/>
      <c r="G493" s="259"/>
      <c r="H493" s="259"/>
      <c r="I493" s="259"/>
      <c r="J493" s="259"/>
      <c r="K493" s="259"/>
      <c r="L493" s="259"/>
      <c r="M493" s="259"/>
      <c r="N493" s="259"/>
      <c r="O493" s="235"/>
      <c r="P493" s="235"/>
      <c r="Q493" s="235"/>
    </row>
    <row r="494" spans="2:17">
      <c r="B494" s="241"/>
      <c r="C494" s="241"/>
      <c r="D494" s="241"/>
      <c r="E494" s="241"/>
      <c r="F494" s="259"/>
      <c r="G494" s="259"/>
      <c r="H494" s="259"/>
      <c r="I494" s="259"/>
      <c r="J494" s="259"/>
      <c r="K494" s="259"/>
      <c r="L494" s="259"/>
      <c r="M494" s="259"/>
      <c r="N494" s="259"/>
      <c r="O494" s="235"/>
      <c r="P494" s="235"/>
      <c r="Q494" s="235"/>
    </row>
    <row r="495" spans="2:17">
      <c r="B495" s="241"/>
      <c r="C495" s="241"/>
      <c r="D495" s="241"/>
      <c r="E495" s="241"/>
      <c r="F495" s="259"/>
      <c r="G495" s="259"/>
      <c r="H495" s="259"/>
      <c r="I495" s="259"/>
      <c r="J495" s="259"/>
      <c r="K495" s="259"/>
      <c r="L495" s="259"/>
      <c r="M495" s="259"/>
      <c r="N495" s="259"/>
      <c r="O495" s="235"/>
      <c r="P495" s="235"/>
      <c r="Q495" s="235"/>
    </row>
    <row r="496" spans="2:17">
      <c r="B496" s="241"/>
      <c r="C496" s="241"/>
      <c r="D496" s="241"/>
      <c r="E496" s="241"/>
      <c r="F496" s="259"/>
      <c r="G496" s="259"/>
      <c r="H496" s="259"/>
      <c r="I496" s="259"/>
      <c r="J496" s="259"/>
      <c r="K496" s="259"/>
      <c r="L496" s="259"/>
      <c r="M496" s="259"/>
      <c r="N496" s="259"/>
      <c r="O496" s="235"/>
      <c r="P496" s="235"/>
      <c r="Q496" s="235"/>
    </row>
    <row r="497" spans="2:17">
      <c r="B497" s="241"/>
      <c r="C497" s="241"/>
      <c r="D497" s="241"/>
      <c r="E497" s="241"/>
      <c r="F497" s="259"/>
      <c r="G497" s="259"/>
      <c r="H497" s="259"/>
      <c r="I497" s="259"/>
      <c r="J497" s="259"/>
      <c r="K497" s="259"/>
      <c r="L497" s="259"/>
      <c r="M497" s="259"/>
      <c r="N497" s="259"/>
      <c r="O497" s="235"/>
      <c r="P497" s="235"/>
      <c r="Q497" s="235"/>
    </row>
    <row r="498" spans="2:17">
      <c r="B498" s="241"/>
      <c r="C498" s="241"/>
      <c r="D498" s="241"/>
      <c r="E498" s="241"/>
      <c r="F498" s="259"/>
      <c r="G498" s="259"/>
      <c r="H498" s="259"/>
      <c r="I498" s="259"/>
      <c r="J498" s="259"/>
      <c r="K498" s="259"/>
      <c r="L498" s="259"/>
      <c r="M498" s="259"/>
      <c r="N498" s="259"/>
      <c r="O498" s="235"/>
      <c r="P498" s="235"/>
      <c r="Q498" s="235"/>
    </row>
    <row r="499" spans="2:17">
      <c r="B499" s="241"/>
      <c r="C499" s="241"/>
      <c r="D499" s="241"/>
      <c r="E499" s="241"/>
      <c r="F499" s="259"/>
      <c r="G499" s="259"/>
      <c r="H499" s="259"/>
      <c r="I499" s="259"/>
      <c r="J499" s="259"/>
      <c r="K499" s="259"/>
      <c r="L499" s="259"/>
      <c r="M499" s="259"/>
      <c r="N499" s="259"/>
      <c r="O499" s="235"/>
      <c r="P499" s="235"/>
      <c r="Q499" s="235"/>
    </row>
    <row r="500" spans="2:17">
      <c r="B500" s="241"/>
      <c r="C500" s="241"/>
      <c r="D500" s="241"/>
      <c r="E500" s="241"/>
      <c r="F500" s="259"/>
      <c r="G500" s="259"/>
      <c r="H500" s="259"/>
      <c r="I500" s="259"/>
      <c r="J500" s="259"/>
      <c r="K500" s="259"/>
      <c r="L500" s="259"/>
      <c r="M500" s="259"/>
      <c r="N500" s="259"/>
      <c r="O500" s="235"/>
      <c r="P500" s="235"/>
      <c r="Q500" s="235"/>
    </row>
    <row r="501" spans="2:17">
      <c r="B501" s="241"/>
      <c r="C501" s="241"/>
      <c r="D501" s="241"/>
      <c r="E501" s="241"/>
      <c r="F501" s="259"/>
      <c r="G501" s="259"/>
      <c r="H501" s="259"/>
      <c r="I501" s="259"/>
      <c r="J501" s="259"/>
      <c r="K501" s="259"/>
      <c r="L501" s="259"/>
      <c r="M501" s="259"/>
      <c r="N501" s="259"/>
      <c r="O501" s="235"/>
      <c r="P501" s="235"/>
      <c r="Q501" s="235"/>
    </row>
    <row r="502" spans="2:17">
      <c r="B502" s="241"/>
      <c r="C502" s="241"/>
      <c r="D502" s="241"/>
      <c r="E502" s="241"/>
      <c r="F502" s="259"/>
      <c r="G502" s="259"/>
      <c r="H502" s="259"/>
      <c r="I502" s="259"/>
      <c r="J502" s="259"/>
      <c r="K502" s="259"/>
      <c r="L502" s="259"/>
      <c r="M502" s="259"/>
      <c r="N502" s="259"/>
      <c r="O502" s="235"/>
      <c r="P502" s="235"/>
      <c r="Q502" s="235"/>
    </row>
    <row r="503" spans="2:17">
      <c r="B503" s="241"/>
      <c r="C503" s="241"/>
      <c r="D503" s="241"/>
      <c r="E503" s="241"/>
      <c r="F503" s="259"/>
      <c r="G503" s="259"/>
      <c r="H503" s="259"/>
      <c r="I503" s="259"/>
      <c r="J503" s="259"/>
      <c r="K503" s="259"/>
      <c r="L503" s="259"/>
      <c r="M503" s="259"/>
      <c r="N503" s="259"/>
      <c r="O503" s="235"/>
      <c r="P503" s="235"/>
      <c r="Q503" s="235"/>
    </row>
    <row r="504" spans="2:17">
      <c r="B504" s="241"/>
      <c r="C504" s="241"/>
      <c r="D504" s="241"/>
      <c r="E504" s="241"/>
      <c r="F504" s="259"/>
      <c r="G504" s="259"/>
      <c r="H504" s="259"/>
      <c r="I504" s="259"/>
      <c r="J504" s="259"/>
      <c r="K504" s="259"/>
      <c r="L504" s="259"/>
      <c r="M504" s="259"/>
      <c r="N504" s="259"/>
      <c r="O504" s="235"/>
      <c r="P504" s="235"/>
      <c r="Q504" s="235"/>
    </row>
    <row r="505" spans="2:17">
      <c r="B505" s="241"/>
      <c r="C505" s="241"/>
      <c r="D505" s="241"/>
      <c r="E505" s="241"/>
      <c r="F505" s="259"/>
      <c r="G505" s="259"/>
      <c r="H505" s="259"/>
      <c r="I505" s="259"/>
      <c r="J505" s="259"/>
      <c r="K505" s="259"/>
      <c r="L505" s="259"/>
      <c r="M505" s="259"/>
      <c r="N505" s="259"/>
      <c r="O505" s="235"/>
      <c r="P505" s="235"/>
      <c r="Q505" s="235"/>
    </row>
    <row r="506" spans="2:17">
      <c r="B506" s="241"/>
      <c r="C506" s="241"/>
      <c r="D506" s="241"/>
      <c r="E506" s="241"/>
      <c r="F506" s="259"/>
      <c r="G506" s="259"/>
      <c r="H506" s="259"/>
      <c r="I506" s="259"/>
      <c r="J506" s="259"/>
      <c r="K506" s="259"/>
      <c r="L506" s="259"/>
      <c r="M506" s="259"/>
      <c r="N506" s="259"/>
      <c r="O506" s="235"/>
      <c r="P506" s="235"/>
      <c r="Q506" s="235"/>
    </row>
    <row r="507" spans="2:17">
      <c r="B507" s="241"/>
      <c r="C507" s="241"/>
      <c r="D507" s="241"/>
      <c r="E507" s="241"/>
      <c r="F507" s="259"/>
      <c r="G507" s="259"/>
      <c r="H507" s="259"/>
      <c r="I507" s="259"/>
      <c r="J507" s="259"/>
      <c r="K507" s="259"/>
      <c r="L507" s="259"/>
      <c r="M507" s="259"/>
      <c r="N507" s="259"/>
      <c r="O507" s="235"/>
      <c r="P507" s="235"/>
      <c r="Q507" s="235"/>
    </row>
    <row r="508" spans="2:17">
      <c r="B508" s="241"/>
      <c r="C508" s="241"/>
      <c r="D508" s="241"/>
      <c r="E508" s="241"/>
      <c r="F508" s="259"/>
      <c r="G508" s="259"/>
      <c r="H508" s="259"/>
      <c r="I508" s="259"/>
      <c r="J508" s="259"/>
      <c r="K508" s="259"/>
      <c r="L508" s="259"/>
      <c r="M508" s="259"/>
      <c r="N508" s="259"/>
      <c r="O508" s="235"/>
      <c r="P508" s="235"/>
      <c r="Q508" s="235"/>
    </row>
    <row r="509" spans="2:17">
      <c r="B509" s="241"/>
      <c r="C509" s="241"/>
      <c r="D509" s="241"/>
      <c r="E509" s="241"/>
      <c r="F509" s="259"/>
      <c r="G509" s="259"/>
      <c r="H509" s="259"/>
      <c r="I509" s="259"/>
      <c r="J509" s="259"/>
      <c r="K509" s="259"/>
      <c r="L509" s="259"/>
      <c r="M509" s="259"/>
      <c r="N509" s="259"/>
      <c r="O509" s="235"/>
      <c r="P509" s="235"/>
      <c r="Q509" s="235"/>
    </row>
    <row r="510" spans="2:17">
      <c r="B510" s="241"/>
      <c r="C510" s="241"/>
      <c r="D510" s="241"/>
      <c r="E510" s="241"/>
      <c r="F510" s="259"/>
      <c r="G510" s="259"/>
      <c r="H510" s="259"/>
      <c r="I510" s="259"/>
      <c r="J510" s="259"/>
      <c r="K510" s="259"/>
      <c r="L510" s="259"/>
      <c r="M510" s="259"/>
      <c r="N510" s="259"/>
      <c r="O510" s="235"/>
      <c r="P510" s="235"/>
      <c r="Q510" s="235"/>
    </row>
    <row r="511" spans="2:17">
      <c r="B511" s="241"/>
      <c r="C511" s="241"/>
      <c r="D511" s="241"/>
      <c r="E511" s="241"/>
      <c r="F511" s="259"/>
      <c r="G511" s="259"/>
      <c r="H511" s="259"/>
      <c r="I511" s="259"/>
      <c r="J511" s="259"/>
      <c r="K511" s="259"/>
      <c r="L511" s="259"/>
      <c r="M511" s="259"/>
      <c r="N511" s="259"/>
      <c r="O511" s="235"/>
      <c r="P511" s="235"/>
      <c r="Q511" s="235"/>
    </row>
    <row r="512" spans="2:17">
      <c r="B512" s="241"/>
      <c r="C512" s="241"/>
      <c r="D512" s="241"/>
      <c r="E512" s="241"/>
      <c r="F512" s="259"/>
      <c r="G512" s="259"/>
      <c r="H512" s="259"/>
      <c r="I512" s="259"/>
      <c r="J512" s="259"/>
      <c r="K512" s="259"/>
      <c r="L512" s="259"/>
      <c r="M512" s="259"/>
      <c r="N512" s="259"/>
      <c r="O512" s="235"/>
      <c r="P512" s="235"/>
      <c r="Q512" s="235"/>
    </row>
    <row r="513" spans="2:17">
      <c r="B513" s="241"/>
      <c r="C513" s="241"/>
      <c r="D513" s="241"/>
      <c r="E513" s="241"/>
      <c r="F513" s="259"/>
      <c r="G513" s="259"/>
      <c r="H513" s="259"/>
      <c r="I513" s="259"/>
      <c r="J513" s="259"/>
      <c r="K513" s="259"/>
      <c r="L513" s="259"/>
      <c r="M513" s="259"/>
      <c r="N513" s="259"/>
      <c r="O513" s="235"/>
      <c r="P513" s="235"/>
      <c r="Q513" s="235"/>
    </row>
    <row r="514" spans="2:17">
      <c r="B514" s="241"/>
      <c r="C514" s="241"/>
      <c r="D514" s="241"/>
      <c r="E514" s="241"/>
      <c r="F514" s="259"/>
      <c r="G514" s="259"/>
      <c r="H514" s="259"/>
      <c r="I514" s="259"/>
      <c r="J514" s="259"/>
      <c r="K514" s="259"/>
      <c r="L514" s="259"/>
      <c r="M514" s="259"/>
      <c r="N514" s="259"/>
      <c r="O514" s="235"/>
      <c r="P514" s="235"/>
      <c r="Q514" s="235"/>
    </row>
    <row r="515" spans="2:17">
      <c r="B515" s="241"/>
      <c r="C515" s="241"/>
      <c r="D515" s="241"/>
      <c r="E515" s="241"/>
      <c r="F515" s="259"/>
      <c r="G515" s="259"/>
      <c r="H515" s="259"/>
      <c r="I515" s="259"/>
      <c r="J515" s="259"/>
      <c r="K515" s="259"/>
      <c r="L515" s="259"/>
      <c r="M515" s="259"/>
      <c r="N515" s="259"/>
      <c r="O515" s="235"/>
      <c r="P515" s="235"/>
      <c r="Q515" s="235"/>
    </row>
    <row r="516" spans="2:17">
      <c r="B516" s="241"/>
      <c r="C516" s="241"/>
      <c r="D516" s="241"/>
      <c r="E516" s="241"/>
      <c r="F516" s="259"/>
      <c r="G516" s="259"/>
      <c r="H516" s="259"/>
      <c r="I516" s="259"/>
      <c r="J516" s="259"/>
      <c r="K516" s="259"/>
      <c r="L516" s="259"/>
      <c r="M516" s="259"/>
      <c r="N516" s="259"/>
      <c r="O516" s="235"/>
      <c r="P516" s="235"/>
      <c r="Q516" s="235"/>
    </row>
    <row r="517" spans="2:17">
      <c r="B517" s="241"/>
      <c r="C517" s="241"/>
      <c r="D517" s="241"/>
      <c r="E517" s="241"/>
      <c r="F517" s="259"/>
      <c r="G517" s="259"/>
      <c r="H517" s="259"/>
      <c r="I517" s="259"/>
      <c r="J517" s="259"/>
      <c r="K517" s="259"/>
      <c r="L517" s="259"/>
      <c r="M517" s="259"/>
      <c r="N517" s="259"/>
      <c r="O517" s="235"/>
      <c r="P517" s="235"/>
      <c r="Q517" s="235"/>
    </row>
    <row r="518" spans="2:17">
      <c r="B518" s="241"/>
      <c r="C518" s="241"/>
      <c r="D518" s="241"/>
      <c r="E518" s="241"/>
      <c r="F518" s="259"/>
      <c r="G518" s="259"/>
      <c r="H518" s="259"/>
      <c r="I518" s="259"/>
      <c r="J518" s="259"/>
      <c r="K518" s="259"/>
      <c r="L518" s="259"/>
      <c r="M518" s="259"/>
      <c r="N518" s="259"/>
      <c r="O518" s="235"/>
      <c r="P518" s="235"/>
      <c r="Q518" s="235"/>
    </row>
    <row r="519" spans="2:17">
      <c r="B519" s="241"/>
      <c r="C519" s="241"/>
      <c r="D519" s="241"/>
      <c r="E519" s="241"/>
      <c r="F519" s="259"/>
      <c r="G519" s="259"/>
      <c r="H519" s="259"/>
      <c r="I519" s="259"/>
      <c r="J519" s="259"/>
      <c r="K519" s="259"/>
      <c r="L519" s="259"/>
      <c r="M519" s="259"/>
      <c r="N519" s="259"/>
      <c r="O519" s="235"/>
      <c r="P519" s="235"/>
      <c r="Q519" s="235"/>
    </row>
    <row r="520" spans="2:17">
      <c r="B520" s="241"/>
      <c r="C520" s="241"/>
      <c r="D520" s="241"/>
      <c r="E520" s="241"/>
      <c r="F520" s="259"/>
      <c r="G520" s="259"/>
      <c r="H520" s="259"/>
      <c r="I520" s="259"/>
      <c r="J520" s="259"/>
      <c r="K520" s="259"/>
      <c r="L520" s="259"/>
      <c r="M520" s="259"/>
      <c r="N520" s="259"/>
      <c r="O520" s="235"/>
      <c r="P520" s="235"/>
      <c r="Q520" s="235"/>
    </row>
    <row r="521" spans="2:17">
      <c r="B521" s="241"/>
      <c r="C521" s="241"/>
      <c r="D521" s="241"/>
      <c r="E521" s="241"/>
      <c r="F521" s="259"/>
      <c r="G521" s="259"/>
      <c r="H521" s="259"/>
      <c r="I521" s="259"/>
      <c r="J521" s="259"/>
      <c r="K521" s="259"/>
      <c r="L521" s="259"/>
      <c r="M521" s="259"/>
      <c r="N521" s="259"/>
      <c r="O521" s="235"/>
      <c r="P521" s="235"/>
      <c r="Q521" s="235"/>
    </row>
    <row r="522" spans="2:17">
      <c r="B522" s="241"/>
      <c r="C522" s="241"/>
      <c r="D522" s="241"/>
      <c r="E522" s="241"/>
      <c r="F522" s="259"/>
      <c r="G522" s="259"/>
      <c r="H522" s="259"/>
      <c r="I522" s="259"/>
      <c r="J522" s="259"/>
      <c r="K522" s="259"/>
      <c r="L522" s="259"/>
      <c r="M522" s="259"/>
      <c r="N522" s="259"/>
      <c r="O522" s="235"/>
      <c r="P522" s="235"/>
      <c r="Q522" s="235"/>
    </row>
    <row r="523" spans="2:17">
      <c r="B523" s="241"/>
      <c r="C523" s="241"/>
      <c r="D523" s="241"/>
      <c r="E523" s="241"/>
      <c r="F523" s="259"/>
      <c r="G523" s="259"/>
      <c r="H523" s="259"/>
      <c r="I523" s="259"/>
      <c r="J523" s="259"/>
      <c r="K523" s="259"/>
      <c r="L523" s="259"/>
      <c r="M523" s="259"/>
      <c r="N523" s="259"/>
      <c r="O523" s="235"/>
      <c r="P523" s="235"/>
      <c r="Q523" s="235"/>
    </row>
    <row r="524" spans="2:17">
      <c r="B524" s="241"/>
      <c r="C524" s="241"/>
      <c r="D524" s="241"/>
      <c r="E524" s="241"/>
      <c r="F524" s="259"/>
      <c r="G524" s="259"/>
      <c r="H524" s="259"/>
      <c r="I524" s="259"/>
      <c r="J524" s="259"/>
      <c r="K524" s="259"/>
      <c r="L524" s="259"/>
      <c r="M524" s="259"/>
      <c r="N524" s="259"/>
      <c r="O524" s="235"/>
      <c r="P524" s="235"/>
      <c r="Q524" s="235"/>
    </row>
    <row r="525" spans="2:17">
      <c r="B525" s="241"/>
      <c r="C525" s="241"/>
      <c r="D525" s="241"/>
      <c r="E525" s="241"/>
      <c r="F525" s="259"/>
      <c r="G525" s="259"/>
      <c r="H525" s="259"/>
      <c r="I525" s="259"/>
      <c r="J525" s="259"/>
      <c r="K525" s="259"/>
      <c r="L525" s="259"/>
      <c r="M525" s="259"/>
      <c r="N525" s="259"/>
      <c r="O525" s="235"/>
      <c r="P525" s="235"/>
      <c r="Q525" s="235"/>
    </row>
    <row r="526" spans="2:17">
      <c r="B526" s="241"/>
      <c r="C526" s="241"/>
      <c r="D526" s="241"/>
      <c r="E526" s="241"/>
      <c r="F526" s="259"/>
      <c r="G526" s="259"/>
      <c r="H526" s="259"/>
      <c r="I526" s="259"/>
      <c r="J526" s="259"/>
      <c r="K526" s="259"/>
      <c r="L526" s="259"/>
      <c r="M526" s="259"/>
      <c r="N526" s="259"/>
      <c r="O526" s="235"/>
      <c r="P526" s="235"/>
      <c r="Q526" s="235"/>
    </row>
    <row r="527" spans="2:17">
      <c r="B527" s="241"/>
      <c r="C527" s="241"/>
      <c r="D527" s="241"/>
      <c r="E527" s="241"/>
      <c r="F527" s="259"/>
      <c r="G527" s="259"/>
      <c r="H527" s="259"/>
      <c r="I527" s="259"/>
      <c r="J527" s="259"/>
      <c r="K527" s="259"/>
      <c r="L527" s="259"/>
      <c r="M527" s="259"/>
      <c r="N527" s="259"/>
      <c r="O527" s="235"/>
      <c r="P527" s="235"/>
      <c r="Q527" s="235"/>
    </row>
    <row r="528" spans="2:17">
      <c r="B528" s="241"/>
      <c r="C528" s="241"/>
      <c r="D528" s="241"/>
      <c r="E528" s="241"/>
      <c r="F528" s="259"/>
      <c r="G528" s="259"/>
      <c r="H528" s="259"/>
      <c r="I528" s="259"/>
      <c r="J528" s="259"/>
      <c r="K528" s="259"/>
      <c r="L528" s="259"/>
      <c r="M528" s="259"/>
      <c r="N528" s="259"/>
      <c r="O528" s="235"/>
      <c r="P528" s="235"/>
      <c r="Q528" s="235"/>
    </row>
    <row r="529" spans="2:17">
      <c r="B529" s="241"/>
      <c r="C529" s="241"/>
      <c r="D529" s="241"/>
      <c r="E529" s="241"/>
      <c r="F529" s="259"/>
      <c r="G529" s="259"/>
      <c r="H529" s="259"/>
      <c r="I529" s="259"/>
      <c r="J529" s="259"/>
      <c r="K529" s="259"/>
      <c r="L529" s="259"/>
      <c r="M529" s="259"/>
      <c r="N529" s="259"/>
      <c r="O529" s="235"/>
      <c r="P529" s="235"/>
      <c r="Q529" s="235"/>
    </row>
    <row r="530" spans="2:17">
      <c r="B530" s="241"/>
      <c r="C530" s="241"/>
      <c r="D530" s="241"/>
      <c r="E530" s="241"/>
      <c r="F530" s="259"/>
      <c r="G530" s="259"/>
      <c r="H530" s="259"/>
      <c r="I530" s="259"/>
      <c r="J530" s="259"/>
      <c r="K530" s="259"/>
      <c r="L530" s="259"/>
      <c r="M530" s="259"/>
      <c r="N530" s="259"/>
      <c r="O530" s="235"/>
      <c r="P530" s="235"/>
      <c r="Q530" s="235"/>
    </row>
    <row r="531" spans="2:17">
      <c r="B531" s="241"/>
      <c r="C531" s="241"/>
      <c r="D531" s="241"/>
      <c r="E531" s="241"/>
      <c r="F531" s="259"/>
      <c r="G531" s="259"/>
      <c r="H531" s="259"/>
      <c r="I531" s="259"/>
      <c r="J531" s="259"/>
      <c r="K531" s="259"/>
      <c r="L531" s="259"/>
      <c r="M531" s="259"/>
      <c r="N531" s="259"/>
      <c r="O531" s="235"/>
      <c r="P531" s="235"/>
      <c r="Q531" s="235"/>
    </row>
    <row r="532" spans="2:17">
      <c r="B532" s="241"/>
      <c r="C532" s="241"/>
      <c r="D532" s="241"/>
      <c r="E532" s="241"/>
      <c r="F532" s="259"/>
      <c r="G532" s="259"/>
      <c r="H532" s="259"/>
      <c r="I532" s="259"/>
      <c r="J532" s="259"/>
      <c r="K532" s="259"/>
      <c r="L532" s="259"/>
      <c r="M532" s="259"/>
      <c r="N532" s="259"/>
      <c r="O532" s="235"/>
      <c r="P532" s="235"/>
      <c r="Q532" s="235"/>
    </row>
    <row r="533" spans="2:17">
      <c r="B533" s="241"/>
      <c r="C533" s="241"/>
      <c r="D533" s="241"/>
      <c r="E533" s="241"/>
      <c r="F533" s="259"/>
      <c r="G533" s="259"/>
      <c r="H533" s="259"/>
      <c r="I533" s="259"/>
      <c r="J533" s="259"/>
      <c r="K533" s="259"/>
      <c r="L533" s="259"/>
      <c r="M533" s="259"/>
      <c r="N533" s="259"/>
      <c r="O533" s="235"/>
      <c r="P533" s="235"/>
      <c r="Q533" s="235"/>
    </row>
    <row r="534" spans="2:17">
      <c r="B534" s="241"/>
      <c r="C534" s="241"/>
      <c r="D534" s="241"/>
      <c r="E534" s="241"/>
      <c r="F534" s="259"/>
      <c r="G534" s="259"/>
      <c r="H534" s="259"/>
      <c r="I534" s="259"/>
      <c r="J534" s="259"/>
      <c r="K534" s="259"/>
      <c r="L534" s="259"/>
      <c r="M534" s="259"/>
      <c r="N534" s="259"/>
      <c r="O534" s="235"/>
      <c r="P534" s="235"/>
      <c r="Q534" s="235"/>
    </row>
    <row r="535" spans="2:17">
      <c r="B535" s="241"/>
      <c r="C535" s="241"/>
      <c r="D535" s="241"/>
      <c r="E535" s="241"/>
      <c r="F535" s="259"/>
      <c r="G535" s="259"/>
      <c r="H535" s="259"/>
      <c r="I535" s="259"/>
      <c r="J535" s="259"/>
      <c r="K535" s="259"/>
      <c r="L535" s="259"/>
      <c r="M535" s="259"/>
      <c r="N535" s="259"/>
      <c r="O535" s="235"/>
      <c r="P535" s="235"/>
      <c r="Q535" s="235"/>
    </row>
    <row r="536" spans="2:17">
      <c r="B536" s="241"/>
      <c r="C536" s="241"/>
      <c r="D536" s="241"/>
      <c r="E536" s="241"/>
      <c r="F536" s="259"/>
      <c r="G536" s="259"/>
      <c r="H536" s="259"/>
      <c r="I536" s="259"/>
      <c r="J536" s="259"/>
      <c r="K536" s="259"/>
      <c r="L536" s="259"/>
      <c r="M536" s="259"/>
      <c r="N536" s="259"/>
      <c r="O536" s="235"/>
      <c r="P536" s="235"/>
      <c r="Q536" s="235"/>
    </row>
    <row r="537" spans="2:17">
      <c r="B537" s="241"/>
      <c r="C537" s="241"/>
      <c r="D537" s="241"/>
      <c r="E537" s="241"/>
      <c r="F537" s="259"/>
      <c r="G537" s="259"/>
      <c r="H537" s="259"/>
      <c r="I537" s="259"/>
      <c r="J537" s="259"/>
      <c r="K537" s="259"/>
      <c r="L537" s="259"/>
      <c r="M537" s="259"/>
      <c r="N537" s="259"/>
      <c r="O537" s="235"/>
      <c r="P537" s="235"/>
      <c r="Q537" s="235"/>
    </row>
    <row r="538" spans="2:17">
      <c r="B538" s="241"/>
      <c r="C538" s="241"/>
      <c r="D538" s="241"/>
      <c r="E538" s="241"/>
      <c r="F538" s="259"/>
      <c r="G538" s="259"/>
      <c r="H538" s="259"/>
      <c r="I538" s="259"/>
      <c r="J538" s="259"/>
      <c r="K538" s="259"/>
      <c r="L538" s="259"/>
      <c r="M538" s="259"/>
      <c r="N538" s="259"/>
      <c r="O538" s="235"/>
      <c r="P538" s="235"/>
      <c r="Q538" s="235"/>
    </row>
    <row r="539" spans="2:17">
      <c r="B539" s="241"/>
      <c r="C539" s="241"/>
      <c r="D539" s="241"/>
      <c r="E539" s="241"/>
      <c r="F539" s="259"/>
      <c r="G539" s="259"/>
      <c r="H539" s="259"/>
      <c r="I539" s="259"/>
      <c r="J539" s="259"/>
      <c r="K539" s="259"/>
      <c r="L539" s="259"/>
      <c r="M539" s="259"/>
      <c r="N539" s="259"/>
      <c r="O539" s="235"/>
      <c r="P539" s="235"/>
      <c r="Q539" s="235"/>
    </row>
    <row r="540" spans="2:17">
      <c r="B540" s="241"/>
      <c r="C540" s="241"/>
      <c r="D540" s="241"/>
      <c r="E540" s="241"/>
      <c r="F540" s="259"/>
      <c r="G540" s="259"/>
      <c r="H540" s="259"/>
      <c r="I540" s="259"/>
      <c r="J540" s="259"/>
      <c r="K540" s="259"/>
      <c r="L540" s="259"/>
      <c r="M540" s="259"/>
      <c r="N540" s="259"/>
      <c r="O540" s="235"/>
      <c r="P540" s="235"/>
      <c r="Q540" s="235"/>
    </row>
    <row r="541" spans="2:17">
      <c r="B541" s="241"/>
      <c r="C541" s="241"/>
      <c r="D541" s="241"/>
      <c r="E541" s="241"/>
      <c r="F541" s="259"/>
      <c r="G541" s="259"/>
      <c r="H541" s="259"/>
      <c r="I541" s="259"/>
      <c r="J541" s="259"/>
      <c r="K541" s="259"/>
      <c r="L541" s="259"/>
      <c r="M541" s="259"/>
      <c r="N541" s="259"/>
      <c r="O541" s="235"/>
      <c r="P541" s="235"/>
      <c r="Q541" s="235"/>
    </row>
    <row r="542" spans="2:17">
      <c r="B542" s="241"/>
      <c r="C542" s="241"/>
      <c r="D542" s="241"/>
      <c r="E542" s="241"/>
      <c r="F542" s="259"/>
      <c r="G542" s="259"/>
      <c r="H542" s="259"/>
      <c r="I542" s="259"/>
      <c r="J542" s="259"/>
      <c r="K542" s="259"/>
      <c r="L542" s="259"/>
      <c r="M542" s="259"/>
      <c r="N542" s="259"/>
      <c r="O542" s="235"/>
      <c r="P542" s="235"/>
      <c r="Q542" s="235"/>
    </row>
    <row r="543" spans="2:17">
      <c r="B543" s="241"/>
      <c r="C543" s="241"/>
      <c r="D543" s="241"/>
      <c r="E543" s="241"/>
      <c r="F543" s="259"/>
      <c r="G543" s="259"/>
      <c r="H543" s="259"/>
      <c r="I543" s="259"/>
      <c r="J543" s="259"/>
      <c r="K543" s="259"/>
      <c r="L543" s="259"/>
      <c r="M543" s="259"/>
      <c r="N543" s="259"/>
      <c r="O543" s="235"/>
      <c r="P543" s="235"/>
      <c r="Q543" s="235"/>
    </row>
    <row r="544" spans="2:17">
      <c r="B544" s="241"/>
      <c r="C544" s="241"/>
      <c r="D544" s="241"/>
      <c r="E544" s="241"/>
      <c r="F544" s="259"/>
      <c r="G544" s="259"/>
      <c r="H544" s="259"/>
      <c r="I544" s="259"/>
      <c r="J544" s="259"/>
      <c r="K544" s="259"/>
      <c r="L544" s="259"/>
      <c r="M544" s="259"/>
      <c r="N544" s="259"/>
      <c r="O544" s="235"/>
      <c r="P544" s="235"/>
      <c r="Q544" s="235"/>
    </row>
    <row r="545" spans="2:17">
      <c r="B545" s="241"/>
      <c r="C545" s="241"/>
      <c r="D545" s="241"/>
      <c r="E545" s="241"/>
      <c r="F545" s="259"/>
      <c r="G545" s="259"/>
      <c r="H545" s="259"/>
      <c r="I545" s="259"/>
      <c r="J545" s="259"/>
      <c r="K545" s="259"/>
      <c r="L545" s="259"/>
      <c r="M545" s="259"/>
      <c r="N545" s="259"/>
      <c r="O545" s="235"/>
      <c r="P545" s="235"/>
      <c r="Q545" s="235"/>
    </row>
    <row r="546" spans="2:17">
      <c r="B546" s="241"/>
      <c r="C546" s="241"/>
      <c r="D546" s="241"/>
      <c r="E546" s="241"/>
      <c r="F546" s="259"/>
      <c r="G546" s="259"/>
      <c r="H546" s="259"/>
      <c r="I546" s="259"/>
      <c r="J546" s="259"/>
      <c r="K546" s="259"/>
      <c r="L546" s="259"/>
      <c r="M546" s="259"/>
      <c r="N546" s="259"/>
      <c r="O546" s="235"/>
      <c r="P546" s="235"/>
      <c r="Q546" s="235"/>
    </row>
    <row r="547" spans="2:17">
      <c r="B547" s="241"/>
      <c r="C547" s="241"/>
      <c r="D547" s="241"/>
      <c r="E547" s="241"/>
      <c r="F547" s="259"/>
      <c r="G547" s="259"/>
      <c r="H547" s="259"/>
      <c r="I547" s="259"/>
      <c r="J547" s="259"/>
      <c r="K547" s="259"/>
      <c r="L547" s="259"/>
      <c r="M547" s="259"/>
      <c r="N547" s="259"/>
      <c r="O547" s="235"/>
      <c r="P547" s="235"/>
      <c r="Q547" s="235"/>
    </row>
    <row r="548" spans="2:17">
      <c r="B548" s="241"/>
      <c r="C548" s="241"/>
      <c r="D548" s="241"/>
      <c r="E548" s="241"/>
      <c r="F548" s="259"/>
      <c r="G548" s="259"/>
      <c r="H548" s="259"/>
      <c r="I548" s="259"/>
      <c r="J548" s="259"/>
      <c r="K548" s="259"/>
      <c r="L548" s="259"/>
      <c r="M548" s="259"/>
      <c r="N548" s="259"/>
      <c r="O548" s="235"/>
      <c r="P548" s="235"/>
      <c r="Q548" s="235"/>
    </row>
    <row r="549" spans="2:17">
      <c r="B549" s="241"/>
      <c r="C549" s="241"/>
      <c r="D549" s="241"/>
      <c r="E549" s="241"/>
      <c r="F549" s="259"/>
      <c r="G549" s="259"/>
      <c r="H549" s="259"/>
      <c r="I549" s="259"/>
      <c r="J549" s="259"/>
      <c r="K549" s="259"/>
      <c r="L549" s="259"/>
      <c r="M549" s="259"/>
      <c r="N549" s="259"/>
      <c r="O549" s="235"/>
      <c r="P549" s="235"/>
      <c r="Q549" s="235"/>
    </row>
    <row r="550" spans="2:17">
      <c r="B550" s="241"/>
      <c r="C550" s="241"/>
      <c r="D550" s="241"/>
      <c r="E550" s="241"/>
      <c r="F550" s="259"/>
      <c r="G550" s="259"/>
      <c r="H550" s="259"/>
      <c r="I550" s="259"/>
      <c r="J550" s="259"/>
      <c r="K550" s="259"/>
      <c r="L550" s="259"/>
      <c r="M550" s="259"/>
      <c r="N550" s="259"/>
      <c r="O550" s="235"/>
      <c r="P550" s="235"/>
      <c r="Q550" s="235"/>
    </row>
    <row r="551" spans="2:17">
      <c r="B551" s="241"/>
      <c r="C551" s="241"/>
      <c r="D551" s="241"/>
      <c r="E551" s="241"/>
      <c r="F551" s="259"/>
      <c r="G551" s="259"/>
      <c r="H551" s="259"/>
      <c r="I551" s="259"/>
      <c r="J551" s="259"/>
      <c r="K551" s="259"/>
      <c r="L551" s="259"/>
      <c r="M551" s="259"/>
      <c r="N551" s="259"/>
      <c r="O551" s="235"/>
      <c r="P551" s="235"/>
      <c r="Q551" s="235"/>
    </row>
    <row r="552" spans="2:17">
      <c r="B552" s="241"/>
      <c r="C552" s="241"/>
      <c r="D552" s="241"/>
      <c r="E552" s="241"/>
      <c r="F552" s="259"/>
      <c r="G552" s="259"/>
      <c r="H552" s="259"/>
      <c r="I552" s="259"/>
      <c r="J552" s="259"/>
      <c r="K552" s="259"/>
      <c r="L552" s="259"/>
      <c r="M552" s="259"/>
      <c r="N552" s="259"/>
      <c r="O552" s="235"/>
      <c r="P552" s="235"/>
      <c r="Q552" s="235"/>
    </row>
    <row r="553" spans="2:17">
      <c r="B553" s="241"/>
      <c r="C553" s="241"/>
      <c r="D553" s="241"/>
      <c r="E553" s="241"/>
      <c r="F553" s="259"/>
      <c r="G553" s="259"/>
      <c r="H553" s="259"/>
      <c r="I553" s="259"/>
      <c r="J553" s="259"/>
      <c r="K553" s="259"/>
      <c r="L553" s="259"/>
      <c r="M553" s="259"/>
      <c r="N553" s="259"/>
      <c r="O553" s="235"/>
      <c r="P553" s="235"/>
      <c r="Q553" s="235"/>
    </row>
    <row r="554" spans="2:17">
      <c r="B554" s="241"/>
      <c r="C554" s="241"/>
      <c r="D554" s="241"/>
      <c r="E554" s="241"/>
      <c r="F554" s="259"/>
      <c r="G554" s="259"/>
      <c r="H554" s="259"/>
      <c r="I554" s="259"/>
      <c r="J554" s="259"/>
      <c r="K554" s="259"/>
      <c r="L554" s="259"/>
      <c r="M554" s="259"/>
      <c r="N554" s="259"/>
      <c r="O554" s="235"/>
      <c r="P554" s="235"/>
      <c r="Q554" s="235"/>
    </row>
    <row r="555" spans="2:17">
      <c r="B555" s="241"/>
      <c r="C555" s="241"/>
      <c r="D555" s="241"/>
      <c r="E555" s="241"/>
      <c r="F555" s="259"/>
      <c r="G555" s="259"/>
      <c r="H555" s="259"/>
      <c r="I555" s="259"/>
      <c r="J555" s="259"/>
      <c r="K555" s="259"/>
      <c r="L555" s="259"/>
      <c r="M555" s="259"/>
      <c r="N555" s="259"/>
      <c r="O555" s="235"/>
      <c r="P555" s="235"/>
      <c r="Q555" s="235"/>
    </row>
    <row r="556" spans="2:17">
      <c r="B556" s="241"/>
      <c r="C556" s="241"/>
      <c r="D556" s="241"/>
      <c r="E556" s="241"/>
      <c r="F556" s="259"/>
      <c r="G556" s="259"/>
      <c r="H556" s="259"/>
      <c r="I556" s="259"/>
      <c r="J556" s="259"/>
      <c r="K556" s="259"/>
      <c r="L556" s="259"/>
      <c r="M556" s="259"/>
      <c r="N556" s="259"/>
      <c r="O556" s="235"/>
      <c r="P556" s="235"/>
      <c r="Q556" s="235"/>
    </row>
    <row r="557" spans="2:17">
      <c r="B557" s="241"/>
      <c r="C557" s="241"/>
      <c r="D557" s="241"/>
      <c r="E557" s="241"/>
      <c r="F557" s="259"/>
      <c r="G557" s="259"/>
      <c r="H557" s="259"/>
      <c r="I557" s="259"/>
      <c r="J557" s="259"/>
      <c r="K557" s="259"/>
      <c r="L557" s="259"/>
      <c r="M557" s="259"/>
      <c r="N557" s="259"/>
      <c r="O557" s="235"/>
      <c r="P557" s="235"/>
      <c r="Q557" s="235"/>
    </row>
    <row r="558" spans="2:17">
      <c r="B558" s="241"/>
      <c r="C558" s="241"/>
      <c r="D558" s="241"/>
      <c r="E558" s="241"/>
      <c r="F558" s="259"/>
      <c r="G558" s="259"/>
      <c r="H558" s="259"/>
      <c r="I558" s="259"/>
      <c r="J558" s="259"/>
      <c r="K558" s="259"/>
      <c r="L558" s="259"/>
      <c r="M558" s="259"/>
      <c r="N558" s="259"/>
      <c r="O558" s="235"/>
      <c r="P558" s="235"/>
      <c r="Q558" s="235"/>
    </row>
    <row r="559" spans="2:17">
      <c r="B559" s="241"/>
      <c r="C559" s="241"/>
      <c r="D559" s="241"/>
      <c r="E559" s="241"/>
      <c r="F559" s="259"/>
      <c r="G559" s="259"/>
      <c r="H559" s="259"/>
      <c r="I559" s="259"/>
      <c r="J559" s="259"/>
      <c r="K559" s="259"/>
      <c r="L559" s="259"/>
      <c r="M559" s="259"/>
      <c r="N559" s="259"/>
      <c r="O559" s="235"/>
      <c r="P559" s="235"/>
      <c r="Q559" s="235"/>
    </row>
    <row r="560" spans="2:17">
      <c r="B560" s="241"/>
      <c r="C560" s="241"/>
      <c r="D560" s="241"/>
      <c r="E560" s="241"/>
      <c r="F560" s="259"/>
      <c r="G560" s="259"/>
      <c r="H560" s="259"/>
      <c r="I560" s="259"/>
      <c r="J560" s="259"/>
      <c r="K560" s="259"/>
      <c r="L560" s="259"/>
      <c r="M560" s="259"/>
      <c r="N560" s="259"/>
      <c r="O560" s="235"/>
      <c r="P560" s="235"/>
      <c r="Q560" s="235"/>
    </row>
    <row r="561" spans="2:17">
      <c r="B561" s="241"/>
      <c r="C561" s="241"/>
      <c r="D561" s="241"/>
      <c r="E561" s="241"/>
      <c r="F561" s="259"/>
      <c r="G561" s="259"/>
      <c r="H561" s="259"/>
      <c r="I561" s="259"/>
      <c r="J561" s="259"/>
      <c r="K561" s="259"/>
      <c r="L561" s="259"/>
      <c r="M561" s="259"/>
      <c r="N561" s="259"/>
      <c r="O561" s="235"/>
      <c r="P561" s="235"/>
      <c r="Q561" s="235"/>
    </row>
    <row r="562" spans="2:17">
      <c r="B562" s="241"/>
      <c r="C562" s="241"/>
      <c r="D562" s="241"/>
      <c r="E562" s="241"/>
      <c r="F562" s="259"/>
      <c r="G562" s="259"/>
      <c r="H562" s="259"/>
      <c r="I562" s="259"/>
      <c r="J562" s="259"/>
      <c r="K562" s="259"/>
      <c r="L562" s="259"/>
      <c r="M562" s="259"/>
      <c r="N562" s="259"/>
      <c r="O562" s="235"/>
      <c r="P562" s="235"/>
      <c r="Q562" s="235"/>
    </row>
    <row r="563" spans="2:17">
      <c r="B563" s="241"/>
      <c r="C563" s="241"/>
      <c r="D563" s="241"/>
      <c r="E563" s="241"/>
      <c r="F563" s="259"/>
      <c r="G563" s="259"/>
      <c r="H563" s="259"/>
      <c r="I563" s="259"/>
      <c r="J563" s="259"/>
      <c r="K563" s="259"/>
      <c r="L563" s="259"/>
      <c r="M563" s="259"/>
      <c r="N563" s="259"/>
      <c r="O563" s="235"/>
      <c r="P563" s="235"/>
      <c r="Q563" s="235"/>
    </row>
    <row r="564" spans="2:17">
      <c r="B564" s="241"/>
      <c r="C564" s="241"/>
      <c r="D564" s="241"/>
      <c r="E564" s="241"/>
      <c r="F564" s="259"/>
      <c r="G564" s="259"/>
      <c r="H564" s="259"/>
      <c r="I564" s="259"/>
      <c r="J564" s="259"/>
      <c r="K564" s="259"/>
      <c r="L564" s="259"/>
      <c r="M564" s="259"/>
      <c r="N564" s="259"/>
      <c r="O564" s="235"/>
      <c r="P564" s="235"/>
      <c r="Q564" s="235"/>
    </row>
    <row r="565" spans="2:17">
      <c r="B565" s="241"/>
      <c r="C565" s="241"/>
      <c r="D565" s="241"/>
      <c r="E565" s="241"/>
      <c r="F565" s="259"/>
      <c r="G565" s="259"/>
      <c r="H565" s="259"/>
      <c r="I565" s="259"/>
      <c r="J565" s="259"/>
      <c r="K565" s="259"/>
      <c r="L565" s="259"/>
      <c r="M565" s="259"/>
      <c r="N565" s="259"/>
      <c r="O565" s="235"/>
      <c r="P565" s="235"/>
      <c r="Q565" s="235"/>
    </row>
    <row r="566" spans="2:17">
      <c r="B566" s="241"/>
      <c r="C566" s="241"/>
      <c r="D566" s="241"/>
      <c r="E566" s="241"/>
      <c r="F566" s="259"/>
      <c r="G566" s="259"/>
      <c r="H566" s="259"/>
      <c r="I566" s="259"/>
      <c r="J566" s="259"/>
      <c r="K566" s="259"/>
      <c r="L566" s="259"/>
      <c r="M566" s="259"/>
      <c r="N566" s="259"/>
      <c r="O566" s="235"/>
      <c r="P566" s="235"/>
      <c r="Q566" s="235"/>
    </row>
    <row r="567" spans="2:17">
      <c r="B567" s="241"/>
      <c r="C567" s="241"/>
      <c r="D567" s="241"/>
      <c r="E567" s="241"/>
      <c r="F567" s="259"/>
      <c r="G567" s="259"/>
      <c r="H567" s="259"/>
      <c r="I567" s="259"/>
      <c r="J567" s="259"/>
      <c r="K567" s="259"/>
      <c r="L567" s="259"/>
      <c r="M567" s="259"/>
      <c r="N567" s="259"/>
      <c r="O567" s="235"/>
      <c r="P567" s="235"/>
      <c r="Q567" s="235"/>
    </row>
    <row r="568" spans="2:17">
      <c r="B568" s="241"/>
      <c r="C568" s="241"/>
      <c r="D568" s="241"/>
      <c r="E568" s="241"/>
      <c r="F568" s="259"/>
      <c r="G568" s="259"/>
      <c r="H568" s="259"/>
      <c r="I568" s="259"/>
      <c r="J568" s="259"/>
      <c r="K568" s="259"/>
      <c r="L568" s="259"/>
      <c r="M568" s="259"/>
      <c r="N568" s="259"/>
      <c r="O568" s="235"/>
      <c r="P568" s="235"/>
      <c r="Q568" s="235"/>
    </row>
    <row r="569" spans="2:17">
      <c r="B569" s="241"/>
      <c r="C569" s="241"/>
      <c r="D569" s="241"/>
      <c r="E569" s="241"/>
      <c r="F569" s="259"/>
      <c r="G569" s="259"/>
      <c r="H569" s="259"/>
      <c r="I569" s="259"/>
      <c r="J569" s="259"/>
      <c r="K569" s="259"/>
      <c r="L569" s="259"/>
      <c r="M569" s="259"/>
      <c r="N569" s="259"/>
      <c r="O569" s="235"/>
      <c r="P569" s="235"/>
      <c r="Q569" s="235"/>
    </row>
    <row r="570" spans="2:17">
      <c r="B570" s="241"/>
      <c r="C570" s="241"/>
      <c r="D570" s="241"/>
      <c r="E570" s="241"/>
      <c r="F570" s="259"/>
      <c r="G570" s="259"/>
      <c r="H570" s="259"/>
      <c r="I570" s="259"/>
      <c r="J570" s="259"/>
      <c r="K570" s="259"/>
      <c r="L570" s="259"/>
      <c r="M570" s="259"/>
      <c r="N570" s="259"/>
      <c r="O570" s="235"/>
      <c r="P570" s="235"/>
      <c r="Q570" s="235"/>
    </row>
    <row r="571" spans="2:17">
      <c r="B571" s="241"/>
      <c r="C571" s="241"/>
      <c r="D571" s="241"/>
      <c r="E571" s="241"/>
      <c r="F571" s="259"/>
      <c r="G571" s="259"/>
      <c r="H571" s="259"/>
      <c r="I571" s="259"/>
      <c r="J571" s="259"/>
      <c r="K571" s="259"/>
      <c r="L571" s="259"/>
      <c r="M571" s="259"/>
      <c r="N571" s="259"/>
      <c r="O571" s="235"/>
      <c r="P571" s="235"/>
      <c r="Q571" s="235"/>
    </row>
    <row r="572" spans="2:17">
      <c r="B572" s="241"/>
      <c r="C572" s="241"/>
      <c r="D572" s="241"/>
      <c r="E572" s="241"/>
      <c r="F572" s="259"/>
      <c r="G572" s="259"/>
      <c r="H572" s="259"/>
      <c r="I572" s="259"/>
      <c r="J572" s="259"/>
      <c r="K572" s="259"/>
      <c r="L572" s="259"/>
      <c r="M572" s="259"/>
      <c r="N572" s="259"/>
      <c r="O572" s="235"/>
      <c r="P572" s="235"/>
      <c r="Q572" s="235"/>
    </row>
    <row r="573" spans="2:17">
      <c r="B573" s="241"/>
      <c r="C573" s="241"/>
      <c r="D573" s="241"/>
      <c r="E573" s="241"/>
      <c r="F573" s="259"/>
      <c r="G573" s="259"/>
      <c r="H573" s="259"/>
      <c r="I573" s="259"/>
      <c r="J573" s="259"/>
      <c r="K573" s="259"/>
      <c r="L573" s="259"/>
      <c r="M573" s="259"/>
      <c r="N573" s="259"/>
      <c r="O573" s="235"/>
      <c r="P573" s="235"/>
      <c r="Q573" s="235"/>
    </row>
    <row r="574" spans="2:17">
      <c r="B574" s="241"/>
      <c r="C574" s="241"/>
      <c r="D574" s="241"/>
      <c r="E574" s="241"/>
      <c r="F574" s="259"/>
      <c r="G574" s="259"/>
      <c r="H574" s="259"/>
      <c r="I574" s="259"/>
      <c r="J574" s="259"/>
      <c r="K574" s="259"/>
      <c r="L574" s="259"/>
      <c r="M574" s="259"/>
      <c r="N574" s="259"/>
      <c r="O574" s="235"/>
      <c r="P574" s="235"/>
      <c r="Q574" s="235"/>
    </row>
    <row r="575" spans="2:17">
      <c r="B575" s="241"/>
      <c r="C575" s="241"/>
      <c r="D575" s="241"/>
      <c r="E575" s="241"/>
      <c r="F575" s="259"/>
      <c r="G575" s="259"/>
      <c r="H575" s="259"/>
      <c r="I575" s="259"/>
      <c r="J575" s="259"/>
      <c r="K575" s="259"/>
      <c r="L575" s="259"/>
      <c r="M575" s="259"/>
      <c r="N575" s="259"/>
      <c r="O575" s="235"/>
      <c r="P575" s="235"/>
      <c r="Q575" s="235"/>
    </row>
    <row r="576" spans="2:17">
      <c r="B576" s="241"/>
      <c r="C576" s="241"/>
      <c r="D576" s="241"/>
      <c r="E576" s="241"/>
      <c r="F576" s="259"/>
      <c r="G576" s="259"/>
      <c r="H576" s="259"/>
      <c r="I576" s="259"/>
      <c r="J576" s="259"/>
      <c r="K576" s="259"/>
      <c r="L576" s="259"/>
      <c r="M576" s="259"/>
      <c r="N576" s="259"/>
      <c r="O576" s="235"/>
      <c r="P576" s="235"/>
      <c r="Q576" s="235"/>
    </row>
    <row r="577" spans="2:17">
      <c r="B577" s="241"/>
      <c r="C577" s="241"/>
      <c r="D577" s="241"/>
      <c r="E577" s="241"/>
      <c r="F577" s="259"/>
      <c r="G577" s="259"/>
      <c r="H577" s="259"/>
      <c r="I577" s="259"/>
      <c r="J577" s="259"/>
      <c r="K577" s="259"/>
      <c r="L577" s="259"/>
      <c r="M577" s="259"/>
      <c r="N577" s="259"/>
      <c r="O577" s="235"/>
      <c r="P577" s="235"/>
      <c r="Q577" s="235"/>
    </row>
    <row r="578" spans="2:17">
      <c r="B578" s="241"/>
      <c r="C578" s="241"/>
      <c r="D578" s="241"/>
      <c r="E578" s="241"/>
      <c r="F578" s="259"/>
      <c r="G578" s="259"/>
      <c r="H578" s="259"/>
      <c r="I578" s="259"/>
      <c r="J578" s="259"/>
      <c r="K578" s="259"/>
      <c r="L578" s="259"/>
      <c r="M578" s="259"/>
      <c r="N578" s="259"/>
      <c r="O578" s="235"/>
      <c r="P578" s="235"/>
      <c r="Q578" s="235"/>
    </row>
    <row r="579" spans="2:17">
      <c r="B579" s="241"/>
      <c r="C579" s="241"/>
      <c r="D579" s="241"/>
      <c r="E579" s="241"/>
      <c r="F579" s="259"/>
      <c r="G579" s="259"/>
      <c r="H579" s="259"/>
      <c r="I579" s="259"/>
      <c r="J579" s="259"/>
      <c r="K579" s="259"/>
      <c r="L579" s="259"/>
      <c r="M579" s="259"/>
      <c r="N579" s="259"/>
      <c r="O579" s="235"/>
      <c r="P579" s="235"/>
      <c r="Q579" s="235"/>
    </row>
    <row r="580" spans="2:17">
      <c r="B580" s="241"/>
      <c r="C580" s="241"/>
      <c r="D580" s="241"/>
      <c r="E580" s="241"/>
      <c r="F580" s="259"/>
      <c r="G580" s="259"/>
      <c r="H580" s="259"/>
      <c r="I580" s="259"/>
      <c r="J580" s="259"/>
      <c r="K580" s="259"/>
      <c r="L580" s="259"/>
      <c r="M580" s="259"/>
      <c r="N580" s="259"/>
      <c r="O580" s="235"/>
      <c r="P580" s="235"/>
      <c r="Q580" s="235"/>
    </row>
    <row r="581" spans="2:17">
      <c r="B581" s="241"/>
      <c r="C581" s="241"/>
      <c r="D581" s="241"/>
      <c r="E581" s="241"/>
      <c r="F581" s="259"/>
      <c r="G581" s="259"/>
      <c r="H581" s="259"/>
      <c r="I581" s="259"/>
      <c r="J581" s="259"/>
      <c r="K581" s="259"/>
      <c r="L581" s="259"/>
      <c r="M581" s="259"/>
      <c r="N581" s="259"/>
      <c r="O581" s="235"/>
      <c r="P581" s="235"/>
      <c r="Q581" s="235"/>
    </row>
    <row r="582" spans="2:17">
      <c r="B582" s="241"/>
      <c r="C582" s="241"/>
      <c r="D582" s="241"/>
      <c r="E582" s="241"/>
      <c r="F582" s="259"/>
      <c r="G582" s="259"/>
      <c r="H582" s="259"/>
      <c r="I582" s="259"/>
      <c r="J582" s="259"/>
      <c r="K582" s="259"/>
      <c r="L582" s="259"/>
      <c r="M582" s="259"/>
      <c r="N582" s="259"/>
      <c r="O582" s="235"/>
      <c r="P582" s="235"/>
      <c r="Q582" s="235"/>
    </row>
    <row r="583" spans="2:17">
      <c r="B583" s="241"/>
      <c r="C583" s="241"/>
      <c r="D583" s="241"/>
      <c r="E583" s="241"/>
      <c r="F583" s="259"/>
      <c r="G583" s="259"/>
      <c r="H583" s="259"/>
      <c r="I583" s="259"/>
      <c r="J583" s="259"/>
      <c r="K583" s="259"/>
      <c r="L583" s="259"/>
      <c r="M583" s="259"/>
      <c r="N583" s="259"/>
      <c r="O583" s="235"/>
      <c r="P583" s="235"/>
      <c r="Q583" s="235"/>
    </row>
    <row r="584" spans="2:17">
      <c r="B584" s="241"/>
      <c r="C584" s="241"/>
      <c r="D584" s="241"/>
      <c r="E584" s="241"/>
      <c r="F584" s="259"/>
      <c r="G584" s="259"/>
      <c r="H584" s="259"/>
      <c r="I584" s="259"/>
      <c r="J584" s="259"/>
      <c r="K584" s="259"/>
      <c r="L584" s="259"/>
      <c r="M584" s="259"/>
      <c r="N584" s="259"/>
      <c r="O584" s="235"/>
      <c r="P584" s="235"/>
      <c r="Q584" s="235"/>
    </row>
    <row r="585" spans="2:17">
      <c r="B585" s="241"/>
      <c r="C585" s="241"/>
      <c r="D585" s="241"/>
      <c r="E585" s="241"/>
      <c r="F585" s="259"/>
      <c r="G585" s="259"/>
      <c r="H585" s="259"/>
      <c r="I585" s="259"/>
      <c r="J585" s="259"/>
      <c r="K585" s="259"/>
      <c r="L585" s="259"/>
      <c r="M585" s="259"/>
      <c r="N585" s="259"/>
      <c r="O585" s="235"/>
      <c r="P585" s="235"/>
      <c r="Q585" s="235"/>
    </row>
    <row r="586" spans="2:17">
      <c r="B586" s="241"/>
      <c r="C586" s="241"/>
      <c r="D586" s="241"/>
      <c r="E586" s="241"/>
      <c r="F586" s="259"/>
      <c r="G586" s="259"/>
      <c r="H586" s="259"/>
      <c r="I586" s="259"/>
      <c r="J586" s="259"/>
      <c r="K586" s="259"/>
      <c r="L586" s="259"/>
      <c r="M586" s="259"/>
      <c r="N586" s="259"/>
      <c r="O586" s="235"/>
      <c r="P586" s="235"/>
      <c r="Q586" s="235"/>
    </row>
    <row r="587" spans="2:17">
      <c r="B587" s="241"/>
      <c r="C587" s="241"/>
      <c r="D587" s="241"/>
      <c r="E587" s="241"/>
      <c r="F587" s="259"/>
      <c r="G587" s="259"/>
      <c r="H587" s="259"/>
      <c r="I587" s="259"/>
      <c r="J587" s="259"/>
      <c r="K587" s="259"/>
      <c r="L587" s="259"/>
      <c r="M587" s="259"/>
      <c r="N587" s="259"/>
      <c r="O587" s="235"/>
      <c r="P587" s="235"/>
      <c r="Q587" s="235"/>
    </row>
    <row r="588" spans="2:17">
      <c r="B588" s="241"/>
      <c r="C588" s="241"/>
      <c r="D588" s="241"/>
      <c r="E588" s="241"/>
      <c r="F588" s="259"/>
      <c r="G588" s="259"/>
      <c r="H588" s="259"/>
      <c r="I588" s="259"/>
      <c r="J588" s="259"/>
      <c r="K588" s="259"/>
      <c r="L588" s="259"/>
      <c r="M588" s="259"/>
      <c r="N588" s="259"/>
      <c r="O588" s="235"/>
      <c r="P588" s="235"/>
      <c r="Q588" s="235"/>
    </row>
    <row r="589" spans="2:17">
      <c r="B589" s="241"/>
      <c r="C589" s="241"/>
      <c r="D589" s="241"/>
      <c r="E589" s="241"/>
      <c r="F589" s="259"/>
      <c r="G589" s="259"/>
      <c r="H589" s="259"/>
      <c r="I589" s="259"/>
      <c r="J589" s="259"/>
      <c r="K589" s="259"/>
      <c r="L589" s="259"/>
      <c r="M589" s="259"/>
      <c r="N589" s="259"/>
      <c r="O589" s="235"/>
      <c r="P589" s="235"/>
      <c r="Q589" s="235"/>
    </row>
    <row r="590" spans="2:17">
      <c r="B590" s="241"/>
      <c r="C590" s="241"/>
      <c r="D590" s="241"/>
      <c r="E590" s="241"/>
      <c r="F590" s="259"/>
      <c r="G590" s="259"/>
      <c r="H590" s="259"/>
      <c r="I590" s="259"/>
      <c r="J590" s="259"/>
      <c r="K590" s="259"/>
      <c r="L590" s="259"/>
      <c r="M590" s="259"/>
      <c r="N590" s="259"/>
      <c r="O590" s="235"/>
      <c r="P590" s="235"/>
      <c r="Q590" s="235"/>
    </row>
    <row r="591" spans="2:17">
      <c r="B591" s="241"/>
      <c r="C591" s="241"/>
      <c r="D591" s="241"/>
      <c r="E591" s="241"/>
      <c r="F591" s="259"/>
      <c r="G591" s="259"/>
      <c r="H591" s="259"/>
      <c r="I591" s="259"/>
      <c r="J591" s="259"/>
      <c r="K591" s="259"/>
      <c r="L591" s="259"/>
      <c r="M591" s="259"/>
      <c r="N591" s="259"/>
      <c r="O591" s="235"/>
      <c r="P591" s="235"/>
      <c r="Q591" s="235"/>
    </row>
    <row r="592" spans="2:17">
      <c r="B592" s="241"/>
      <c r="C592" s="241"/>
      <c r="D592" s="241"/>
      <c r="E592" s="241"/>
      <c r="F592" s="259"/>
      <c r="G592" s="259"/>
      <c r="H592" s="259"/>
      <c r="I592" s="259"/>
      <c r="J592" s="259"/>
      <c r="K592" s="259"/>
      <c r="L592" s="259"/>
      <c r="M592" s="259"/>
      <c r="N592" s="259"/>
      <c r="O592" s="235"/>
      <c r="P592" s="235"/>
      <c r="Q592" s="235"/>
    </row>
    <row r="593" spans="2:17">
      <c r="B593" s="241"/>
      <c r="C593" s="241"/>
      <c r="D593" s="241"/>
      <c r="E593" s="241"/>
      <c r="F593" s="259"/>
      <c r="G593" s="259"/>
      <c r="H593" s="259"/>
      <c r="I593" s="259"/>
      <c r="J593" s="259"/>
      <c r="K593" s="259"/>
      <c r="L593" s="259"/>
      <c r="M593" s="259"/>
      <c r="N593" s="259"/>
      <c r="O593" s="235"/>
      <c r="P593" s="235"/>
      <c r="Q593" s="235"/>
    </row>
    <row r="594" spans="2:17">
      <c r="B594" s="241"/>
      <c r="C594" s="241"/>
      <c r="D594" s="241"/>
      <c r="E594" s="241"/>
      <c r="F594" s="259"/>
      <c r="G594" s="259"/>
      <c r="H594" s="259"/>
      <c r="I594" s="259"/>
      <c r="J594" s="259"/>
      <c r="K594" s="259"/>
      <c r="L594" s="259"/>
      <c r="M594" s="259"/>
      <c r="N594" s="259"/>
      <c r="O594" s="235"/>
      <c r="P594" s="235"/>
      <c r="Q594" s="235"/>
    </row>
    <row r="595" spans="2:17">
      <c r="B595" s="241"/>
      <c r="C595" s="241"/>
      <c r="D595" s="241"/>
      <c r="E595" s="241"/>
      <c r="F595" s="259"/>
      <c r="G595" s="259"/>
      <c r="H595" s="259"/>
      <c r="I595" s="259"/>
      <c r="J595" s="259"/>
      <c r="K595" s="259"/>
      <c r="L595" s="259"/>
      <c r="M595" s="259"/>
      <c r="N595" s="259"/>
      <c r="O595" s="235"/>
      <c r="P595" s="235"/>
      <c r="Q595" s="235"/>
    </row>
    <row r="596" spans="2:17">
      <c r="B596" s="241"/>
      <c r="C596" s="241"/>
      <c r="D596" s="241"/>
      <c r="E596" s="241"/>
      <c r="F596" s="259"/>
      <c r="G596" s="259"/>
      <c r="H596" s="259"/>
      <c r="I596" s="259"/>
      <c r="J596" s="259"/>
      <c r="K596" s="259"/>
      <c r="L596" s="259"/>
      <c r="M596" s="259"/>
      <c r="N596" s="259"/>
      <c r="O596" s="235"/>
      <c r="P596" s="235"/>
      <c r="Q596" s="235"/>
    </row>
    <row r="597" spans="2:17">
      <c r="B597" s="241"/>
      <c r="C597" s="241"/>
      <c r="D597" s="241"/>
      <c r="E597" s="241"/>
      <c r="F597" s="259"/>
      <c r="G597" s="259"/>
      <c r="H597" s="259"/>
      <c r="I597" s="259"/>
      <c r="J597" s="259"/>
      <c r="K597" s="259"/>
      <c r="L597" s="259"/>
      <c r="M597" s="259"/>
      <c r="N597" s="259"/>
      <c r="O597" s="235"/>
      <c r="P597" s="235"/>
      <c r="Q597" s="235"/>
    </row>
    <row r="598" spans="2:17">
      <c r="B598" s="241"/>
      <c r="C598" s="241"/>
      <c r="D598" s="241"/>
      <c r="E598" s="241"/>
      <c r="F598" s="259"/>
      <c r="G598" s="259"/>
      <c r="H598" s="259"/>
      <c r="I598" s="259"/>
      <c r="J598" s="259"/>
      <c r="K598" s="259"/>
      <c r="L598" s="259"/>
      <c r="M598" s="259"/>
      <c r="N598" s="259"/>
      <c r="O598" s="235"/>
      <c r="P598" s="235"/>
      <c r="Q598" s="235"/>
    </row>
    <row r="599" spans="2:17">
      <c r="B599" s="241"/>
      <c r="C599" s="241"/>
      <c r="D599" s="241"/>
      <c r="E599" s="241"/>
      <c r="F599" s="259"/>
      <c r="G599" s="259"/>
      <c r="H599" s="259"/>
      <c r="I599" s="259"/>
      <c r="J599" s="259"/>
      <c r="K599" s="259"/>
      <c r="L599" s="259"/>
      <c r="M599" s="259"/>
      <c r="N599" s="259"/>
      <c r="O599" s="235"/>
      <c r="P599" s="235"/>
      <c r="Q599" s="235"/>
    </row>
    <row r="600" spans="2:17">
      <c r="B600" s="241"/>
      <c r="C600" s="241"/>
      <c r="D600" s="241"/>
      <c r="E600" s="241"/>
      <c r="F600" s="259"/>
      <c r="G600" s="259"/>
      <c r="H600" s="259"/>
      <c r="I600" s="259"/>
      <c r="J600" s="259"/>
      <c r="K600" s="259"/>
      <c r="L600" s="259"/>
      <c r="M600" s="259"/>
      <c r="N600" s="259"/>
      <c r="O600" s="235"/>
      <c r="P600" s="235"/>
      <c r="Q600" s="235"/>
    </row>
    <row r="601" spans="2:17">
      <c r="B601" s="241"/>
      <c r="C601" s="241"/>
      <c r="D601" s="241"/>
      <c r="E601" s="241"/>
      <c r="F601" s="259"/>
      <c r="G601" s="259"/>
      <c r="H601" s="259"/>
      <c r="I601" s="259"/>
      <c r="J601" s="259"/>
      <c r="K601" s="259"/>
      <c r="L601" s="259"/>
      <c r="M601" s="259"/>
      <c r="N601" s="259"/>
      <c r="O601" s="235"/>
      <c r="P601" s="235"/>
      <c r="Q601" s="235"/>
    </row>
    <row r="602" spans="2:17">
      <c r="B602" s="241"/>
      <c r="C602" s="241"/>
      <c r="D602" s="241"/>
      <c r="E602" s="241"/>
      <c r="F602" s="259"/>
      <c r="G602" s="259"/>
      <c r="H602" s="259"/>
      <c r="I602" s="259"/>
      <c r="J602" s="259"/>
      <c r="K602" s="259"/>
      <c r="L602" s="259"/>
      <c r="M602" s="259"/>
      <c r="N602" s="259"/>
      <c r="O602" s="235"/>
      <c r="P602" s="235"/>
      <c r="Q602" s="235"/>
    </row>
    <row r="603" spans="2:17">
      <c r="B603" s="241"/>
      <c r="C603" s="241"/>
      <c r="D603" s="241"/>
      <c r="E603" s="241"/>
      <c r="F603" s="259"/>
      <c r="G603" s="259"/>
      <c r="H603" s="259"/>
      <c r="I603" s="259"/>
      <c r="J603" s="259"/>
      <c r="K603" s="259"/>
      <c r="L603" s="259"/>
      <c r="M603" s="259"/>
      <c r="N603" s="259"/>
      <c r="O603" s="235"/>
      <c r="P603" s="235"/>
      <c r="Q603" s="235"/>
    </row>
    <row r="604" spans="2:17">
      <c r="B604" s="241"/>
      <c r="C604" s="241"/>
      <c r="D604" s="241"/>
      <c r="E604" s="241"/>
      <c r="F604" s="259"/>
      <c r="G604" s="259"/>
      <c r="H604" s="259"/>
      <c r="I604" s="259"/>
      <c r="J604" s="259"/>
      <c r="K604" s="259"/>
      <c r="L604" s="259"/>
      <c r="M604" s="259"/>
      <c r="N604" s="259"/>
      <c r="O604" s="235"/>
      <c r="P604" s="235"/>
      <c r="Q604" s="235"/>
    </row>
    <row r="605" spans="2:17">
      <c r="B605" s="241"/>
      <c r="C605" s="241"/>
      <c r="D605" s="241"/>
      <c r="E605" s="241"/>
      <c r="F605" s="259"/>
      <c r="G605" s="259"/>
      <c r="H605" s="259"/>
      <c r="I605" s="259"/>
      <c r="J605" s="259"/>
      <c r="K605" s="259"/>
      <c r="L605" s="259"/>
      <c r="M605" s="259"/>
      <c r="N605" s="259"/>
      <c r="O605" s="235"/>
      <c r="P605" s="235"/>
      <c r="Q605" s="235"/>
    </row>
    <row r="606" spans="2:17">
      <c r="B606" s="241"/>
      <c r="C606" s="241"/>
      <c r="D606" s="241"/>
      <c r="E606" s="241"/>
      <c r="F606" s="259"/>
      <c r="G606" s="259"/>
      <c r="H606" s="259"/>
      <c r="I606" s="259"/>
      <c r="J606" s="259"/>
      <c r="K606" s="259"/>
      <c r="L606" s="259"/>
      <c r="M606" s="259"/>
      <c r="N606" s="259"/>
      <c r="O606" s="235"/>
      <c r="P606" s="235"/>
      <c r="Q606" s="235"/>
    </row>
    <row r="607" spans="2:17">
      <c r="B607" s="241"/>
      <c r="C607" s="241"/>
      <c r="D607" s="241"/>
      <c r="E607" s="241"/>
      <c r="F607" s="259"/>
      <c r="G607" s="259"/>
      <c r="H607" s="259"/>
      <c r="I607" s="259"/>
      <c r="J607" s="259"/>
      <c r="K607" s="259"/>
      <c r="L607" s="259"/>
      <c r="M607" s="259"/>
      <c r="N607" s="259"/>
      <c r="O607" s="235"/>
      <c r="P607" s="235"/>
      <c r="Q607" s="235"/>
    </row>
    <row r="608" spans="2:17">
      <c r="B608" s="241"/>
      <c r="C608" s="241"/>
      <c r="D608" s="241"/>
      <c r="E608" s="241"/>
      <c r="F608" s="259"/>
      <c r="G608" s="259"/>
      <c r="H608" s="259"/>
      <c r="I608" s="259"/>
      <c r="J608" s="259"/>
      <c r="K608" s="259"/>
      <c r="L608" s="259"/>
      <c r="M608" s="259"/>
      <c r="N608" s="259"/>
      <c r="O608" s="235"/>
      <c r="P608" s="235"/>
      <c r="Q608" s="235"/>
    </row>
    <row r="609" spans="2:17">
      <c r="B609" s="241"/>
      <c r="C609" s="241"/>
      <c r="D609" s="241"/>
      <c r="E609" s="241"/>
      <c r="F609" s="259"/>
      <c r="G609" s="259"/>
      <c r="H609" s="259"/>
      <c r="I609" s="259"/>
      <c r="J609" s="259"/>
      <c r="K609" s="259"/>
      <c r="L609" s="259"/>
      <c r="M609" s="259"/>
      <c r="N609" s="259"/>
      <c r="O609" s="235"/>
      <c r="P609" s="235"/>
      <c r="Q609" s="235"/>
    </row>
    <row r="610" spans="2:17">
      <c r="B610" s="241"/>
      <c r="C610" s="241"/>
      <c r="D610" s="241"/>
      <c r="E610" s="241"/>
      <c r="F610" s="259"/>
      <c r="G610" s="259"/>
      <c r="H610" s="259"/>
      <c r="I610" s="259"/>
      <c r="J610" s="259"/>
      <c r="K610" s="259"/>
      <c r="L610" s="259"/>
      <c r="M610" s="259"/>
      <c r="N610" s="259"/>
      <c r="O610" s="235"/>
      <c r="P610" s="235"/>
      <c r="Q610" s="235"/>
    </row>
    <row r="611" spans="2:17">
      <c r="B611" s="241"/>
      <c r="C611" s="241"/>
      <c r="D611" s="241"/>
      <c r="E611" s="241"/>
      <c r="F611" s="259"/>
      <c r="G611" s="259"/>
      <c r="H611" s="259"/>
      <c r="I611" s="259"/>
      <c r="J611" s="259"/>
      <c r="K611" s="259"/>
      <c r="L611" s="259"/>
      <c r="M611" s="259"/>
      <c r="N611" s="259"/>
      <c r="O611" s="235"/>
      <c r="P611" s="235"/>
      <c r="Q611" s="235"/>
    </row>
    <row r="612" spans="2:17">
      <c r="B612" s="241"/>
      <c r="C612" s="241"/>
      <c r="D612" s="241"/>
      <c r="E612" s="241"/>
      <c r="F612" s="259"/>
      <c r="G612" s="259"/>
      <c r="H612" s="259"/>
      <c r="I612" s="259"/>
      <c r="J612" s="259"/>
      <c r="K612" s="259"/>
      <c r="L612" s="259"/>
      <c r="M612" s="259"/>
      <c r="N612" s="259"/>
      <c r="O612" s="235"/>
      <c r="P612" s="235"/>
      <c r="Q612" s="235"/>
    </row>
    <row r="613" spans="2:17">
      <c r="B613" s="241"/>
      <c r="C613" s="241"/>
      <c r="D613" s="241"/>
      <c r="E613" s="241"/>
      <c r="F613" s="259"/>
      <c r="G613" s="259"/>
      <c r="H613" s="259"/>
      <c r="I613" s="259"/>
      <c r="J613" s="259"/>
      <c r="K613" s="259"/>
      <c r="L613" s="259"/>
      <c r="M613" s="259"/>
      <c r="N613" s="259"/>
      <c r="O613" s="235"/>
      <c r="P613" s="235"/>
      <c r="Q613" s="235"/>
    </row>
    <row r="614" spans="2:17">
      <c r="B614" s="241"/>
      <c r="C614" s="241"/>
      <c r="D614" s="241"/>
      <c r="E614" s="241"/>
      <c r="F614" s="259"/>
      <c r="G614" s="259"/>
      <c r="H614" s="259"/>
      <c r="I614" s="259"/>
      <c r="J614" s="259"/>
      <c r="K614" s="259"/>
      <c r="L614" s="259"/>
      <c r="M614" s="259"/>
      <c r="N614" s="259"/>
      <c r="O614" s="235"/>
      <c r="P614" s="235"/>
      <c r="Q614" s="235"/>
    </row>
    <row r="615" spans="2:17">
      <c r="B615" s="241"/>
      <c r="C615" s="241"/>
      <c r="D615" s="241"/>
      <c r="E615" s="241"/>
      <c r="F615" s="259"/>
      <c r="G615" s="259"/>
      <c r="H615" s="259"/>
      <c r="I615" s="259"/>
      <c r="J615" s="259"/>
      <c r="K615" s="259"/>
      <c r="L615" s="259"/>
      <c r="M615" s="259"/>
      <c r="N615" s="259"/>
      <c r="O615" s="235"/>
      <c r="P615" s="235"/>
      <c r="Q615" s="235"/>
    </row>
    <row r="616" spans="2:17">
      <c r="B616" s="241"/>
      <c r="C616" s="241"/>
      <c r="D616" s="241"/>
      <c r="E616" s="241"/>
      <c r="F616" s="259"/>
      <c r="G616" s="259"/>
      <c r="H616" s="259"/>
      <c r="I616" s="259"/>
      <c r="J616" s="259"/>
      <c r="K616" s="259"/>
      <c r="L616" s="259"/>
      <c r="M616" s="259"/>
      <c r="N616" s="259"/>
      <c r="O616" s="235"/>
      <c r="P616" s="235"/>
      <c r="Q616" s="235"/>
    </row>
    <row r="617" spans="2:17">
      <c r="B617" s="241"/>
      <c r="C617" s="241"/>
      <c r="D617" s="241"/>
      <c r="E617" s="241"/>
      <c r="F617" s="259"/>
      <c r="G617" s="259"/>
      <c r="H617" s="259"/>
      <c r="I617" s="259"/>
      <c r="J617" s="259"/>
      <c r="K617" s="259"/>
      <c r="L617" s="259"/>
      <c r="M617" s="259"/>
      <c r="N617" s="259"/>
      <c r="O617" s="235"/>
      <c r="P617" s="235"/>
      <c r="Q617" s="235"/>
    </row>
    <row r="618" spans="2:17">
      <c r="B618" s="241"/>
      <c r="C618" s="241"/>
      <c r="D618" s="241"/>
      <c r="E618" s="241"/>
      <c r="F618" s="259"/>
      <c r="G618" s="259"/>
      <c r="H618" s="259"/>
      <c r="I618" s="259"/>
      <c r="J618" s="259"/>
      <c r="K618" s="259"/>
      <c r="L618" s="259"/>
      <c r="M618" s="259"/>
      <c r="N618" s="259"/>
      <c r="O618" s="235"/>
      <c r="P618" s="235"/>
      <c r="Q618" s="235"/>
    </row>
    <row r="619" spans="2:17">
      <c r="B619" s="241"/>
      <c r="C619" s="241"/>
      <c r="D619" s="241"/>
      <c r="E619" s="241"/>
      <c r="F619" s="259"/>
      <c r="G619" s="259"/>
      <c r="H619" s="259"/>
      <c r="I619" s="259"/>
      <c r="J619" s="259"/>
      <c r="K619" s="259"/>
      <c r="L619" s="259"/>
      <c r="M619" s="259"/>
      <c r="N619" s="259"/>
      <c r="O619" s="235"/>
      <c r="P619" s="235"/>
      <c r="Q619" s="235"/>
    </row>
    <row r="620" spans="2:17">
      <c r="B620" s="241"/>
      <c r="C620" s="241"/>
      <c r="D620" s="241"/>
      <c r="E620" s="241"/>
      <c r="F620" s="259"/>
      <c r="G620" s="259"/>
      <c r="H620" s="259"/>
      <c r="I620" s="259"/>
      <c r="J620" s="259"/>
      <c r="K620" s="259"/>
      <c r="L620" s="259"/>
      <c r="M620" s="259"/>
      <c r="N620" s="259"/>
      <c r="O620" s="235"/>
      <c r="P620" s="235"/>
      <c r="Q620" s="235"/>
    </row>
    <row r="621" spans="2:17">
      <c r="B621" s="241"/>
      <c r="C621" s="241"/>
      <c r="D621" s="241"/>
      <c r="E621" s="241"/>
      <c r="F621" s="259"/>
      <c r="G621" s="259"/>
      <c r="H621" s="259"/>
      <c r="I621" s="259"/>
      <c r="J621" s="259"/>
      <c r="K621" s="259"/>
      <c r="L621" s="259"/>
      <c r="M621" s="259"/>
      <c r="N621" s="259"/>
      <c r="O621" s="235"/>
      <c r="P621" s="235"/>
      <c r="Q621" s="235"/>
    </row>
    <row r="622" spans="2:17">
      <c r="B622" s="241"/>
      <c r="C622" s="241"/>
      <c r="D622" s="241"/>
      <c r="E622" s="241"/>
      <c r="F622" s="259"/>
      <c r="G622" s="259"/>
      <c r="H622" s="259"/>
      <c r="I622" s="259"/>
      <c r="J622" s="259"/>
      <c r="K622" s="259"/>
      <c r="L622" s="259"/>
      <c r="M622" s="259"/>
      <c r="N622" s="259"/>
      <c r="O622" s="235"/>
      <c r="P622" s="235"/>
      <c r="Q622" s="235"/>
    </row>
    <row r="623" spans="2:17">
      <c r="B623" s="241"/>
      <c r="C623" s="241"/>
      <c r="D623" s="241"/>
      <c r="E623" s="241"/>
      <c r="F623" s="259"/>
      <c r="G623" s="259"/>
      <c r="H623" s="259"/>
      <c r="I623" s="259"/>
      <c r="J623" s="259"/>
      <c r="K623" s="259"/>
      <c r="L623" s="259"/>
      <c r="M623" s="259"/>
      <c r="N623" s="259"/>
      <c r="O623" s="235"/>
      <c r="P623" s="235"/>
      <c r="Q623" s="235"/>
    </row>
    <row r="624" spans="2:17">
      <c r="B624" s="241"/>
      <c r="C624" s="241"/>
      <c r="D624" s="241"/>
      <c r="E624" s="241"/>
      <c r="F624" s="259"/>
      <c r="G624" s="259"/>
      <c r="H624" s="259"/>
      <c r="I624" s="259"/>
      <c r="J624" s="259"/>
      <c r="K624" s="259"/>
      <c r="L624" s="259"/>
      <c r="M624" s="259"/>
      <c r="N624" s="259"/>
      <c r="O624" s="235"/>
      <c r="P624" s="235"/>
      <c r="Q624" s="235"/>
    </row>
    <row r="625" spans="2:17">
      <c r="B625" s="241"/>
      <c r="C625" s="241"/>
      <c r="D625" s="241"/>
      <c r="E625" s="241"/>
      <c r="F625" s="259"/>
      <c r="G625" s="259"/>
      <c r="H625" s="259"/>
      <c r="I625" s="259"/>
      <c r="J625" s="259"/>
      <c r="K625" s="259"/>
      <c r="L625" s="259"/>
      <c r="M625" s="259"/>
      <c r="N625" s="259"/>
      <c r="O625" s="235"/>
      <c r="P625" s="235"/>
      <c r="Q625" s="235"/>
    </row>
    <row r="626" spans="2:17">
      <c r="B626" s="241"/>
      <c r="C626" s="241"/>
      <c r="D626" s="241"/>
      <c r="E626" s="241"/>
      <c r="F626" s="259"/>
      <c r="G626" s="259"/>
      <c r="H626" s="259"/>
      <c r="I626" s="259"/>
      <c r="J626" s="259"/>
      <c r="K626" s="259"/>
      <c r="L626" s="259"/>
      <c r="M626" s="259"/>
      <c r="N626" s="259"/>
      <c r="O626" s="235"/>
      <c r="P626" s="235"/>
      <c r="Q626" s="235"/>
    </row>
    <row r="627" spans="2:17">
      <c r="B627" s="241"/>
      <c r="C627" s="241"/>
      <c r="D627" s="241"/>
      <c r="E627" s="241"/>
      <c r="F627" s="259"/>
      <c r="G627" s="259"/>
      <c r="H627" s="259"/>
      <c r="I627" s="259"/>
      <c r="J627" s="259"/>
      <c r="K627" s="259"/>
      <c r="L627" s="259"/>
      <c r="M627" s="259"/>
      <c r="N627" s="259"/>
      <c r="O627" s="235"/>
      <c r="P627" s="235"/>
      <c r="Q627" s="235"/>
    </row>
    <row r="628" spans="2:17">
      <c r="B628" s="241"/>
      <c r="C628" s="241"/>
      <c r="D628" s="241"/>
      <c r="E628" s="241"/>
      <c r="F628" s="259"/>
      <c r="G628" s="259"/>
      <c r="H628" s="259"/>
      <c r="I628" s="259"/>
      <c r="J628" s="259"/>
      <c r="K628" s="259"/>
      <c r="L628" s="259"/>
      <c r="M628" s="259"/>
      <c r="N628" s="259"/>
      <c r="O628" s="235"/>
      <c r="P628" s="235"/>
      <c r="Q628" s="235"/>
    </row>
    <row r="629" spans="2:17">
      <c r="B629" s="241"/>
      <c r="C629" s="241"/>
      <c r="D629" s="241"/>
      <c r="E629" s="241"/>
      <c r="F629" s="259"/>
      <c r="G629" s="259"/>
      <c r="H629" s="259"/>
      <c r="I629" s="259"/>
      <c r="J629" s="259"/>
      <c r="K629" s="259"/>
      <c r="L629" s="259"/>
      <c r="M629" s="259"/>
      <c r="N629" s="259"/>
      <c r="O629" s="235"/>
      <c r="P629" s="235"/>
      <c r="Q629" s="235"/>
    </row>
    <row r="630" spans="2:17">
      <c r="B630" s="241"/>
      <c r="C630" s="241"/>
      <c r="D630" s="241"/>
      <c r="E630" s="241"/>
      <c r="F630" s="259"/>
      <c r="G630" s="259"/>
      <c r="H630" s="259"/>
      <c r="I630" s="259"/>
      <c r="J630" s="259"/>
      <c r="K630" s="259"/>
      <c r="L630" s="259"/>
      <c r="M630" s="259"/>
      <c r="N630" s="259"/>
      <c r="O630" s="235"/>
      <c r="P630" s="235"/>
      <c r="Q630" s="235"/>
    </row>
    <row r="631" spans="2:17">
      <c r="B631" s="241"/>
      <c r="C631" s="241"/>
      <c r="D631" s="241"/>
      <c r="E631" s="241"/>
      <c r="F631" s="259"/>
      <c r="G631" s="259"/>
      <c r="H631" s="259"/>
      <c r="I631" s="259"/>
      <c r="J631" s="259"/>
      <c r="K631" s="259"/>
      <c r="L631" s="259"/>
      <c r="M631" s="259"/>
      <c r="N631" s="259"/>
      <c r="O631" s="235"/>
      <c r="P631" s="235"/>
      <c r="Q631" s="235"/>
    </row>
    <row r="632" spans="2:17">
      <c r="B632" s="241"/>
      <c r="C632" s="241"/>
      <c r="D632" s="241"/>
      <c r="E632" s="241"/>
      <c r="F632" s="259"/>
      <c r="G632" s="259"/>
      <c r="H632" s="259"/>
      <c r="I632" s="259"/>
      <c r="J632" s="259"/>
      <c r="K632" s="259"/>
      <c r="L632" s="259"/>
      <c r="M632" s="259"/>
      <c r="N632" s="259"/>
      <c r="O632" s="235"/>
      <c r="P632" s="235"/>
      <c r="Q632" s="235"/>
    </row>
    <row r="633" spans="2:17">
      <c r="B633" s="241"/>
      <c r="C633" s="241"/>
      <c r="D633" s="241"/>
      <c r="E633" s="241"/>
      <c r="F633" s="259"/>
      <c r="G633" s="259"/>
      <c r="H633" s="259"/>
      <c r="I633" s="259"/>
      <c r="J633" s="259"/>
      <c r="K633" s="259"/>
      <c r="L633" s="259"/>
      <c r="M633" s="259"/>
      <c r="N633" s="259"/>
      <c r="O633" s="235"/>
      <c r="P633" s="235"/>
      <c r="Q633" s="235"/>
    </row>
    <row r="634" spans="2:17">
      <c r="B634" s="241"/>
      <c r="C634" s="241"/>
      <c r="D634" s="241"/>
      <c r="E634" s="241"/>
      <c r="F634" s="259"/>
      <c r="G634" s="259"/>
      <c r="H634" s="259"/>
      <c r="I634" s="259"/>
      <c r="J634" s="259"/>
      <c r="K634" s="259"/>
      <c r="L634" s="259"/>
      <c r="M634" s="259"/>
      <c r="N634" s="259"/>
      <c r="O634" s="235"/>
      <c r="P634" s="235"/>
      <c r="Q634" s="235"/>
    </row>
    <row r="635" spans="2:17">
      <c r="B635" s="241"/>
      <c r="C635" s="241"/>
      <c r="D635" s="241"/>
      <c r="E635" s="241"/>
      <c r="F635" s="259"/>
      <c r="G635" s="259"/>
      <c r="H635" s="259"/>
      <c r="I635" s="259"/>
      <c r="J635" s="259"/>
      <c r="K635" s="259"/>
      <c r="L635" s="259"/>
      <c r="M635" s="259"/>
      <c r="N635" s="259"/>
      <c r="O635" s="235"/>
      <c r="P635" s="235"/>
      <c r="Q635" s="235"/>
    </row>
    <row r="636" spans="2:17">
      <c r="B636" s="241"/>
      <c r="C636" s="241"/>
      <c r="D636" s="241"/>
      <c r="E636" s="241"/>
      <c r="F636" s="259"/>
      <c r="G636" s="259"/>
      <c r="H636" s="259"/>
      <c r="I636" s="259"/>
      <c r="J636" s="259"/>
      <c r="K636" s="259"/>
      <c r="L636" s="259"/>
      <c r="M636" s="259"/>
      <c r="N636" s="259"/>
      <c r="O636" s="235"/>
      <c r="P636" s="235"/>
      <c r="Q636" s="235"/>
    </row>
    <row r="637" spans="2:17">
      <c r="B637" s="241"/>
      <c r="C637" s="241"/>
      <c r="D637" s="241"/>
      <c r="E637" s="241"/>
      <c r="F637" s="259"/>
      <c r="G637" s="259"/>
      <c r="H637" s="259"/>
      <c r="I637" s="259"/>
      <c r="J637" s="259"/>
      <c r="K637" s="259"/>
      <c r="L637" s="259"/>
      <c r="M637" s="259"/>
      <c r="N637" s="259"/>
      <c r="O637" s="235"/>
      <c r="P637" s="235"/>
      <c r="Q637" s="235"/>
    </row>
    <row r="638" spans="2:17">
      <c r="B638" s="241"/>
      <c r="C638" s="241"/>
      <c r="D638" s="241"/>
      <c r="E638" s="241"/>
      <c r="F638" s="259"/>
      <c r="G638" s="259"/>
      <c r="H638" s="259"/>
      <c r="I638" s="259"/>
      <c r="J638" s="259"/>
      <c r="K638" s="259"/>
      <c r="L638" s="259"/>
      <c r="M638" s="259"/>
      <c r="N638" s="259"/>
      <c r="O638" s="235"/>
      <c r="P638" s="235"/>
      <c r="Q638" s="235"/>
    </row>
    <row r="639" spans="2:17">
      <c r="B639" s="241"/>
      <c r="C639" s="241"/>
      <c r="D639" s="241"/>
      <c r="E639" s="241"/>
      <c r="F639" s="259"/>
      <c r="G639" s="259"/>
      <c r="H639" s="259"/>
      <c r="I639" s="259"/>
      <c r="J639" s="259"/>
      <c r="K639" s="259"/>
      <c r="L639" s="259"/>
      <c r="M639" s="259"/>
      <c r="N639" s="259"/>
      <c r="O639" s="235"/>
      <c r="P639" s="235"/>
      <c r="Q639" s="235"/>
    </row>
    <row r="640" spans="2:17">
      <c r="B640" s="241"/>
      <c r="C640" s="241"/>
      <c r="D640" s="241"/>
      <c r="E640" s="241"/>
      <c r="F640" s="259"/>
      <c r="G640" s="259"/>
      <c r="H640" s="259"/>
      <c r="I640" s="259"/>
      <c r="J640" s="259"/>
      <c r="K640" s="259"/>
      <c r="L640" s="259"/>
      <c r="M640" s="259"/>
      <c r="N640" s="259"/>
      <c r="O640" s="235"/>
      <c r="P640" s="235"/>
      <c r="Q640" s="235"/>
    </row>
    <row r="641" spans="2:17">
      <c r="B641" s="241"/>
      <c r="C641" s="241"/>
      <c r="D641" s="241"/>
      <c r="E641" s="241"/>
      <c r="F641" s="259"/>
      <c r="G641" s="259"/>
      <c r="H641" s="259"/>
      <c r="I641" s="259"/>
      <c r="J641" s="259"/>
      <c r="K641" s="259"/>
      <c r="L641" s="259"/>
      <c r="M641" s="259"/>
      <c r="N641" s="259"/>
      <c r="O641" s="235"/>
      <c r="P641" s="235"/>
      <c r="Q641" s="235"/>
    </row>
    <row r="642" spans="2:17">
      <c r="B642" s="241"/>
      <c r="C642" s="241"/>
      <c r="D642" s="241"/>
      <c r="E642" s="241"/>
      <c r="F642" s="259"/>
      <c r="G642" s="259"/>
      <c r="H642" s="259"/>
      <c r="I642" s="259"/>
      <c r="J642" s="259"/>
      <c r="K642" s="259"/>
      <c r="L642" s="259"/>
      <c r="M642" s="259"/>
      <c r="N642" s="259"/>
      <c r="O642" s="235"/>
      <c r="P642" s="235"/>
      <c r="Q642" s="235"/>
    </row>
    <row r="643" spans="2:17">
      <c r="B643" s="241"/>
      <c r="C643" s="241"/>
      <c r="D643" s="241"/>
      <c r="E643" s="241"/>
      <c r="F643" s="259"/>
      <c r="G643" s="259"/>
      <c r="H643" s="259"/>
      <c r="I643" s="259"/>
      <c r="J643" s="259"/>
      <c r="K643" s="259"/>
      <c r="L643" s="259"/>
      <c r="M643" s="259"/>
      <c r="N643" s="259"/>
      <c r="O643" s="235"/>
      <c r="P643" s="235"/>
      <c r="Q643" s="235"/>
    </row>
    <row r="644" spans="2:17">
      <c r="B644" s="241"/>
      <c r="C644" s="241"/>
      <c r="D644" s="241"/>
      <c r="E644" s="241"/>
      <c r="F644" s="259"/>
      <c r="G644" s="259"/>
      <c r="H644" s="259"/>
      <c r="I644" s="259"/>
      <c r="J644" s="259"/>
      <c r="K644" s="259"/>
      <c r="L644" s="259"/>
      <c r="M644" s="259"/>
      <c r="N644" s="259"/>
      <c r="O644" s="235"/>
      <c r="P644" s="235"/>
      <c r="Q644" s="235"/>
    </row>
    <row r="645" spans="2:17">
      <c r="B645" s="241"/>
      <c r="C645" s="241"/>
      <c r="D645" s="241"/>
      <c r="E645" s="241"/>
      <c r="F645" s="259"/>
      <c r="G645" s="259"/>
      <c r="H645" s="259"/>
      <c r="I645" s="259"/>
      <c r="J645" s="259"/>
      <c r="K645" s="259"/>
      <c r="L645" s="259"/>
      <c r="M645" s="259"/>
      <c r="N645" s="259"/>
      <c r="O645" s="235"/>
      <c r="P645" s="235"/>
      <c r="Q645" s="235"/>
    </row>
    <row r="646" spans="2:17">
      <c r="B646" s="241"/>
      <c r="C646" s="241"/>
      <c r="D646" s="241"/>
      <c r="E646" s="241"/>
      <c r="F646" s="259"/>
      <c r="G646" s="259"/>
      <c r="H646" s="259"/>
      <c r="I646" s="259"/>
      <c r="J646" s="259"/>
      <c r="K646" s="259"/>
      <c r="L646" s="259"/>
      <c r="M646" s="259"/>
      <c r="N646" s="259"/>
      <c r="O646" s="235"/>
      <c r="P646" s="235"/>
      <c r="Q646" s="235"/>
    </row>
    <row r="647" spans="2:17">
      <c r="B647" s="241"/>
      <c r="C647" s="241"/>
      <c r="D647" s="241"/>
      <c r="E647" s="241"/>
      <c r="F647" s="259"/>
      <c r="G647" s="259"/>
      <c r="H647" s="259"/>
      <c r="I647" s="259"/>
      <c r="J647" s="259"/>
      <c r="K647" s="259"/>
      <c r="L647" s="259"/>
      <c r="M647" s="259"/>
      <c r="N647" s="259"/>
      <c r="O647" s="235"/>
      <c r="P647" s="235"/>
      <c r="Q647" s="235"/>
    </row>
    <row r="648" spans="2:17">
      <c r="B648" s="241"/>
      <c r="C648" s="241"/>
      <c r="D648" s="241"/>
      <c r="E648" s="241"/>
      <c r="F648" s="259"/>
      <c r="G648" s="259"/>
      <c r="H648" s="259"/>
      <c r="I648" s="259"/>
      <c r="J648" s="259"/>
      <c r="K648" s="259"/>
      <c r="L648" s="259"/>
      <c r="M648" s="259"/>
      <c r="N648" s="259"/>
      <c r="O648" s="235"/>
      <c r="P648" s="235"/>
      <c r="Q648" s="235"/>
    </row>
    <row r="649" spans="2:17">
      <c r="B649" s="241"/>
      <c r="C649" s="241"/>
      <c r="D649" s="241"/>
      <c r="E649" s="241"/>
      <c r="F649" s="259"/>
      <c r="G649" s="259"/>
      <c r="H649" s="259"/>
      <c r="I649" s="259"/>
      <c r="J649" s="259"/>
      <c r="K649" s="259"/>
      <c r="L649" s="259"/>
      <c r="M649" s="259"/>
      <c r="N649" s="259"/>
      <c r="O649" s="235"/>
      <c r="P649" s="235"/>
      <c r="Q649" s="235"/>
    </row>
    <row r="650" spans="2:17">
      <c r="B650" s="241"/>
      <c r="C650" s="241"/>
      <c r="D650" s="241"/>
      <c r="E650" s="241"/>
      <c r="F650" s="259"/>
      <c r="G650" s="259"/>
      <c r="H650" s="259"/>
      <c r="I650" s="259"/>
      <c r="J650" s="259"/>
      <c r="K650" s="259"/>
      <c r="L650" s="259"/>
      <c r="M650" s="259"/>
      <c r="N650" s="259"/>
      <c r="O650" s="235"/>
      <c r="P650" s="235"/>
      <c r="Q650" s="235"/>
    </row>
    <row r="651" spans="2:17">
      <c r="B651" s="241"/>
      <c r="C651" s="241"/>
      <c r="D651" s="241"/>
      <c r="E651" s="241"/>
      <c r="F651" s="259"/>
      <c r="G651" s="259"/>
      <c r="H651" s="259"/>
      <c r="I651" s="259"/>
      <c r="J651" s="259"/>
      <c r="K651" s="259"/>
      <c r="L651" s="259"/>
      <c r="M651" s="259"/>
      <c r="N651" s="259"/>
      <c r="O651" s="235"/>
      <c r="P651" s="235"/>
      <c r="Q651" s="235"/>
    </row>
    <row r="652" spans="2:17">
      <c r="B652" s="241"/>
      <c r="C652" s="241"/>
      <c r="D652" s="241"/>
      <c r="E652" s="241"/>
      <c r="F652" s="259"/>
      <c r="G652" s="259"/>
      <c r="H652" s="259"/>
      <c r="I652" s="259"/>
      <c r="J652" s="259"/>
      <c r="K652" s="259"/>
      <c r="L652" s="259"/>
      <c r="M652" s="259"/>
      <c r="N652" s="259"/>
      <c r="O652" s="235"/>
      <c r="P652" s="235"/>
      <c r="Q652" s="235"/>
    </row>
    <row r="653" spans="2:17">
      <c r="B653" s="241"/>
      <c r="C653" s="241"/>
      <c r="D653" s="241"/>
      <c r="E653" s="241"/>
      <c r="F653" s="259"/>
      <c r="G653" s="259"/>
      <c r="H653" s="259"/>
      <c r="I653" s="259"/>
      <c r="J653" s="259"/>
      <c r="K653" s="259"/>
      <c r="L653" s="259"/>
      <c r="M653" s="259"/>
      <c r="N653" s="259"/>
      <c r="O653" s="235"/>
      <c r="P653" s="235"/>
      <c r="Q653" s="235"/>
    </row>
    <row r="654" spans="2:17">
      <c r="B654" s="241"/>
      <c r="C654" s="241"/>
      <c r="D654" s="241"/>
      <c r="E654" s="241"/>
      <c r="F654" s="259"/>
      <c r="G654" s="259"/>
      <c r="H654" s="259"/>
      <c r="I654" s="259"/>
      <c r="J654" s="259"/>
      <c r="K654" s="259"/>
      <c r="L654" s="259"/>
      <c r="M654" s="259"/>
      <c r="N654" s="259"/>
      <c r="O654" s="235"/>
      <c r="P654" s="235"/>
      <c r="Q654" s="235"/>
    </row>
    <row r="655" spans="2:17">
      <c r="B655" s="241"/>
      <c r="C655" s="241"/>
      <c r="D655" s="241"/>
      <c r="E655" s="241"/>
      <c r="F655" s="259"/>
      <c r="G655" s="259"/>
      <c r="H655" s="259"/>
      <c r="I655" s="259"/>
      <c r="J655" s="259"/>
      <c r="K655" s="259"/>
      <c r="L655" s="259"/>
      <c r="M655" s="259"/>
      <c r="N655" s="259"/>
      <c r="O655" s="235"/>
      <c r="P655" s="235"/>
      <c r="Q655" s="235"/>
    </row>
    <row r="656" spans="2:17">
      <c r="B656" s="241"/>
      <c r="C656" s="241"/>
      <c r="D656" s="241"/>
      <c r="E656" s="241"/>
      <c r="F656" s="259"/>
      <c r="G656" s="259"/>
      <c r="H656" s="259"/>
      <c r="I656" s="259"/>
      <c r="J656" s="259"/>
      <c r="K656" s="259"/>
      <c r="L656" s="259"/>
      <c r="M656" s="259"/>
      <c r="N656" s="259"/>
      <c r="O656" s="235"/>
      <c r="P656" s="235"/>
      <c r="Q656" s="235"/>
    </row>
    <row r="657" spans="2:17">
      <c r="B657" s="241"/>
      <c r="C657" s="241"/>
      <c r="D657" s="241"/>
      <c r="E657" s="241"/>
      <c r="F657" s="259"/>
      <c r="G657" s="259"/>
      <c r="H657" s="259"/>
      <c r="I657" s="259"/>
      <c r="J657" s="259"/>
      <c r="K657" s="259"/>
      <c r="L657" s="259"/>
      <c r="M657" s="259"/>
      <c r="N657" s="259"/>
      <c r="O657" s="235"/>
      <c r="P657" s="235"/>
      <c r="Q657" s="235"/>
    </row>
    <row r="658" spans="2:17">
      <c r="B658" s="241"/>
      <c r="C658" s="241"/>
      <c r="D658" s="241"/>
      <c r="E658" s="241"/>
      <c r="F658" s="259"/>
      <c r="G658" s="259"/>
      <c r="H658" s="259"/>
      <c r="I658" s="259"/>
      <c r="J658" s="259"/>
      <c r="K658" s="259"/>
      <c r="L658" s="259"/>
      <c r="M658" s="259"/>
      <c r="N658" s="259"/>
      <c r="O658" s="235"/>
      <c r="P658" s="235"/>
      <c r="Q658" s="235"/>
    </row>
    <row r="659" spans="2:17">
      <c r="B659" s="241"/>
      <c r="C659" s="241"/>
      <c r="D659" s="241"/>
      <c r="E659" s="241"/>
      <c r="F659" s="259"/>
      <c r="G659" s="259"/>
      <c r="H659" s="259"/>
      <c r="I659" s="259"/>
      <c r="J659" s="259"/>
      <c r="K659" s="259"/>
      <c r="L659" s="259"/>
      <c r="M659" s="259"/>
      <c r="N659" s="259"/>
      <c r="O659" s="235"/>
      <c r="P659" s="235"/>
      <c r="Q659" s="235"/>
    </row>
    <row r="660" spans="2:17">
      <c r="B660" s="241"/>
      <c r="C660" s="241"/>
      <c r="D660" s="241"/>
      <c r="E660" s="241"/>
      <c r="F660" s="259"/>
      <c r="G660" s="259"/>
      <c r="H660" s="259"/>
      <c r="I660" s="259"/>
      <c r="J660" s="259"/>
      <c r="K660" s="259"/>
      <c r="L660" s="259"/>
      <c r="M660" s="259"/>
      <c r="N660" s="259"/>
      <c r="O660" s="235"/>
      <c r="P660" s="235"/>
      <c r="Q660" s="235"/>
    </row>
    <row r="661" spans="2:17">
      <c r="B661" s="241"/>
      <c r="C661" s="241"/>
      <c r="D661" s="241"/>
      <c r="E661" s="241"/>
      <c r="F661" s="259"/>
      <c r="G661" s="259"/>
      <c r="H661" s="259"/>
      <c r="I661" s="259"/>
      <c r="J661" s="259"/>
      <c r="K661" s="259"/>
      <c r="L661" s="259"/>
      <c r="M661" s="259"/>
      <c r="N661" s="259"/>
      <c r="O661" s="235"/>
      <c r="P661" s="235"/>
      <c r="Q661" s="235"/>
    </row>
    <row r="662" spans="2:17">
      <c r="B662" s="241"/>
      <c r="C662" s="241"/>
      <c r="D662" s="241"/>
      <c r="E662" s="241"/>
      <c r="F662" s="259"/>
      <c r="G662" s="259"/>
      <c r="H662" s="259"/>
      <c r="I662" s="259"/>
      <c r="J662" s="259"/>
      <c r="K662" s="259"/>
      <c r="L662" s="259"/>
      <c r="M662" s="259"/>
      <c r="N662" s="259"/>
      <c r="O662" s="235"/>
      <c r="P662" s="235"/>
      <c r="Q662" s="235"/>
    </row>
    <row r="663" spans="2:17">
      <c r="B663" s="241"/>
      <c r="C663" s="241"/>
      <c r="D663" s="241"/>
      <c r="E663" s="241"/>
      <c r="F663" s="259"/>
      <c r="G663" s="259"/>
      <c r="H663" s="259"/>
      <c r="I663" s="259"/>
      <c r="J663" s="259"/>
      <c r="K663" s="259"/>
      <c r="L663" s="259"/>
      <c r="M663" s="259"/>
      <c r="N663" s="259"/>
      <c r="O663" s="235"/>
      <c r="P663" s="235"/>
      <c r="Q663" s="235"/>
    </row>
    <row r="664" spans="2:17">
      <c r="B664" s="241"/>
      <c r="C664" s="241"/>
      <c r="D664" s="241"/>
      <c r="E664" s="241"/>
      <c r="F664" s="259"/>
      <c r="G664" s="259"/>
      <c r="H664" s="259"/>
      <c r="I664" s="259"/>
      <c r="J664" s="259"/>
      <c r="K664" s="259"/>
      <c r="L664" s="259"/>
      <c r="M664" s="259"/>
      <c r="N664" s="259"/>
      <c r="O664" s="235"/>
      <c r="P664" s="235"/>
      <c r="Q664" s="235"/>
    </row>
    <row r="665" spans="2:17">
      <c r="B665" s="241"/>
      <c r="C665" s="241"/>
      <c r="D665" s="241"/>
      <c r="E665" s="241"/>
      <c r="F665" s="259"/>
      <c r="G665" s="259"/>
      <c r="H665" s="259"/>
      <c r="I665" s="259"/>
      <c r="J665" s="259"/>
      <c r="K665" s="259"/>
      <c r="L665" s="259"/>
      <c r="M665" s="259"/>
      <c r="N665" s="259"/>
      <c r="O665" s="235"/>
      <c r="P665" s="235"/>
      <c r="Q665" s="235"/>
    </row>
    <row r="666" spans="2:17">
      <c r="B666" s="241"/>
      <c r="C666" s="241"/>
      <c r="D666" s="241"/>
      <c r="E666" s="241"/>
      <c r="F666" s="259"/>
      <c r="G666" s="259"/>
      <c r="H666" s="259"/>
      <c r="I666" s="259"/>
      <c r="J666" s="259"/>
      <c r="K666" s="259"/>
      <c r="L666" s="259"/>
      <c r="M666" s="259"/>
      <c r="N666" s="259"/>
      <c r="O666" s="235"/>
      <c r="P666" s="235"/>
      <c r="Q666" s="235"/>
    </row>
    <row r="667" spans="2:17">
      <c r="B667" s="241"/>
      <c r="C667" s="241"/>
      <c r="D667" s="241"/>
      <c r="E667" s="241"/>
      <c r="F667" s="259"/>
      <c r="G667" s="259"/>
      <c r="H667" s="259"/>
      <c r="I667" s="259"/>
      <c r="J667" s="259"/>
      <c r="K667" s="259"/>
      <c r="L667" s="259"/>
      <c r="M667" s="259"/>
      <c r="N667" s="259"/>
      <c r="O667" s="235"/>
      <c r="P667" s="235"/>
      <c r="Q667" s="235"/>
    </row>
    <row r="668" spans="2:17">
      <c r="B668" s="241"/>
      <c r="C668" s="241"/>
      <c r="D668" s="241"/>
      <c r="E668" s="241"/>
      <c r="F668" s="259"/>
      <c r="G668" s="259"/>
      <c r="H668" s="259"/>
      <c r="I668" s="259"/>
      <c r="J668" s="259"/>
      <c r="K668" s="259"/>
      <c r="L668" s="259"/>
      <c r="M668" s="259"/>
      <c r="N668" s="259"/>
      <c r="O668" s="235"/>
      <c r="P668" s="235"/>
      <c r="Q668" s="235"/>
    </row>
    <row r="669" spans="2:17">
      <c r="B669" s="241"/>
      <c r="C669" s="241"/>
      <c r="D669" s="241"/>
      <c r="E669" s="241"/>
      <c r="F669" s="259"/>
      <c r="G669" s="259"/>
      <c r="H669" s="259"/>
      <c r="I669" s="259"/>
      <c r="J669" s="259"/>
      <c r="K669" s="259"/>
      <c r="L669" s="259"/>
      <c r="M669" s="259"/>
      <c r="N669" s="259"/>
      <c r="O669" s="235"/>
      <c r="P669" s="235"/>
      <c r="Q669" s="235"/>
    </row>
    <row r="670" spans="2:17">
      <c r="B670" s="241"/>
      <c r="C670" s="241"/>
      <c r="D670" s="241"/>
      <c r="E670" s="241"/>
      <c r="F670" s="259"/>
      <c r="G670" s="259"/>
      <c r="H670" s="259"/>
      <c r="I670" s="259"/>
      <c r="J670" s="259"/>
      <c r="K670" s="259"/>
      <c r="L670" s="259"/>
      <c r="M670" s="259"/>
      <c r="N670" s="259"/>
      <c r="O670" s="235"/>
      <c r="P670" s="235"/>
      <c r="Q670" s="235"/>
    </row>
    <row r="671" spans="2:17">
      <c r="B671" s="241"/>
      <c r="C671" s="241"/>
      <c r="D671" s="241"/>
      <c r="E671" s="241"/>
      <c r="F671" s="259"/>
      <c r="G671" s="259"/>
      <c r="H671" s="259"/>
      <c r="I671" s="259"/>
      <c r="J671" s="259"/>
      <c r="K671" s="259"/>
      <c r="L671" s="259"/>
      <c r="M671" s="259"/>
      <c r="N671" s="259"/>
      <c r="O671" s="235"/>
      <c r="P671" s="235"/>
      <c r="Q671" s="235"/>
    </row>
    <row r="672" spans="2:17">
      <c r="B672" s="241"/>
      <c r="C672" s="241"/>
      <c r="D672" s="241"/>
      <c r="E672" s="241"/>
      <c r="F672" s="259"/>
      <c r="G672" s="259"/>
      <c r="H672" s="259"/>
      <c r="I672" s="259"/>
      <c r="J672" s="259"/>
      <c r="K672" s="259"/>
      <c r="L672" s="259"/>
      <c r="M672" s="259"/>
      <c r="N672" s="259"/>
      <c r="O672" s="235"/>
      <c r="P672" s="235"/>
      <c r="Q672" s="235"/>
    </row>
    <row r="673" spans="2:17">
      <c r="B673" s="241"/>
      <c r="C673" s="241"/>
      <c r="D673" s="241"/>
      <c r="E673" s="241"/>
      <c r="F673" s="259"/>
      <c r="G673" s="259"/>
      <c r="H673" s="259"/>
      <c r="I673" s="259"/>
      <c r="J673" s="259"/>
      <c r="K673" s="259"/>
      <c r="L673" s="259"/>
      <c r="M673" s="259"/>
      <c r="N673" s="259"/>
      <c r="O673" s="235"/>
      <c r="P673" s="235"/>
      <c r="Q673" s="235"/>
    </row>
    <row r="674" spans="2:17">
      <c r="B674" s="241"/>
      <c r="C674" s="241"/>
      <c r="D674" s="241"/>
      <c r="E674" s="241"/>
      <c r="F674" s="259"/>
      <c r="G674" s="259"/>
      <c r="H674" s="259"/>
      <c r="I674" s="259"/>
      <c r="J674" s="259"/>
      <c r="K674" s="259"/>
      <c r="L674" s="259"/>
      <c r="M674" s="259"/>
      <c r="N674" s="259"/>
      <c r="O674" s="235"/>
      <c r="P674" s="235"/>
      <c r="Q674" s="235"/>
    </row>
    <row r="675" spans="2:17">
      <c r="B675" s="241"/>
      <c r="C675" s="241"/>
      <c r="D675" s="241"/>
      <c r="E675" s="241"/>
      <c r="F675" s="259"/>
      <c r="G675" s="259"/>
      <c r="H675" s="259"/>
      <c r="I675" s="259"/>
      <c r="J675" s="259"/>
      <c r="K675" s="259"/>
      <c r="L675" s="259"/>
      <c r="M675" s="259"/>
      <c r="N675" s="259"/>
      <c r="O675" s="235"/>
      <c r="P675" s="235"/>
      <c r="Q675" s="235"/>
    </row>
    <row r="676" spans="2:17">
      <c r="B676" s="241"/>
      <c r="C676" s="241"/>
      <c r="D676" s="241"/>
      <c r="E676" s="241"/>
      <c r="F676" s="259"/>
      <c r="G676" s="259"/>
      <c r="H676" s="259"/>
      <c r="I676" s="259"/>
      <c r="J676" s="259"/>
      <c r="K676" s="259"/>
      <c r="L676" s="259"/>
      <c r="M676" s="259"/>
      <c r="N676" s="259"/>
      <c r="O676" s="235"/>
      <c r="P676" s="235"/>
      <c r="Q676" s="235"/>
    </row>
    <row r="677" spans="2:17">
      <c r="B677" s="241"/>
      <c r="C677" s="241"/>
      <c r="D677" s="241"/>
      <c r="E677" s="241"/>
      <c r="F677" s="259"/>
      <c r="G677" s="259"/>
      <c r="H677" s="259"/>
      <c r="I677" s="259"/>
      <c r="J677" s="259"/>
      <c r="K677" s="259"/>
      <c r="L677" s="259"/>
      <c r="M677" s="259"/>
      <c r="N677" s="259"/>
      <c r="O677" s="235"/>
      <c r="P677" s="235"/>
      <c r="Q677" s="235"/>
    </row>
    <row r="678" spans="2:17">
      <c r="B678" s="241"/>
      <c r="C678" s="241"/>
      <c r="D678" s="241"/>
      <c r="E678" s="241"/>
      <c r="F678" s="259"/>
      <c r="G678" s="259"/>
      <c r="H678" s="259"/>
      <c r="I678" s="259"/>
      <c r="J678" s="259"/>
      <c r="K678" s="259"/>
      <c r="L678" s="259"/>
      <c r="M678" s="259"/>
      <c r="N678" s="259"/>
      <c r="O678" s="235"/>
      <c r="P678" s="235"/>
      <c r="Q678" s="235"/>
    </row>
    <row r="679" spans="2:17">
      <c r="B679" s="241"/>
      <c r="C679" s="241"/>
      <c r="D679" s="241"/>
      <c r="E679" s="241"/>
      <c r="F679" s="259"/>
      <c r="G679" s="259"/>
      <c r="H679" s="259"/>
      <c r="I679" s="259"/>
      <c r="J679" s="259"/>
      <c r="K679" s="259"/>
      <c r="L679" s="259"/>
      <c r="M679" s="259"/>
      <c r="N679" s="259"/>
      <c r="O679" s="235"/>
      <c r="P679" s="235"/>
      <c r="Q679" s="235"/>
    </row>
    <row r="680" spans="2:17">
      <c r="B680" s="241"/>
      <c r="C680" s="241"/>
      <c r="D680" s="241"/>
      <c r="E680" s="241"/>
      <c r="F680" s="259"/>
      <c r="G680" s="259"/>
      <c r="H680" s="259"/>
      <c r="I680" s="259"/>
      <c r="J680" s="259"/>
      <c r="K680" s="259"/>
      <c r="L680" s="259"/>
      <c r="M680" s="259"/>
      <c r="N680" s="259"/>
      <c r="O680" s="235"/>
      <c r="P680" s="235"/>
      <c r="Q680" s="235"/>
    </row>
    <row r="681" spans="2:17">
      <c r="B681" s="241"/>
      <c r="C681" s="241"/>
      <c r="D681" s="241"/>
      <c r="E681" s="241"/>
      <c r="F681" s="259"/>
      <c r="G681" s="259"/>
      <c r="H681" s="259"/>
      <c r="I681" s="259"/>
      <c r="J681" s="259"/>
      <c r="K681" s="259"/>
      <c r="L681" s="259"/>
      <c r="M681" s="259"/>
      <c r="N681" s="259"/>
      <c r="O681" s="235"/>
      <c r="P681" s="235"/>
      <c r="Q681" s="235"/>
    </row>
    <row r="682" spans="2:17">
      <c r="B682" s="241"/>
      <c r="C682" s="241"/>
      <c r="D682" s="241"/>
      <c r="E682" s="241"/>
      <c r="F682" s="259"/>
      <c r="G682" s="259"/>
      <c r="H682" s="259"/>
      <c r="I682" s="259"/>
      <c r="J682" s="259"/>
      <c r="K682" s="259"/>
      <c r="L682" s="259"/>
      <c r="M682" s="259"/>
      <c r="N682" s="259"/>
      <c r="O682" s="235"/>
      <c r="P682" s="235"/>
      <c r="Q682" s="235"/>
    </row>
    <row r="683" spans="2:17">
      <c r="B683" s="241"/>
      <c r="C683" s="241"/>
      <c r="D683" s="241"/>
      <c r="E683" s="241"/>
      <c r="F683" s="259"/>
      <c r="G683" s="259"/>
      <c r="H683" s="259"/>
      <c r="I683" s="259"/>
      <c r="J683" s="259"/>
      <c r="K683" s="259"/>
      <c r="L683" s="259"/>
      <c r="M683" s="259"/>
      <c r="N683" s="259"/>
      <c r="O683" s="235"/>
      <c r="P683" s="235"/>
      <c r="Q683" s="235"/>
    </row>
    <row r="684" spans="2:17">
      <c r="B684" s="241"/>
      <c r="C684" s="241"/>
      <c r="D684" s="241"/>
      <c r="E684" s="241"/>
      <c r="F684" s="259"/>
      <c r="G684" s="259"/>
      <c r="H684" s="259"/>
      <c r="I684" s="259"/>
      <c r="J684" s="259"/>
      <c r="K684" s="259"/>
      <c r="L684" s="259"/>
      <c r="M684" s="259"/>
      <c r="N684" s="259"/>
      <c r="O684" s="235"/>
      <c r="P684" s="235"/>
      <c r="Q684" s="235"/>
    </row>
    <row r="685" spans="2:17">
      <c r="B685" s="241"/>
      <c r="C685" s="241"/>
      <c r="D685" s="241"/>
      <c r="E685" s="241"/>
      <c r="F685" s="259"/>
      <c r="G685" s="259"/>
      <c r="H685" s="259"/>
      <c r="I685" s="259"/>
      <c r="J685" s="259"/>
      <c r="K685" s="259"/>
      <c r="L685" s="259"/>
      <c r="M685" s="259"/>
      <c r="N685" s="259"/>
      <c r="O685" s="235"/>
      <c r="P685" s="235"/>
      <c r="Q685" s="235"/>
    </row>
    <row r="686" spans="2:17">
      <c r="B686" s="241"/>
      <c r="C686" s="241"/>
      <c r="D686" s="241"/>
      <c r="E686" s="241"/>
      <c r="F686" s="259"/>
      <c r="G686" s="259"/>
      <c r="H686" s="259"/>
      <c r="I686" s="259"/>
      <c r="J686" s="259"/>
      <c r="K686" s="259"/>
      <c r="L686" s="259"/>
      <c r="M686" s="259"/>
      <c r="N686" s="259"/>
      <c r="O686" s="235"/>
      <c r="P686" s="235"/>
      <c r="Q686" s="235"/>
    </row>
    <row r="687" spans="2:17">
      <c r="B687" s="241"/>
      <c r="C687" s="241"/>
      <c r="D687" s="241"/>
      <c r="E687" s="241"/>
      <c r="F687" s="259"/>
      <c r="G687" s="259"/>
      <c r="H687" s="259"/>
      <c r="I687" s="259"/>
      <c r="J687" s="259"/>
      <c r="K687" s="259"/>
      <c r="L687" s="259"/>
      <c r="M687" s="259"/>
      <c r="N687" s="259"/>
      <c r="O687" s="235"/>
      <c r="P687" s="235"/>
      <c r="Q687" s="235"/>
    </row>
    <row r="688" spans="2:17">
      <c r="B688" s="241"/>
      <c r="C688" s="241"/>
      <c r="D688" s="241"/>
      <c r="E688" s="241"/>
      <c r="F688" s="259"/>
      <c r="G688" s="259"/>
      <c r="H688" s="259"/>
      <c r="I688" s="259"/>
      <c r="J688" s="259"/>
      <c r="K688" s="259"/>
      <c r="L688" s="259"/>
      <c r="M688" s="259"/>
      <c r="N688" s="259"/>
      <c r="O688" s="235"/>
      <c r="P688" s="235"/>
      <c r="Q688" s="235"/>
    </row>
    <row r="689" spans="2:17">
      <c r="B689" s="241"/>
      <c r="C689" s="241"/>
      <c r="D689" s="241"/>
      <c r="E689" s="241"/>
      <c r="F689" s="259"/>
      <c r="G689" s="259"/>
      <c r="H689" s="259"/>
      <c r="I689" s="259"/>
      <c r="J689" s="259"/>
      <c r="K689" s="259"/>
      <c r="L689" s="259"/>
      <c r="M689" s="259"/>
      <c r="N689" s="259"/>
      <c r="O689" s="235"/>
      <c r="P689" s="235"/>
      <c r="Q689" s="235"/>
    </row>
    <row r="690" spans="2:17">
      <c r="B690" s="241"/>
      <c r="C690" s="241"/>
      <c r="D690" s="241"/>
      <c r="E690" s="241"/>
      <c r="F690" s="259"/>
      <c r="G690" s="259"/>
      <c r="H690" s="259"/>
      <c r="I690" s="259"/>
      <c r="J690" s="259"/>
      <c r="K690" s="259"/>
      <c r="L690" s="259"/>
      <c r="M690" s="259"/>
      <c r="N690" s="259"/>
      <c r="O690" s="235"/>
      <c r="P690" s="235"/>
      <c r="Q690" s="235"/>
    </row>
    <row r="691" spans="2:17">
      <c r="B691" s="241"/>
      <c r="C691" s="241"/>
      <c r="D691" s="241"/>
      <c r="E691" s="241"/>
      <c r="F691" s="259"/>
      <c r="G691" s="259"/>
      <c r="H691" s="259"/>
      <c r="I691" s="259"/>
      <c r="J691" s="259"/>
      <c r="K691" s="259"/>
      <c r="L691" s="259"/>
      <c r="M691" s="259"/>
      <c r="N691" s="259"/>
      <c r="O691" s="235"/>
      <c r="P691" s="235"/>
      <c r="Q691" s="235"/>
    </row>
    <row r="692" spans="2:17">
      <c r="B692" s="241"/>
      <c r="C692" s="241"/>
      <c r="D692" s="241"/>
      <c r="E692" s="241"/>
      <c r="F692" s="259"/>
      <c r="G692" s="259"/>
      <c r="H692" s="259"/>
      <c r="I692" s="259"/>
      <c r="J692" s="259"/>
      <c r="K692" s="259"/>
      <c r="L692" s="259"/>
      <c r="M692" s="259"/>
      <c r="N692" s="259"/>
      <c r="O692" s="235"/>
      <c r="P692" s="235"/>
      <c r="Q692" s="235"/>
    </row>
    <row r="693" spans="2:17">
      <c r="B693" s="241"/>
      <c r="C693" s="241"/>
      <c r="D693" s="241"/>
      <c r="E693" s="241"/>
      <c r="F693" s="259"/>
      <c r="G693" s="259"/>
      <c r="H693" s="259"/>
      <c r="I693" s="259"/>
      <c r="J693" s="259"/>
      <c r="K693" s="259"/>
      <c r="L693" s="259"/>
      <c r="M693" s="259"/>
      <c r="N693" s="259"/>
      <c r="O693" s="235"/>
      <c r="P693" s="235"/>
      <c r="Q693" s="235"/>
    </row>
    <row r="694" spans="2:17">
      <c r="B694" s="241"/>
      <c r="C694" s="241"/>
      <c r="D694" s="241"/>
      <c r="E694" s="241"/>
      <c r="F694" s="259"/>
      <c r="G694" s="259"/>
      <c r="H694" s="259"/>
      <c r="I694" s="259"/>
      <c r="J694" s="259"/>
      <c r="K694" s="259"/>
      <c r="L694" s="259"/>
      <c r="M694" s="259"/>
      <c r="N694" s="259"/>
      <c r="O694" s="235"/>
      <c r="P694" s="235"/>
      <c r="Q694" s="235"/>
    </row>
    <row r="695" spans="2:17">
      <c r="B695" s="241"/>
      <c r="C695" s="241"/>
      <c r="D695" s="241"/>
      <c r="E695" s="241"/>
      <c r="F695" s="259"/>
      <c r="G695" s="259"/>
      <c r="H695" s="259"/>
      <c r="I695" s="259"/>
      <c r="J695" s="259"/>
      <c r="K695" s="259"/>
      <c r="L695" s="259"/>
      <c r="M695" s="259"/>
      <c r="N695" s="259"/>
      <c r="O695" s="235"/>
      <c r="P695" s="235"/>
      <c r="Q695" s="235"/>
    </row>
    <row r="696" spans="2:17">
      <c r="B696" s="241"/>
      <c r="C696" s="241"/>
      <c r="D696" s="241"/>
      <c r="E696" s="241"/>
      <c r="F696" s="259"/>
      <c r="G696" s="259"/>
      <c r="H696" s="259"/>
      <c r="I696" s="259"/>
      <c r="J696" s="259"/>
      <c r="K696" s="259"/>
      <c r="L696" s="259"/>
      <c r="M696" s="259"/>
      <c r="N696" s="259"/>
      <c r="O696" s="235"/>
      <c r="P696" s="235"/>
      <c r="Q696" s="235"/>
    </row>
    <row r="697" spans="2:17">
      <c r="B697" s="241"/>
      <c r="C697" s="241"/>
      <c r="D697" s="241"/>
      <c r="E697" s="241"/>
      <c r="F697" s="259"/>
      <c r="G697" s="259"/>
      <c r="H697" s="259"/>
      <c r="I697" s="259"/>
      <c r="J697" s="259"/>
      <c r="K697" s="259"/>
      <c r="L697" s="259"/>
      <c r="M697" s="259"/>
      <c r="N697" s="259"/>
      <c r="O697" s="235"/>
      <c r="P697" s="235"/>
      <c r="Q697" s="235"/>
    </row>
    <row r="698" spans="2:17">
      <c r="B698" s="241"/>
      <c r="C698" s="241"/>
      <c r="D698" s="241"/>
      <c r="E698" s="241"/>
      <c r="F698" s="259"/>
      <c r="G698" s="259"/>
      <c r="H698" s="259"/>
      <c r="I698" s="259"/>
      <c r="J698" s="259"/>
      <c r="K698" s="259"/>
      <c r="L698" s="259"/>
      <c r="M698" s="259"/>
      <c r="N698" s="259"/>
      <c r="O698" s="235"/>
      <c r="P698" s="235"/>
      <c r="Q698" s="235"/>
    </row>
    <row r="699" spans="2:17">
      <c r="B699" s="241"/>
      <c r="C699" s="241"/>
      <c r="D699" s="241"/>
      <c r="E699" s="241"/>
      <c r="F699" s="259"/>
      <c r="G699" s="259"/>
      <c r="H699" s="259"/>
      <c r="I699" s="259"/>
      <c r="J699" s="259"/>
      <c r="K699" s="259"/>
      <c r="L699" s="259"/>
      <c r="M699" s="259"/>
      <c r="N699" s="259"/>
      <c r="O699" s="235"/>
      <c r="P699" s="235"/>
      <c r="Q699" s="235"/>
    </row>
    <row r="700" spans="2:17">
      <c r="B700" s="241"/>
      <c r="C700" s="241"/>
      <c r="D700" s="241"/>
      <c r="E700" s="241"/>
      <c r="F700" s="259"/>
      <c r="G700" s="259"/>
      <c r="H700" s="259"/>
      <c r="I700" s="259"/>
      <c r="J700" s="259"/>
      <c r="K700" s="259"/>
      <c r="L700" s="259"/>
      <c r="M700" s="259"/>
      <c r="N700" s="259"/>
      <c r="O700" s="235"/>
      <c r="P700" s="235"/>
      <c r="Q700" s="235"/>
    </row>
    <row r="701" spans="2:17">
      <c r="B701" s="241"/>
      <c r="C701" s="241"/>
      <c r="D701" s="241"/>
      <c r="E701" s="241"/>
      <c r="F701" s="259"/>
      <c r="G701" s="259"/>
      <c r="H701" s="259"/>
      <c r="I701" s="259"/>
      <c r="J701" s="259"/>
      <c r="K701" s="259"/>
      <c r="L701" s="259"/>
      <c r="M701" s="259"/>
      <c r="N701" s="259"/>
      <c r="O701" s="235"/>
      <c r="P701" s="235"/>
      <c r="Q701" s="235"/>
    </row>
    <row r="702" spans="2:17">
      <c r="B702" s="241"/>
      <c r="C702" s="241"/>
      <c r="D702" s="241"/>
      <c r="E702" s="241"/>
      <c r="F702" s="259"/>
      <c r="G702" s="259"/>
      <c r="H702" s="259"/>
      <c r="I702" s="259"/>
      <c r="J702" s="259"/>
      <c r="K702" s="259"/>
      <c r="L702" s="259"/>
      <c r="M702" s="259"/>
      <c r="N702" s="259"/>
      <c r="O702" s="235"/>
      <c r="P702" s="235"/>
      <c r="Q702" s="235"/>
    </row>
    <row r="703" spans="2:17">
      <c r="B703" s="241"/>
      <c r="C703" s="241"/>
      <c r="D703" s="241"/>
      <c r="E703" s="241"/>
      <c r="F703" s="259"/>
      <c r="G703" s="259"/>
      <c r="H703" s="259"/>
      <c r="I703" s="259"/>
      <c r="J703" s="259"/>
      <c r="K703" s="259"/>
      <c r="L703" s="259"/>
      <c r="M703" s="259"/>
      <c r="N703" s="259"/>
      <c r="O703" s="235"/>
      <c r="P703" s="235"/>
      <c r="Q703" s="235"/>
    </row>
    <row r="704" spans="2:17">
      <c r="B704" s="241"/>
      <c r="C704" s="241"/>
      <c r="D704" s="241"/>
      <c r="E704" s="241"/>
      <c r="F704" s="259"/>
      <c r="G704" s="259"/>
      <c r="H704" s="259"/>
      <c r="I704" s="259"/>
      <c r="J704" s="259"/>
      <c r="K704" s="259"/>
      <c r="L704" s="259"/>
      <c r="M704" s="259"/>
      <c r="N704" s="259"/>
      <c r="O704" s="235"/>
      <c r="P704" s="235"/>
      <c r="Q704" s="235"/>
    </row>
    <row r="705" spans="2:17">
      <c r="B705" s="241"/>
      <c r="C705" s="241"/>
      <c r="D705" s="241"/>
      <c r="E705" s="241"/>
      <c r="F705" s="259"/>
      <c r="G705" s="259"/>
      <c r="H705" s="259"/>
      <c r="I705" s="259"/>
      <c r="J705" s="259"/>
      <c r="K705" s="259"/>
      <c r="L705" s="259"/>
      <c r="M705" s="259"/>
      <c r="N705" s="259"/>
      <c r="O705" s="235"/>
      <c r="P705" s="235"/>
      <c r="Q705" s="235"/>
    </row>
    <row r="706" spans="2:17">
      <c r="B706" s="241"/>
      <c r="C706" s="241"/>
      <c r="D706" s="241"/>
      <c r="E706" s="241"/>
      <c r="F706" s="259"/>
      <c r="G706" s="259"/>
      <c r="H706" s="259"/>
      <c r="I706" s="259"/>
      <c r="J706" s="259"/>
      <c r="K706" s="259"/>
      <c r="L706" s="259"/>
      <c r="M706" s="259"/>
      <c r="N706" s="259"/>
      <c r="O706" s="235"/>
      <c r="P706" s="235"/>
      <c r="Q706" s="235"/>
    </row>
    <row r="707" spans="2:17">
      <c r="B707" s="241"/>
      <c r="C707" s="241"/>
      <c r="D707" s="241"/>
      <c r="E707" s="241"/>
      <c r="F707" s="259"/>
      <c r="G707" s="259"/>
      <c r="H707" s="259"/>
      <c r="I707" s="259"/>
      <c r="J707" s="259"/>
      <c r="K707" s="259"/>
      <c r="L707" s="259"/>
      <c r="M707" s="259"/>
      <c r="N707" s="259"/>
      <c r="O707" s="235"/>
      <c r="P707" s="235"/>
      <c r="Q707" s="235"/>
    </row>
    <row r="708" spans="2:17">
      <c r="B708" s="241"/>
      <c r="C708" s="241"/>
      <c r="D708" s="241"/>
      <c r="E708" s="241"/>
      <c r="F708" s="259"/>
      <c r="G708" s="259"/>
      <c r="H708" s="259"/>
      <c r="I708" s="259"/>
      <c r="J708" s="259"/>
      <c r="K708" s="259"/>
      <c r="L708" s="259"/>
      <c r="M708" s="259"/>
      <c r="N708" s="259"/>
      <c r="O708" s="235"/>
      <c r="P708" s="235"/>
      <c r="Q708" s="235"/>
    </row>
    <row r="709" spans="2:17">
      <c r="B709" s="241"/>
      <c r="C709" s="241"/>
      <c r="D709" s="241"/>
      <c r="E709" s="241"/>
      <c r="F709" s="259"/>
      <c r="G709" s="259"/>
      <c r="H709" s="259"/>
      <c r="I709" s="259"/>
      <c r="J709" s="259"/>
      <c r="K709" s="259"/>
      <c r="L709" s="259"/>
      <c r="M709" s="259"/>
      <c r="N709" s="259"/>
      <c r="O709" s="235"/>
      <c r="P709" s="235"/>
      <c r="Q709" s="235"/>
    </row>
    <row r="710" spans="2:17">
      <c r="B710" s="241"/>
      <c r="C710" s="241"/>
      <c r="D710" s="241"/>
      <c r="E710" s="241"/>
      <c r="F710" s="259"/>
      <c r="G710" s="259"/>
      <c r="H710" s="259"/>
      <c r="I710" s="259"/>
      <c r="J710" s="259"/>
      <c r="K710" s="259"/>
      <c r="L710" s="259"/>
      <c r="M710" s="259"/>
      <c r="N710" s="259"/>
      <c r="O710" s="235"/>
      <c r="P710" s="235"/>
      <c r="Q710" s="235"/>
    </row>
    <row r="711" spans="2:17">
      <c r="B711" s="241"/>
      <c r="C711" s="241"/>
      <c r="D711" s="241"/>
      <c r="E711" s="241"/>
      <c r="F711" s="259"/>
      <c r="G711" s="259"/>
      <c r="H711" s="259"/>
      <c r="I711" s="259"/>
      <c r="J711" s="259"/>
      <c r="K711" s="259"/>
      <c r="L711" s="259"/>
      <c r="M711" s="259"/>
      <c r="N711" s="259"/>
      <c r="O711" s="235"/>
      <c r="P711" s="235"/>
      <c r="Q711" s="235"/>
    </row>
    <row r="712" spans="2:17">
      <c r="B712" s="241"/>
      <c r="C712" s="241"/>
      <c r="D712" s="241"/>
      <c r="E712" s="241"/>
      <c r="F712" s="259"/>
      <c r="G712" s="259"/>
      <c r="H712" s="259"/>
      <c r="I712" s="259"/>
      <c r="J712" s="259"/>
      <c r="K712" s="259"/>
      <c r="L712" s="259"/>
      <c r="M712" s="259"/>
      <c r="N712" s="259"/>
      <c r="O712" s="235"/>
      <c r="P712" s="235"/>
      <c r="Q712" s="235"/>
    </row>
    <row r="713" spans="2:17">
      <c r="B713" s="241"/>
      <c r="C713" s="241"/>
      <c r="D713" s="241"/>
      <c r="E713" s="241"/>
      <c r="F713" s="259"/>
      <c r="G713" s="259"/>
      <c r="H713" s="259"/>
      <c r="I713" s="259"/>
      <c r="J713" s="259"/>
      <c r="K713" s="259"/>
      <c r="L713" s="259"/>
      <c r="M713" s="259"/>
      <c r="N713" s="259"/>
      <c r="O713" s="235"/>
      <c r="P713" s="235"/>
      <c r="Q713" s="235"/>
    </row>
    <row r="714" spans="2:17">
      <c r="B714" s="241"/>
      <c r="C714" s="241"/>
      <c r="D714" s="241"/>
      <c r="E714" s="241"/>
      <c r="F714" s="259"/>
      <c r="G714" s="259"/>
      <c r="H714" s="259"/>
      <c r="I714" s="259"/>
      <c r="J714" s="259"/>
      <c r="K714" s="259"/>
      <c r="L714" s="259"/>
      <c r="M714" s="259"/>
      <c r="N714" s="259"/>
      <c r="O714" s="235"/>
      <c r="P714" s="235"/>
      <c r="Q714" s="235"/>
    </row>
    <row r="715" spans="2:17">
      <c r="B715" s="241"/>
      <c r="C715" s="241"/>
      <c r="D715" s="241"/>
      <c r="E715" s="241"/>
      <c r="F715" s="259"/>
      <c r="G715" s="259"/>
      <c r="H715" s="259"/>
      <c r="I715" s="259"/>
      <c r="J715" s="259"/>
      <c r="K715" s="259"/>
      <c r="L715" s="259"/>
      <c r="M715" s="259"/>
      <c r="N715" s="259"/>
      <c r="O715" s="235"/>
      <c r="P715" s="235"/>
      <c r="Q715" s="235"/>
    </row>
    <row r="716" spans="2:17">
      <c r="B716" s="241"/>
      <c r="C716" s="241"/>
      <c r="D716" s="241"/>
      <c r="E716" s="241"/>
      <c r="F716" s="259"/>
      <c r="G716" s="259"/>
      <c r="H716" s="259"/>
      <c r="I716" s="259"/>
      <c r="J716" s="259"/>
      <c r="K716" s="259"/>
      <c r="L716" s="259"/>
      <c r="M716" s="259"/>
      <c r="N716" s="259"/>
      <c r="O716" s="235"/>
      <c r="P716" s="235"/>
      <c r="Q716" s="235"/>
    </row>
    <row r="717" spans="2:17">
      <c r="B717" s="241"/>
      <c r="C717" s="241"/>
      <c r="D717" s="241"/>
      <c r="E717" s="241"/>
      <c r="F717" s="259"/>
      <c r="G717" s="259"/>
      <c r="H717" s="259"/>
      <c r="I717" s="259"/>
      <c r="J717" s="259"/>
      <c r="K717" s="259"/>
      <c r="L717" s="259"/>
      <c r="M717" s="259"/>
      <c r="N717" s="259"/>
      <c r="O717" s="235"/>
      <c r="P717" s="235"/>
      <c r="Q717" s="235"/>
    </row>
    <row r="718" spans="2:17">
      <c r="B718" s="241"/>
      <c r="C718" s="241"/>
      <c r="D718" s="241"/>
      <c r="E718" s="241"/>
      <c r="F718" s="259"/>
      <c r="G718" s="259"/>
      <c r="H718" s="259"/>
      <c r="I718" s="259"/>
      <c r="J718" s="259"/>
      <c r="K718" s="259"/>
      <c r="L718" s="259"/>
      <c r="M718" s="259"/>
      <c r="N718" s="259"/>
      <c r="O718" s="235"/>
      <c r="P718" s="235"/>
      <c r="Q718" s="235"/>
    </row>
    <row r="719" spans="2:17">
      <c r="B719" s="241"/>
      <c r="C719" s="241"/>
      <c r="D719" s="241"/>
      <c r="E719" s="241"/>
      <c r="F719" s="259"/>
      <c r="G719" s="259"/>
      <c r="H719" s="259"/>
      <c r="I719" s="259"/>
      <c r="J719" s="259"/>
      <c r="K719" s="259"/>
      <c r="L719" s="259"/>
      <c r="M719" s="259"/>
      <c r="N719" s="259"/>
      <c r="O719" s="235"/>
      <c r="P719" s="235"/>
      <c r="Q719" s="235"/>
    </row>
    <row r="720" spans="2:17">
      <c r="B720" s="241"/>
      <c r="C720" s="241"/>
      <c r="D720" s="241"/>
      <c r="E720" s="241"/>
      <c r="F720" s="259"/>
      <c r="G720" s="259"/>
      <c r="H720" s="259"/>
      <c r="I720" s="259"/>
      <c r="J720" s="259"/>
      <c r="K720" s="259"/>
      <c r="L720" s="259"/>
      <c r="M720" s="259"/>
      <c r="N720" s="259"/>
      <c r="O720" s="235"/>
      <c r="P720" s="235"/>
      <c r="Q720" s="235"/>
    </row>
    <row r="721" spans="2:17">
      <c r="B721" s="241"/>
      <c r="C721" s="241"/>
      <c r="D721" s="241"/>
      <c r="E721" s="241"/>
      <c r="F721" s="259"/>
      <c r="G721" s="259"/>
      <c r="H721" s="259"/>
      <c r="I721" s="259"/>
      <c r="J721" s="259"/>
      <c r="K721" s="259"/>
      <c r="L721" s="259"/>
      <c r="M721" s="259"/>
      <c r="N721" s="259"/>
      <c r="O721" s="235"/>
      <c r="P721" s="235"/>
      <c r="Q721" s="235"/>
    </row>
    <row r="722" spans="2:17">
      <c r="B722" s="241"/>
      <c r="C722" s="241"/>
      <c r="D722" s="241"/>
      <c r="E722" s="241"/>
      <c r="F722" s="259"/>
      <c r="G722" s="259"/>
      <c r="H722" s="259"/>
      <c r="I722" s="259"/>
      <c r="J722" s="259"/>
      <c r="K722" s="259"/>
      <c r="L722" s="259"/>
      <c r="M722" s="259"/>
      <c r="N722" s="259"/>
      <c r="O722" s="235"/>
      <c r="P722" s="235"/>
      <c r="Q722" s="235"/>
    </row>
    <row r="723" spans="2:17">
      <c r="B723" s="241"/>
      <c r="C723" s="241"/>
      <c r="D723" s="241"/>
      <c r="E723" s="241"/>
      <c r="F723" s="259"/>
      <c r="G723" s="259"/>
      <c r="H723" s="259"/>
      <c r="I723" s="259"/>
      <c r="J723" s="259"/>
      <c r="K723" s="259"/>
      <c r="L723" s="259"/>
      <c r="M723" s="259"/>
      <c r="N723" s="259"/>
      <c r="O723" s="235"/>
      <c r="P723" s="235"/>
      <c r="Q723" s="235"/>
    </row>
    <row r="724" spans="2:17">
      <c r="B724" s="241"/>
      <c r="C724" s="241"/>
      <c r="D724" s="241"/>
      <c r="E724" s="241"/>
      <c r="F724" s="259"/>
      <c r="G724" s="259"/>
      <c r="H724" s="259"/>
      <c r="I724" s="259"/>
      <c r="J724" s="259"/>
      <c r="K724" s="259"/>
      <c r="L724" s="259"/>
      <c r="M724" s="259"/>
      <c r="N724" s="259"/>
      <c r="O724" s="235"/>
      <c r="P724" s="235"/>
      <c r="Q724" s="235"/>
    </row>
    <row r="725" spans="2:17">
      <c r="B725" s="241"/>
      <c r="C725" s="241"/>
      <c r="D725" s="241"/>
      <c r="E725" s="241"/>
      <c r="F725" s="259"/>
      <c r="G725" s="259"/>
      <c r="H725" s="259"/>
      <c r="I725" s="259"/>
      <c r="J725" s="259"/>
      <c r="K725" s="259"/>
      <c r="L725" s="259"/>
      <c r="M725" s="259"/>
      <c r="N725" s="259"/>
      <c r="O725" s="235"/>
      <c r="P725" s="235"/>
      <c r="Q725" s="235"/>
    </row>
    <row r="726" spans="2:17">
      <c r="B726" s="241"/>
      <c r="C726" s="241"/>
      <c r="D726" s="241"/>
      <c r="E726" s="241"/>
      <c r="F726" s="259"/>
      <c r="G726" s="259"/>
      <c r="H726" s="259"/>
      <c r="I726" s="259"/>
      <c r="J726" s="259"/>
      <c r="K726" s="259"/>
      <c r="L726" s="259"/>
      <c r="M726" s="259"/>
      <c r="N726" s="259"/>
      <c r="O726" s="235"/>
      <c r="P726" s="235"/>
      <c r="Q726" s="235"/>
    </row>
    <row r="727" spans="2:17">
      <c r="B727" s="241"/>
      <c r="C727" s="241"/>
      <c r="D727" s="241"/>
      <c r="E727" s="241"/>
      <c r="F727" s="259"/>
      <c r="G727" s="259"/>
      <c r="H727" s="259"/>
      <c r="I727" s="259"/>
      <c r="J727" s="259"/>
      <c r="K727" s="259"/>
      <c r="L727" s="259"/>
      <c r="M727" s="259"/>
      <c r="N727" s="259"/>
      <c r="O727" s="235"/>
      <c r="P727" s="235"/>
      <c r="Q727" s="235"/>
    </row>
    <row r="728" spans="2:17">
      <c r="B728" s="241"/>
      <c r="C728" s="241"/>
      <c r="D728" s="241"/>
      <c r="E728" s="241"/>
      <c r="F728" s="259"/>
      <c r="G728" s="259"/>
      <c r="H728" s="259"/>
      <c r="I728" s="259"/>
      <c r="J728" s="259"/>
      <c r="K728" s="259"/>
      <c r="L728" s="259"/>
      <c r="M728" s="259"/>
      <c r="N728" s="259"/>
      <c r="O728" s="235"/>
      <c r="P728" s="235"/>
      <c r="Q728" s="235"/>
    </row>
    <row r="729" spans="2:17">
      <c r="B729" s="241"/>
      <c r="C729" s="241"/>
      <c r="D729" s="241"/>
      <c r="E729" s="241"/>
      <c r="F729" s="259"/>
      <c r="G729" s="259"/>
      <c r="H729" s="259"/>
      <c r="I729" s="259"/>
      <c r="J729" s="259"/>
      <c r="K729" s="259"/>
      <c r="L729" s="259"/>
      <c r="M729" s="259"/>
      <c r="N729" s="259"/>
      <c r="O729" s="235"/>
      <c r="P729" s="235"/>
      <c r="Q729" s="235"/>
    </row>
    <row r="730" spans="2:17">
      <c r="B730" s="241"/>
      <c r="C730" s="241"/>
      <c r="D730" s="241"/>
      <c r="E730" s="241"/>
      <c r="F730" s="259"/>
      <c r="G730" s="259"/>
      <c r="H730" s="259"/>
      <c r="I730" s="259"/>
      <c r="J730" s="259"/>
      <c r="K730" s="259"/>
      <c r="L730" s="259"/>
      <c r="M730" s="259"/>
      <c r="N730" s="259"/>
      <c r="O730" s="235"/>
      <c r="P730" s="235"/>
      <c r="Q730" s="235"/>
    </row>
    <row r="731" spans="2:17">
      <c r="B731" s="241"/>
      <c r="C731" s="241"/>
      <c r="D731" s="241"/>
      <c r="E731" s="241"/>
      <c r="F731" s="259"/>
      <c r="G731" s="259"/>
      <c r="H731" s="259"/>
      <c r="I731" s="259"/>
      <c r="J731" s="259"/>
      <c r="K731" s="259"/>
      <c r="L731" s="259"/>
      <c r="M731" s="259"/>
      <c r="N731" s="259"/>
      <c r="O731" s="235"/>
      <c r="P731" s="235"/>
      <c r="Q731" s="235"/>
    </row>
    <row r="732" spans="2:17">
      <c r="B732" s="241"/>
      <c r="C732" s="241"/>
      <c r="D732" s="241"/>
      <c r="E732" s="241"/>
      <c r="F732" s="259"/>
      <c r="G732" s="259"/>
      <c r="H732" s="259"/>
      <c r="I732" s="259"/>
      <c r="J732" s="259"/>
      <c r="K732" s="259"/>
      <c r="L732" s="259"/>
      <c r="M732" s="259"/>
      <c r="N732" s="259"/>
      <c r="O732" s="235"/>
      <c r="P732" s="235"/>
      <c r="Q732" s="235"/>
    </row>
    <row r="733" spans="2:17">
      <c r="B733" s="241"/>
      <c r="C733" s="241"/>
      <c r="D733" s="241"/>
      <c r="E733" s="241"/>
      <c r="F733" s="259"/>
      <c r="G733" s="259"/>
      <c r="H733" s="259"/>
      <c r="I733" s="259"/>
      <c r="J733" s="259"/>
      <c r="K733" s="259"/>
      <c r="L733" s="259"/>
      <c r="M733" s="259"/>
      <c r="N733" s="259"/>
      <c r="O733" s="235"/>
      <c r="P733" s="235"/>
      <c r="Q733" s="235"/>
    </row>
    <row r="734" spans="2:17">
      <c r="B734" s="241"/>
      <c r="C734" s="241"/>
      <c r="D734" s="241"/>
      <c r="E734" s="241"/>
      <c r="F734" s="259"/>
      <c r="G734" s="259"/>
      <c r="H734" s="259"/>
      <c r="I734" s="259"/>
      <c r="J734" s="259"/>
      <c r="K734" s="259"/>
      <c r="L734" s="259"/>
      <c r="M734" s="259"/>
      <c r="N734" s="259"/>
      <c r="O734" s="235"/>
      <c r="P734" s="235"/>
      <c r="Q734" s="235"/>
    </row>
    <row r="735" spans="2:17">
      <c r="B735" s="241"/>
      <c r="C735" s="241"/>
      <c r="D735" s="241"/>
      <c r="E735" s="241"/>
      <c r="F735" s="259"/>
      <c r="G735" s="259"/>
      <c r="H735" s="259"/>
      <c r="I735" s="259"/>
      <c r="J735" s="259"/>
      <c r="K735" s="259"/>
      <c r="L735" s="259"/>
      <c r="M735" s="259"/>
      <c r="N735" s="259"/>
      <c r="O735" s="235"/>
      <c r="P735" s="235"/>
      <c r="Q735" s="235"/>
    </row>
    <row r="736" spans="2:17">
      <c r="B736" s="241"/>
      <c r="C736" s="241"/>
      <c r="D736" s="241"/>
      <c r="E736" s="241"/>
      <c r="F736" s="259"/>
      <c r="G736" s="259"/>
      <c r="H736" s="259"/>
      <c r="I736" s="259"/>
      <c r="J736" s="259"/>
      <c r="K736" s="259"/>
      <c r="L736" s="259"/>
      <c r="M736" s="259"/>
      <c r="N736" s="259"/>
      <c r="O736" s="235"/>
      <c r="P736" s="235"/>
      <c r="Q736" s="235"/>
    </row>
    <row r="737" spans="2:17">
      <c r="B737" s="241"/>
      <c r="C737" s="241"/>
      <c r="D737" s="241"/>
      <c r="E737" s="241"/>
      <c r="F737" s="259"/>
      <c r="G737" s="259"/>
      <c r="H737" s="259"/>
      <c r="I737" s="259"/>
      <c r="J737" s="259"/>
      <c r="K737" s="259"/>
      <c r="L737" s="259"/>
      <c r="M737" s="259"/>
      <c r="N737" s="259"/>
      <c r="O737" s="235"/>
      <c r="P737" s="235"/>
      <c r="Q737" s="235"/>
    </row>
    <row r="738" spans="2:17">
      <c r="B738" s="241"/>
      <c r="C738" s="241"/>
      <c r="D738" s="241"/>
      <c r="E738" s="241"/>
      <c r="F738" s="259"/>
      <c r="G738" s="259"/>
      <c r="H738" s="259"/>
      <c r="I738" s="259"/>
      <c r="J738" s="259"/>
      <c r="K738" s="259"/>
      <c r="L738" s="259"/>
      <c r="M738" s="259"/>
      <c r="N738" s="259"/>
      <c r="O738" s="235"/>
      <c r="P738" s="235"/>
      <c r="Q738" s="235"/>
    </row>
    <row r="739" spans="2:17">
      <c r="B739" s="241"/>
      <c r="C739" s="241"/>
      <c r="D739" s="241"/>
      <c r="E739" s="241"/>
      <c r="F739" s="259"/>
      <c r="G739" s="259"/>
      <c r="H739" s="259"/>
      <c r="I739" s="259"/>
      <c r="J739" s="259"/>
      <c r="K739" s="259"/>
      <c r="L739" s="259"/>
      <c r="M739" s="259"/>
      <c r="N739" s="259"/>
      <c r="O739" s="235"/>
      <c r="P739" s="235"/>
      <c r="Q739" s="235"/>
    </row>
    <row r="740" spans="2:17">
      <c r="B740" s="241"/>
      <c r="C740" s="241"/>
      <c r="D740" s="241"/>
      <c r="E740" s="241"/>
      <c r="F740" s="259"/>
      <c r="G740" s="259"/>
      <c r="H740" s="259"/>
      <c r="I740" s="259"/>
      <c r="J740" s="259"/>
      <c r="K740" s="259"/>
      <c r="L740" s="259"/>
      <c r="M740" s="259"/>
      <c r="N740" s="259"/>
      <c r="O740" s="235"/>
      <c r="P740" s="235"/>
      <c r="Q740" s="235"/>
    </row>
    <row r="741" spans="2:17">
      <c r="B741" s="241"/>
      <c r="C741" s="241"/>
      <c r="D741" s="241"/>
      <c r="E741" s="241"/>
      <c r="F741" s="259"/>
      <c r="G741" s="259"/>
      <c r="H741" s="259"/>
      <c r="I741" s="259"/>
      <c r="J741" s="259"/>
      <c r="K741" s="259"/>
      <c r="L741" s="259"/>
      <c r="M741" s="259"/>
      <c r="N741" s="259"/>
      <c r="O741" s="235"/>
      <c r="P741" s="235"/>
      <c r="Q741" s="235"/>
    </row>
    <row r="742" spans="2:17">
      <c r="B742" s="241"/>
      <c r="C742" s="241"/>
      <c r="D742" s="241"/>
      <c r="E742" s="241"/>
      <c r="F742" s="259"/>
      <c r="G742" s="259"/>
      <c r="H742" s="259"/>
      <c r="I742" s="259"/>
      <c r="J742" s="259"/>
      <c r="K742" s="259"/>
      <c r="L742" s="259"/>
      <c r="M742" s="259"/>
      <c r="N742" s="259"/>
      <c r="O742" s="235"/>
      <c r="P742" s="235"/>
      <c r="Q742" s="235"/>
    </row>
    <row r="743" spans="2:17">
      <c r="B743" s="241"/>
      <c r="C743" s="241"/>
      <c r="D743" s="241"/>
      <c r="E743" s="241"/>
      <c r="F743" s="259"/>
      <c r="G743" s="259"/>
      <c r="H743" s="259"/>
      <c r="I743" s="259"/>
      <c r="J743" s="259"/>
      <c r="K743" s="259"/>
      <c r="L743" s="259"/>
      <c r="M743" s="259"/>
      <c r="N743" s="259"/>
      <c r="O743" s="235"/>
      <c r="P743" s="235"/>
      <c r="Q743" s="235"/>
    </row>
    <row r="744" spans="2:17">
      <c r="B744" s="241"/>
      <c r="C744" s="241"/>
      <c r="D744" s="241"/>
      <c r="E744" s="241"/>
      <c r="F744" s="259"/>
      <c r="G744" s="259"/>
      <c r="H744" s="259"/>
      <c r="I744" s="259"/>
      <c r="J744" s="259"/>
      <c r="K744" s="259"/>
      <c r="L744" s="259"/>
      <c r="M744" s="259"/>
      <c r="N744" s="259"/>
      <c r="O744" s="235"/>
      <c r="P744" s="235"/>
      <c r="Q744" s="235"/>
    </row>
    <row r="745" spans="2:17">
      <c r="B745" s="241"/>
      <c r="C745" s="241"/>
      <c r="D745" s="241"/>
      <c r="E745" s="241"/>
      <c r="F745" s="259"/>
      <c r="G745" s="259"/>
      <c r="H745" s="259"/>
      <c r="I745" s="259"/>
      <c r="J745" s="259"/>
      <c r="K745" s="259"/>
      <c r="L745" s="259"/>
      <c r="M745" s="259"/>
      <c r="N745" s="259"/>
      <c r="O745" s="235"/>
      <c r="P745" s="235"/>
      <c r="Q745" s="235"/>
    </row>
    <row r="746" spans="2:17">
      <c r="B746" s="241"/>
      <c r="C746" s="241"/>
      <c r="D746" s="241"/>
      <c r="E746" s="241"/>
      <c r="F746" s="259"/>
      <c r="G746" s="259"/>
      <c r="H746" s="259"/>
      <c r="I746" s="259"/>
      <c r="J746" s="259"/>
      <c r="K746" s="259"/>
      <c r="L746" s="259"/>
      <c r="M746" s="259"/>
      <c r="N746" s="259"/>
      <c r="O746" s="235"/>
      <c r="P746" s="235"/>
      <c r="Q746" s="235"/>
    </row>
    <row r="747" spans="2:17">
      <c r="B747" s="241"/>
      <c r="C747" s="241"/>
      <c r="D747" s="241"/>
      <c r="E747" s="241"/>
      <c r="F747" s="259"/>
      <c r="G747" s="259"/>
      <c r="H747" s="259"/>
      <c r="I747" s="259"/>
      <c r="J747" s="259"/>
      <c r="K747" s="259"/>
      <c r="L747" s="259"/>
      <c r="M747" s="259"/>
      <c r="N747" s="259"/>
      <c r="O747" s="235"/>
      <c r="P747" s="235"/>
      <c r="Q747" s="235"/>
    </row>
    <row r="748" spans="2:17">
      <c r="B748" s="241"/>
      <c r="C748" s="241"/>
      <c r="D748" s="241"/>
      <c r="E748" s="241"/>
      <c r="F748" s="259"/>
      <c r="G748" s="259"/>
      <c r="H748" s="259"/>
      <c r="I748" s="259"/>
      <c r="J748" s="259"/>
      <c r="K748" s="259"/>
      <c r="L748" s="259"/>
      <c r="M748" s="259"/>
      <c r="N748" s="259"/>
      <c r="O748" s="235"/>
      <c r="P748" s="235"/>
      <c r="Q748" s="235"/>
    </row>
    <row r="749" spans="2:17">
      <c r="B749" s="241"/>
      <c r="C749" s="241"/>
      <c r="D749" s="241"/>
      <c r="E749" s="241"/>
      <c r="F749" s="259"/>
      <c r="G749" s="259"/>
      <c r="H749" s="259"/>
      <c r="I749" s="259"/>
      <c r="J749" s="259"/>
      <c r="K749" s="259"/>
      <c r="L749" s="259"/>
      <c r="M749" s="259"/>
      <c r="N749" s="259"/>
      <c r="O749" s="235"/>
      <c r="P749" s="235"/>
      <c r="Q749" s="235"/>
    </row>
    <row r="750" spans="2:17">
      <c r="B750" s="241"/>
      <c r="C750" s="241"/>
      <c r="D750" s="241"/>
      <c r="E750" s="241"/>
      <c r="F750" s="259"/>
      <c r="G750" s="259"/>
      <c r="H750" s="259"/>
      <c r="I750" s="259"/>
      <c r="J750" s="259"/>
      <c r="K750" s="259"/>
      <c r="L750" s="259"/>
      <c r="M750" s="259"/>
      <c r="N750" s="259"/>
      <c r="O750" s="235"/>
      <c r="P750" s="235"/>
      <c r="Q750" s="235"/>
    </row>
    <row r="751" spans="2:17">
      <c r="B751" s="241"/>
      <c r="C751" s="241"/>
      <c r="D751" s="241"/>
      <c r="E751" s="241"/>
      <c r="F751" s="259"/>
      <c r="G751" s="259"/>
      <c r="H751" s="259"/>
      <c r="I751" s="259"/>
      <c r="J751" s="259"/>
      <c r="K751" s="259"/>
      <c r="L751" s="259"/>
      <c r="M751" s="259"/>
      <c r="N751" s="259"/>
      <c r="O751" s="235"/>
      <c r="P751" s="235"/>
      <c r="Q751" s="235"/>
    </row>
    <row r="752" spans="2:17">
      <c r="B752" s="241"/>
      <c r="C752" s="241"/>
      <c r="D752" s="241"/>
      <c r="E752" s="241"/>
      <c r="F752" s="259"/>
      <c r="G752" s="259"/>
      <c r="H752" s="259"/>
      <c r="I752" s="259"/>
      <c r="J752" s="259"/>
      <c r="K752" s="259"/>
      <c r="L752" s="259"/>
      <c r="M752" s="259"/>
      <c r="N752" s="259"/>
      <c r="O752" s="235"/>
      <c r="P752" s="235"/>
      <c r="Q752" s="235"/>
    </row>
    <row r="753" spans="2:17">
      <c r="B753" s="241"/>
      <c r="C753" s="241"/>
      <c r="D753" s="241"/>
      <c r="E753" s="241"/>
      <c r="F753" s="259"/>
      <c r="G753" s="259"/>
      <c r="H753" s="259"/>
      <c r="I753" s="259"/>
      <c r="J753" s="259"/>
      <c r="K753" s="259"/>
      <c r="L753" s="259"/>
      <c r="M753" s="259"/>
      <c r="N753" s="259"/>
      <c r="O753" s="235"/>
      <c r="P753" s="235"/>
      <c r="Q753" s="235"/>
    </row>
    <row r="754" spans="2:17">
      <c r="B754" s="241"/>
      <c r="C754" s="241"/>
      <c r="D754" s="241"/>
      <c r="E754" s="241"/>
      <c r="F754" s="259"/>
      <c r="G754" s="259"/>
      <c r="H754" s="259"/>
      <c r="I754" s="259"/>
      <c r="J754" s="259"/>
      <c r="K754" s="259"/>
      <c r="L754" s="259"/>
      <c r="M754" s="259"/>
      <c r="N754" s="259"/>
      <c r="O754" s="235"/>
      <c r="P754" s="235"/>
      <c r="Q754" s="235"/>
    </row>
    <row r="755" spans="2:17">
      <c r="B755" s="241"/>
      <c r="C755" s="241"/>
      <c r="D755" s="241"/>
      <c r="E755" s="241"/>
      <c r="F755" s="259"/>
      <c r="G755" s="259"/>
      <c r="H755" s="259"/>
      <c r="I755" s="259"/>
      <c r="J755" s="259"/>
      <c r="K755" s="259"/>
      <c r="L755" s="259"/>
      <c r="M755" s="259"/>
      <c r="N755" s="259"/>
      <c r="O755" s="235"/>
      <c r="P755" s="235"/>
      <c r="Q755" s="235"/>
    </row>
    <row r="756" spans="2:17">
      <c r="B756" s="241"/>
      <c r="C756" s="241"/>
      <c r="D756" s="241"/>
      <c r="E756" s="241"/>
      <c r="F756" s="259"/>
      <c r="G756" s="259"/>
      <c r="H756" s="259"/>
      <c r="I756" s="259"/>
      <c r="J756" s="259"/>
      <c r="K756" s="259"/>
      <c r="L756" s="259"/>
      <c r="M756" s="259"/>
      <c r="N756" s="259"/>
      <c r="O756" s="235"/>
      <c r="P756" s="235"/>
      <c r="Q756" s="235"/>
    </row>
    <row r="757" spans="2:17">
      <c r="B757" s="241"/>
      <c r="C757" s="241"/>
      <c r="D757" s="241"/>
      <c r="E757" s="241"/>
      <c r="F757" s="259"/>
      <c r="G757" s="259"/>
      <c r="H757" s="259"/>
      <c r="I757" s="259"/>
      <c r="J757" s="259"/>
      <c r="K757" s="259"/>
      <c r="L757" s="259"/>
      <c r="M757" s="259"/>
      <c r="N757" s="259"/>
      <c r="O757" s="235"/>
      <c r="P757" s="235"/>
      <c r="Q757" s="235"/>
    </row>
    <row r="758" spans="2:17">
      <c r="B758" s="241"/>
      <c r="C758" s="241"/>
      <c r="D758" s="241"/>
      <c r="E758" s="241"/>
      <c r="F758" s="259"/>
      <c r="G758" s="259"/>
      <c r="H758" s="259"/>
      <c r="I758" s="259"/>
      <c r="J758" s="259"/>
      <c r="K758" s="259"/>
      <c r="L758" s="259"/>
      <c r="M758" s="259"/>
      <c r="N758" s="259"/>
      <c r="O758" s="235"/>
      <c r="P758" s="235"/>
      <c r="Q758" s="235"/>
    </row>
    <row r="759" spans="2:17">
      <c r="B759" s="241"/>
      <c r="C759" s="241"/>
      <c r="D759" s="241"/>
      <c r="E759" s="241"/>
      <c r="F759" s="259"/>
      <c r="G759" s="259"/>
      <c r="H759" s="259"/>
      <c r="I759" s="259"/>
      <c r="J759" s="259"/>
      <c r="K759" s="259"/>
      <c r="L759" s="259"/>
      <c r="M759" s="259"/>
      <c r="N759" s="259"/>
      <c r="O759" s="235"/>
      <c r="P759" s="235"/>
      <c r="Q759" s="235"/>
    </row>
    <row r="760" spans="2:17">
      <c r="B760" s="241"/>
      <c r="C760" s="241"/>
      <c r="D760" s="241"/>
      <c r="E760" s="241"/>
      <c r="F760" s="259"/>
      <c r="G760" s="259"/>
      <c r="H760" s="259"/>
      <c r="I760" s="259"/>
      <c r="J760" s="259"/>
      <c r="K760" s="259"/>
      <c r="L760" s="259"/>
      <c r="M760" s="259"/>
      <c r="N760" s="259"/>
      <c r="O760" s="235"/>
      <c r="P760" s="235"/>
      <c r="Q760" s="235"/>
    </row>
    <row r="761" spans="2:17">
      <c r="B761" s="241"/>
      <c r="C761" s="241"/>
      <c r="D761" s="241"/>
      <c r="E761" s="241"/>
      <c r="F761" s="259"/>
      <c r="G761" s="259"/>
      <c r="H761" s="259"/>
      <c r="I761" s="259"/>
      <c r="J761" s="259"/>
      <c r="K761" s="259"/>
      <c r="L761" s="259"/>
      <c r="M761" s="259"/>
      <c r="N761" s="259"/>
      <c r="O761" s="235"/>
      <c r="P761" s="235"/>
      <c r="Q761" s="235"/>
    </row>
    <row r="762" spans="2:17">
      <c r="B762" s="241"/>
      <c r="C762" s="241"/>
      <c r="D762" s="241"/>
      <c r="E762" s="241"/>
      <c r="F762" s="259"/>
      <c r="G762" s="259"/>
      <c r="H762" s="259"/>
      <c r="I762" s="259"/>
      <c r="J762" s="259"/>
      <c r="K762" s="259"/>
      <c r="L762" s="259"/>
      <c r="M762" s="259"/>
      <c r="N762" s="259"/>
      <c r="O762" s="235"/>
      <c r="P762" s="235"/>
      <c r="Q762" s="235"/>
    </row>
    <row r="763" spans="2:17">
      <c r="B763" s="241"/>
      <c r="C763" s="241"/>
      <c r="D763" s="241"/>
      <c r="E763" s="241"/>
      <c r="F763" s="259"/>
      <c r="G763" s="259"/>
      <c r="H763" s="259"/>
      <c r="I763" s="259"/>
      <c r="J763" s="259"/>
      <c r="K763" s="259"/>
      <c r="L763" s="259"/>
      <c r="M763" s="259"/>
      <c r="N763" s="259"/>
      <c r="O763" s="235"/>
      <c r="P763" s="235"/>
      <c r="Q763" s="235"/>
    </row>
    <row r="764" spans="2:17">
      <c r="B764" s="241"/>
      <c r="C764" s="241"/>
      <c r="D764" s="241"/>
      <c r="E764" s="241"/>
      <c r="F764" s="259"/>
      <c r="G764" s="259"/>
      <c r="H764" s="259"/>
      <c r="I764" s="259"/>
      <c r="J764" s="259"/>
      <c r="K764" s="259"/>
      <c r="L764" s="259"/>
      <c r="M764" s="259"/>
      <c r="N764" s="259"/>
      <c r="O764" s="235"/>
      <c r="P764" s="235"/>
      <c r="Q764" s="235"/>
    </row>
    <row r="765" spans="2:17">
      <c r="B765" s="241"/>
      <c r="C765" s="241"/>
      <c r="D765" s="241"/>
      <c r="E765" s="241"/>
      <c r="F765" s="259"/>
      <c r="G765" s="259"/>
      <c r="H765" s="259"/>
      <c r="I765" s="259"/>
      <c r="J765" s="259"/>
      <c r="K765" s="259"/>
      <c r="L765" s="259"/>
      <c r="M765" s="259"/>
      <c r="N765" s="259"/>
      <c r="O765" s="235"/>
      <c r="P765" s="235"/>
      <c r="Q765" s="235"/>
    </row>
    <row r="766" spans="2:17">
      <c r="B766" s="241"/>
      <c r="C766" s="241"/>
      <c r="D766" s="241"/>
      <c r="E766" s="241"/>
      <c r="F766" s="259"/>
      <c r="G766" s="259"/>
      <c r="H766" s="259"/>
      <c r="I766" s="259"/>
      <c r="J766" s="259"/>
      <c r="K766" s="259"/>
      <c r="L766" s="259"/>
      <c r="M766" s="259"/>
      <c r="N766" s="259"/>
      <c r="O766" s="235"/>
      <c r="P766" s="235"/>
      <c r="Q766" s="235"/>
    </row>
    <row r="767" spans="2:17">
      <c r="B767" s="241"/>
      <c r="C767" s="241"/>
      <c r="D767" s="241"/>
      <c r="E767" s="241"/>
      <c r="F767" s="259"/>
      <c r="G767" s="259"/>
      <c r="H767" s="259"/>
      <c r="I767" s="259"/>
      <c r="J767" s="259"/>
      <c r="K767" s="259"/>
      <c r="L767" s="259"/>
      <c r="M767" s="259"/>
      <c r="N767" s="259"/>
      <c r="O767" s="235"/>
      <c r="P767" s="235"/>
      <c r="Q767" s="235"/>
    </row>
    <row r="768" spans="2:17">
      <c r="B768" s="241"/>
      <c r="C768" s="241"/>
      <c r="D768" s="241"/>
      <c r="E768" s="241"/>
      <c r="F768" s="259"/>
      <c r="G768" s="259"/>
      <c r="H768" s="259"/>
      <c r="I768" s="259"/>
      <c r="J768" s="259"/>
      <c r="K768" s="259"/>
      <c r="L768" s="259"/>
      <c r="M768" s="259"/>
      <c r="N768" s="259"/>
      <c r="O768" s="235"/>
      <c r="P768" s="235"/>
      <c r="Q768" s="235"/>
    </row>
    <row r="769" spans="2:17">
      <c r="B769" s="241"/>
      <c r="C769" s="241"/>
      <c r="D769" s="241"/>
      <c r="E769" s="241"/>
      <c r="F769" s="259"/>
      <c r="G769" s="259"/>
      <c r="H769" s="259"/>
      <c r="I769" s="259"/>
      <c r="J769" s="259"/>
      <c r="K769" s="259"/>
      <c r="L769" s="259"/>
      <c r="M769" s="259"/>
      <c r="N769" s="259"/>
      <c r="O769" s="235"/>
      <c r="P769" s="235"/>
      <c r="Q769" s="235"/>
    </row>
    <row r="770" spans="2:17">
      <c r="B770" s="241"/>
      <c r="C770" s="241"/>
      <c r="D770" s="241"/>
      <c r="E770" s="241"/>
      <c r="F770" s="259"/>
      <c r="G770" s="259"/>
      <c r="H770" s="259"/>
      <c r="I770" s="259"/>
      <c r="J770" s="259"/>
      <c r="K770" s="259"/>
      <c r="L770" s="259"/>
      <c r="M770" s="259"/>
      <c r="N770" s="259"/>
      <c r="O770" s="235"/>
      <c r="P770" s="235"/>
      <c r="Q770" s="235"/>
    </row>
    <row r="771" spans="2:17">
      <c r="B771" s="241"/>
      <c r="C771" s="241"/>
      <c r="D771" s="241"/>
      <c r="E771" s="241"/>
      <c r="F771" s="259"/>
      <c r="G771" s="259"/>
      <c r="H771" s="259"/>
      <c r="I771" s="259"/>
      <c r="J771" s="259"/>
      <c r="K771" s="259"/>
      <c r="L771" s="259"/>
      <c r="M771" s="259"/>
      <c r="N771" s="259"/>
      <c r="O771" s="235"/>
      <c r="P771" s="235"/>
      <c r="Q771" s="235"/>
    </row>
    <row r="772" spans="2:17">
      <c r="B772" s="241"/>
      <c r="C772" s="241"/>
      <c r="D772" s="241"/>
      <c r="E772" s="241"/>
      <c r="F772" s="259"/>
      <c r="G772" s="259"/>
      <c r="H772" s="259"/>
      <c r="I772" s="259"/>
      <c r="J772" s="259"/>
      <c r="K772" s="259"/>
      <c r="L772" s="259"/>
      <c r="M772" s="259"/>
      <c r="N772" s="259"/>
      <c r="O772" s="235"/>
      <c r="P772" s="235"/>
      <c r="Q772" s="235"/>
    </row>
    <row r="773" spans="2:17">
      <c r="B773" s="241"/>
      <c r="C773" s="241"/>
      <c r="D773" s="241"/>
      <c r="E773" s="241"/>
      <c r="F773" s="259"/>
      <c r="G773" s="259"/>
      <c r="H773" s="259"/>
      <c r="I773" s="259"/>
      <c r="J773" s="259"/>
      <c r="K773" s="259"/>
      <c r="L773" s="259"/>
      <c r="M773" s="259"/>
      <c r="N773" s="259"/>
      <c r="O773" s="235"/>
      <c r="P773" s="235"/>
      <c r="Q773" s="235"/>
    </row>
    <row r="774" spans="2:17">
      <c r="B774" s="241"/>
      <c r="C774" s="241"/>
      <c r="D774" s="241"/>
      <c r="E774" s="241"/>
      <c r="F774" s="259"/>
      <c r="G774" s="259"/>
      <c r="H774" s="259"/>
      <c r="I774" s="259"/>
      <c r="J774" s="259"/>
      <c r="K774" s="259"/>
      <c r="L774" s="259"/>
      <c r="M774" s="259"/>
      <c r="N774" s="259"/>
      <c r="O774" s="235"/>
      <c r="P774" s="235"/>
      <c r="Q774" s="235"/>
    </row>
    <row r="775" spans="2:17">
      <c r="B775" s="241"/>
      <c r="C775" s="241"/>
      <c r="D775" s="241"/>
      <c r="E775" s="241"/>
      <c r="F775" s="259"/>
      <c r="G775" s="259"/>
      <c r="H775" s="259"/>
      <c r="I775" s="259"/>
      <c r="J775" s="259"/>
      <c r="K775" s="259"/>
      <c r="L775" s="259"/>
      <c r="M775" s="259"/>
      <c r="N775" s="259"/>
      <c r="O775" s="235"/>
      <c r="P775" s="235"/>
      <c r="Q775" s="235"/>
    </row>
    <row r="776" spans="2:17">
      <c r="B776" s="241"/>
      <c r="C776" s="241"/>
      <c r="D776" s="241"/>
      <c r="E776" s="241"/>
      <c r="F776" s="259"/>
      <c r="G776" s="259"/>
      <c r="H776" s="259"/>
      <c r="I776" s="259"/>
      <c r="J776" s="259"/>
      <c r="K776" s="259"/>
      <c r="L776" s="259"/>
      <c r="M776" s="259"/>
      <c r="N776" s="259"/>
      <c r="O776" s="235"/>
      <c r="P776" s="235"/>
      <c r="Q776" s="235"/>
    </row>
    <row r="777" spans="2:17">
      <c r="B777" s="241"/>
      <c r="C777" s="241"/>
      <c r="D777" s="241"/>
      <c r="E777" s="241"/>
      <c r="F777" s="259"/>
      <c r="G777" s="259"/>
      <c r="H777" s="259"/>
      <c r="I777" s="259"/>
      <c r="J777" s="259"/>
      <c r="K777" s="259"/>
      <c r="L777" s="259"/>
      <c r="M777" s="259"/>
      <c r="N777" s="259"/>
      <c r="O777" s="235"/>
      <c r="P777" s="235"/>
      <c r="Q777" s="235"/>
    </row>
    <row r="778" spans="2:17">
      <c r="B778" s="241"/>
      <c r="C778" s="241"/>
      <c r="D778" s="241"/>
      <c r="E778" s="241"/>
      <c r="F778" s="259"/>
      <c r="G778" s="259"/>
      <c r="H778" s="259"/>
      <c r="I778" s="259"/>
      <c r="J778" s="259"/>
      <c r="K778" s="259"/>
      <c r="L778" s="259"/>
      <c r="M778" s="259"/>
      <c r="N778" s="259"/>
      <c r="O778" s="235"/>
      <c r="P778" s="235"/>
      <c r="Q778" s="235"/>
    </row>
    <row r="779" spans="2:17">
      <c r="B779" s="241"/>
      <c r="C779" s="241"/>
      <c r="D779" s="241"/>
      <c r="E779" s="241"/>
      <c r="F779" s="259"/>
      <c r="G779" s="259"/>
      <c r="H779" s="259"/>
      <c r="I779" s="259"/>
      <c r="J779" s="259"/>
      <c r="K779" s="259"/>
      <c r="L779" s="259"/>
      <c r="M779" s="259"/>
      <c r="N779" s="259"/>
      <c r="O779" s="235"/>
      <c r="P779" s="235"/>
      <c r="Q779" s="235"/>
    </row>
    <row r="780" spans="2:17">
      <c r="B780" s="241"/>
      <c r="C780" s="241"/>
      <c r="D780" s="241"/>
      <c r="E780" s="241"/>
      <c r="F780" s="259"/>
      <c r="G780" s="259"/>
      <c r="H780" s="259"/>
      <c r="I780" s="259"/>
      <c r="J780" s="259"/>
      <c r="K780" s="259"/>
      <c r="L780" s="259"/>
      <c r="M780" s="259"/>
      <c r="N780" s="259"/>
      <c r="O780" s="235"/>
      <c r="P780" s="235"/>
      <c r="Q780" s="235"/>
    </row>
    <row r="781" spans="2:17">
      <c r="B781" s="241"/>
      <c r="C781" s="241"/>
      <c r="D781" s="241"/>
      <c r="E781" s="241"/>
      <c r="F781" s="259"/>
      <c r="G781" s="259"/>
      <c r="H781" s="259"/>
      <c r="I781" s="259"/>
      <c r="J781" s="259"/>
      <c r="K781" s="259"/>
      <c r="L781" s="259"/>
      <c r="M781" s="259"/>
      <c r="N781" s="259"/>
      <c r="O781" s="235"/>
      <c r="P781" s="235"/>
      <c r="Q781" s="235"/>
    </row>
    <row r="782" spans="2:17">
      <c r="B782" s="241"/>
      <c r="C782" s="241"/>
      <c r="D782" s="241"/>
      <c r="E782" s="241"/>
      <c r="F782" s="259"/>
      <c r="G782" s="259"/>
      <c r="H782" s="259"/>
      <c r="I782" s="259"/>
      <c r="J782" s="259"/>
      <c r="K782" s="259"/>
      <c r="L782" s="259"/>
      <c r="M782" s="259"/>
      <c r="N782" s="259"/>
      <c r="O782" s="235"/>
      <c r="P782" s="235"/>
      <c r="Q782" s="235"/>
    </row>
    <row r="783" spans="2:17">
      <c r="B783" s="241"/>
      <c r="C783" s="241"/>
      <c r="D783" s="241"/>
      <c r="E783" s="241"/>
      <c r="F783" s="259"/>
      <c r="G783" s="259"/>
      <c r="H783" s="259"/>
      <c r="I783" s="259"/>
      <c r="J783" s="259"/>
      <c r="K783" s="259"/>
      <c r="L783" s="259"/>
      <c r="M783" s="259"/>
      <c r="N783" s="259"/>
      <c r="O783" s="235"/>
      <c r="P783" s="235"/>
      <c r="Q783" s="235"/>
    </row>
    <row r="784" spans="2:17">
      <c r="B784" s="241"/>
      <c r="C784" s="241"/>
      <c r="D784" s="241"/>
      <c r="E784" s="241"/>
      <c r="F784" s="259"/>
      <c r="G784" s="259"/>
      <c r="H784" s="259"/>
      <c r="I784" s="259"/>
      <c r="J784" s="259"/>
      <c r="K784" s="259"/>
      <c r="L784" s="259"/>
      <c r="M784" s="259"/>
      <c r="N784" s="259"/>
      <c r="O784" s="235"/>
      <c r="P784" s="235"/>
      <c r="Q784" s="235"/>
    </row>
    <row r="785" spans="2:17">
      <c r="B785" s="241"/>
      <c r="C785" s="241"/>
      <c r="D785" s="241"/>
      <c r="E785" s="241"/>
      <c r="F785" s="259"/>
      <c r="G785" s="259"/>
      <c r="H785" s="259"/>
      <c r="I785" s="259"/>
      <c r="J785" s="259"/>
      <c r="K785" s="259"/>
      <c r="L785" s="259"/>
      <c r="M785" s="259"/>
      <c r="N785" s="259"/>
      <c r="O785" s="235"/>
      <c r="P785" s="235"/>
      <c r="Q785" s="235"/>
    </row>
    <row r="786" spans="2:17">
      <c r="B786" s="241"/>
      <c r="C786" s="241"/>
      <c r="D786" s="241"/>
      <c r="E786" s="241"/>
      <c r="F786" s="259"/>
      <c r="G786" s="259"/>
      <c r="H786" s="259"/>
      <c r="I786" s="259"/>
      <c r="J786" s="259"/>
      <c r="K786" s="259"/>
      <c r="L786" s="259"/>
      <c r="M786" s="259"/>
      <c r="N786" s="259"/>
      <c r="O786" s="235"/>
      <c r="P786" s="235"/>
      <c r="Q786" s="235"/>
    </row>
    <row r="787" spans="2:17">
      <c r="B787" s="241"/>
      <c r="C787" s="241"/>
      <c r="D787" s="241"/>
      <c r="E787" s="241"/>
      <c r="F787" s="259"/>
      <c r="G787" s="259"/>
      <c r="H787" s="259"/>
      <c r="I787" s="259"/>
      <c r="J787" s="259"/>
      <c r="K787" s="259"/>
      <c r="L787" s="259"/>
      <c r="M787" s="259"/>
      <c r="N787" s="259"/>
      <c r="O787" s="235"/>
      <c r="P787" s="235"/>
      <c r="Q787" s="235"/>
    </row>
    <row r="788" spans="2:17">
      <c r="B788" s="241"/>
      <c r="C788" s="241"/>
      <c r="D788" s="241"/>
      <c r="E788" s="241"/>
      <c r="F788" s="259"/>
      <c r="G788" s="259"/>
      <c r="H788" s="259"/>
      <c r="I788" s="259"/>
      <c r="J788" s="259"/>
      <c r="K788" s="259"/>
      <c r="L788" s="259"/>
      <c r="M788" s="259"/>
      <c r="N788" s="259"/>
      <c r="O788" s="235"/>
      <c r="P788" s="235"/>
      <c r="Q788" s="235"/>
    </row>
    <row r="789" spans="2:17">
      <c r="B789" s="241"/>
      <c r="C789" s="241"/>
      <c r="D789" s="241"/>
      <c r="E789" s="241"/>
      <c r="F789" s="259"/>
      <c r="G789" s="259"/>
      <c r="H789" s="259"/>
      <c r="I789" s="259"/>
      <c r="J789" s="259"/>
      <c r="K789" s="259"/>
      <c r="L789" s="259"/>
      <c r="M789" s="259"/>
      <c r="N789" s="259"/>
      <c r="O789" s="235"/>
      <c r="P789" s="235"/>
      <c r="Q789" s="235"/>
    </row>
    <row r="790" spans="2:17">
      <c r="B790" s="241"/>
      <c r="C790" s="241"/>
      <c r="D790" s="241"/>
      <c r="E790" s="241"/>
      <c r="F790" s="259"/>
      <c r="G790" s="259"/>
      <c r="H790" s="259"/>
      <c r="I790" s="259"/>
      <c r="J790" s="259"/>
      <c r="K790" s="259"/>
      <c r="L790" s="259"/>
      <c r="M790" s="259"/>
      <c r="N790" s="259"/>
      <c r="O790" s="235"/>
      <c r="P790" s="235"/>
      <c r="Q790" s="235"/>
    </row>
    <row r="791" spans="2:17">
      <c r="B791" s="241"/>
      <c r="C791" s="241"/>
      <c r="D791" s="241"/>
      <c r="E791" s="241"/>
      <c r="F791" s="259"/>
      <c r="G791" s="259"/>
      <c r="H791" s="259"/>
      <c r="I791" s="259"/>
      <c r="J791" s="259"/>
      <c r="K791" s="259"/>
      <c r="L791" s="259"/>
      <c r="M791" s="259"/>
      <c r="N791" s="259"/>
      <c r="O791" s="235"/>
      <c r="P791" s="235"/>
      <c r="Q791" s="235"/>
    </row>
    <row r="792" spans="2:17">
      <c r="B792" s="241"/>
      <c r="C792" s="241"/>
      <c r="D792" s="241"/>
      <c r="E792" s="241"/>
      <c r="F792" s="259"/>
      <c r="G792" s="259"/>
      <c r="H792" s="259"/>
      <c r="I792" s="259"/>
      <c r="J792" s="259"/>
      <c r="K792" s="259"/>
      <c r="L792" s="259"/>
      <c r="M792" s="259"/>
      <c r="N792" s="259"/>
      <c r="O792" s="235"/>
      <c r="P792" s="235"/>
      <c r="Q792" s="235"/>
    </row>
    <row r="793" spans="2:17">
      <c r="B793" s="241"/>
      <c r="C793" s="241"/>
      <c r="D793" s="241"/>
      <c r="E793" s="241"/>
      <c r="F793" s="259"/>
      <c r="G793" s="259"/>
      <c r="H793" s="259"/>
      <c r="I793" s="259"/>
      <c r="J793" s="259"/>
      <c r="K793" s="259"/>
      <c r="L793" s="259"/>
      <c r="M793" s="259"/>
      <c r="N793" s="259"/>
      <c r="O793" s="235"/>
      <c r="P793" s="235"/>
      <c r="Q793" s="235"/>
    </row>
    <row r="794" spans="2:17">
      <c r="B794" s="241"/>
      <c r="C794" s="241"/>
      <c r="D794" s="241"/>
      <c r="E794" s="241"/>
      <c r="F794" s="259"/>
      <c r="G794" s="259"/>
      <c r="H794" s="259"/>
      <c r="I794" s="259"/>
      <c r="J794" s="259"/>
      <c r="K794" s="259"/>
      <c r="L794" s="259"/>
      <c r="M794" s="259"/>
      <c r="N794" s="259"/>
      <c r="O794" s="235"/>
      <c r="P794" s="235"/>
      <c r="Q794" s="235"/>
    </row>
    <row r="795" spans="2:17">
      <c r="B795" s="241"/>
      <c r="C795" s="241"/>
      <c r="D795" s="241"/>
      <c r="E795" s="241"/>
      <c r="F795" s="259"/>
      <c r="G795" s="259"/>
      <c r="H795" s="259"/>
      <c r="I795" s="259"/>
      <c r="J795" s="259"/>
      <c r="K795" s="259"/>
      <c r="L795" s="259"/>
      <c r="M795" s="259"/>
      <c r="N795" s="259"/>
      <c r="O795" s="235"/>
      <c r="P795" s="235"/>
      <c r="Q795" s="235"/>
    </row>
    <row r="796" spans="2:17">
      <c r="B796" s="241"/>
      <c r="C796" s="241"/>
      <c r="D796" s="241"/>
      <c r="E796" s="241"/>
      <c r="F796" s="259"/>
      <c r="G796" s="259"/>
      <c r="H796" s="259"/>
      <c r="I796" s="259"/>
      <c r="J796" s="259"/>
      <c r="K796" s="259"/>
      <c r="L796" s="259"/>
      <c r="M796" s="259"/>
      <c r="N796" s="259"/>
      <c r="O796" s="235"/>
      <c r="P796" s="235"/>
      <c r="Q796" s="235"/>
    </row>
    <row r="797" spans="2:17">
      <c r="B797" s="241"/>
      <c r="C797" s="241"/>
      <c r="D797" s="241"/>
      <c r="E797" s="241"/>
      <c r="F797" s="259"/>
      <c r="G797" s="259"/>
      <c r="H797" s="259"/>
      <c r="I797" s="259"/>
      <c r="J797" s="259"/>
      <c r="K797" s="259"/>
      <c r="L797" s="259"/>
      <c r="M797" s="259"/>
      <c r="N797" s="259"/>
      <c r="O797" s="235"/>
      <c r="P797" s="235"/>
      <c r="Q797" s="235"/>
    </row>
    <row r="798" spans="2:17">
      <c r="B798" s="241"/>
      <c r="C798" s="241"/>
      <c r="D798" s="241"/>
      <c r="E798" s="241"/>
      <c r="F798" s="259"/>
      <c r="G798" s="259"/>
      <c r="H798" s="259"/>
      <c r="I798" s="259"/>
      <c r="J798" s="259"/>
      <c r="K798" s="259"/>
      <c r="L798" s="259"/>
      <c r="M798" s="259"/>
      <c r="N798" s="259"/>
      <c r="O798" s="235"/>
      <c r="P798" s="235"/>
      <c r="Q798" s="235"/>
    </row>
    <row r="799" spans="2:17">
      <c r="B799" s="241"/>
      <c r="C799" s="241"/>
      <c r="D799" s="241"/>
      <c r="E799" s="241"/>
      <c r="F799" s="259"/>
      <c r="G799" s="259"/>
      <c r="H799" s="259"/>
      <c r="I799" s="259"/>
      <c r="J799" s="259"/>
      <c r="K799" s="259"/>
      <c r="L799" s="259"/>
      <c r="M799" s="259"/>
      <c r="N799" s="259"/>
      <c r="O799" s="235"/>
      <c r="P799" s="235"/>
      <c r="Q799" s="235"/>
    </row>
    <row r="800" spans="2:17">
      <c r="B800" s="241"/>
      <c r="C800" s="241"/>
      <c r="D800" s="241"/>
      <c r="E800" s="241"/>
      <c r="F800" s="259"/>
      <c r="G800" s="259"/>
      <c r="H800" s="259"/>
      <c r="I800" s="259"/>
      <c r="J800" s="259"/>
      <c r="K800" s="259"/>
      <c r="L800" s="259"/>
      <c r="M800" s="259"/>
      <c r="N800" s="259"/>
      <c r="O800" s="235"/>
      <c r="P800" s="235"/>
      <c r="Q800" s="235"/>
    </row>
    <row r="801" spans="2:17">
      <c r="B801" s="241"/>
      <c r="C801" s="241"/>
      <c r="D801" s="241"/>
      <c r="E801" s="241"/>
      <c r="F801" s="259"/>
      <c r="G801" s="259"/>
      <c r="H801" s="259"/>
      <c r="I801" s="259"/>
      <c r="J801" s="259"/>
      <c r="K801" s="259"/>
      <c r="L801" s="259"/>
      <c r="M801" s="259"/>
      <c r="N801" s="259"/>
      <c r="O801" s="235"/>
      <c r="P801" s="235"/>
      <c r="Q801" s="235"/>
    </row>
    <row r="802" spans="2:17">
      <c r="B802" s="241"/>
      <c r="C802" s="241"/>
      <c r="D802" s="241"/>
      <c r="E802" s="241"/>
      <c r="F802" s="259"/>
      <c r="G802" s="259"/>
      <c r="H802" s="259"/>
      <c r="I802" s="259"/>
      <c r="J802" s="259"/>
      <c r="K802" s="259"/>
      <c r="L802" s="259"/>
      <c r="M802" s="259"/>
      <c r="N802" s="259"/>
      <c r="O802" s="235"/>
      <c r="P802" s="235"/>
      <c r="Q802" s="235"/>
    </row>
    <row r="803" spans="2:17">
      <c r="B803" s="241"/>
      <c r="C803" s="241"/>
      <c r="D803" s="241"/>
      <c r="E803" s="241"/>
      <c r="F803" s="259"/>
      <c r="G803" s="259"/>
      <c r="H803" s="259"/>
      <c r="I803" s="259"/>
      <c r="J803" s="259"/>
      <c r="K803" s="259"/>
      <c r="L803" s="259"/>
      <c r="M803" s="259"/>
      <c r="N803" s="259"/>
      <c r="O803" s="235"/>
      <c r="P803" s="235"/>
      <c r="Q803" s="235"/>
    </row>
    <row r="804" spans="2:17">
      <c r="B804" s="241"/>
      <c r="C804" s="241"/>
      <c r="D804" s="241"/>
      <c r="E804" s="241"/>
      <c r="F804" s="259"/>
      <c r="G804" s="259"/>
      <c r="H804" s="259"/>
      <c r="I804" s="259"/>
      <c r="J804" s="259"/>
      <c r="K804" s="259"/>
      <c r="L804" s="259"/>
      <c r="M804" s="259"/>
      <c r="N804" s="259"/>
      <c r="O804" s="235"/>
      <c r="P804" s="235"/>
      <c r="Q804" s="235"/>
    </row>
    <row r="805" spans="2:17">
      <c r="B805" s="241"/>
      <c r="C805" s="241"/>
      <c r="D805" s="241"/>
      <c r="E805" s="241"/>
      <c r="F805" s="259"/>
      <c r="G805" s="259"/>
      <c r="H805" s="259"/>
      <c r="I805" s="259"/>
      <c r="J805" s="259"/>
      <c r="K805" s="259"/>
      <c r="L805" s="259"/>
      <c r="M805" s="259"/>
      <c r="N805" s="259"/>
      <c r="O805" s="235"/>
      <c r="P805" s="235"/>
      <c r="Q805" s="235"/>
    </row>
    <row r="806" spans="2:17">
      <c r="B806" s="241"/>
      <c r="C806" s="241"/>
      <c r="D806" s="241"/>
      <c r="E806" s="241"/>
      <c r="F806" s="259"/>
      <c r="G806" s="259"/>
      <c r="H806" s="259"/>
      <c r="I806" s="259"/>
      <c r="J806" s="259"/>
      <c r="K806" s="259"/>
      <c r="L806" s="259"/>
      <c r="M806" s="259"/>
      <c r="N806" s="259"/>
      <c r="O806" s="235"/>
      <c r="P806" s="235"/>
      <c r="Q806" s="235"/>
    </row>
    <row r="807" spans="2:17">
      <c r="B807" s="241"/>
      <c r="C807" s="241"/>
      <c r="D807" s="241"/>
      <c r="E807" s="241"/>
      <c r="F807" s="259"/>
      <c r="G807" s="259"/>
      <c r="H807" s="259"/>
      <c r="I807" s="259"/>
      <c r="J807" s="259"/>
      <c r="K807" s="259"/>
      <c r="L807" s="259"/>
      <c r="M807" s="259"/>
      <c r="N807" s="259"/>
      <c r="O807" s="235"/>
      <c r="P807" s="235"/>
      <c r="Q807" s="235"/>
    </row>
    <row r="808" spans="2:17">
      <c r="B808" s="241"/>
      <c r="C808" s="241"/>
      <c r="D808" s="241"/>
      <c r="E808" s="241"/>
      <c r="F808" s="259"/>
      <c r="G808" s="259"/>
      <c r="H808" s="259"/>
      <c r="I808" s="259"/>
      <c r="J808" s="259"/>
      <c r="K808" s="259"/>
      <c r="L808" s="259"/>
      <c r="M808" s="259"/>
      <c r="N808" s="259"/>
      <c r="O808" s="235"/>
      <c r="P808" s="235"/>
      <c r="Q808" s="235"/>
    </row>
    <row r="809" spans="2:17">
      <c r="B809" s="241"/>
      <c r="C809" s="241"/>
      <c r="D809" s="241"/>
      <c r="E809" s="241"/>
      <c r="F809" s="259"/>
      <c r="G809" s="259"/>
      <c r="H809" s="259"/>
      <c r="I809" s="259"/>
      <c r="J809" s="259"/>
      <c r="K809" s="259"/>
      <c r="L809" s="259"/>
      <c r="M809" s="259"/>
      <c r="N809" s="259"/>
      <c r="O809" s="235"/>
      <c r="P809" s="235"/>
      <c r="Q809" s="235"/>
    </row>
    <row r="810" spans="2:17">
      <c r="B810" s="241"/>
      <c r="C810" s="241"/>
      <c r="D810" s="241"/>
      <c r="E810" s="241"/>
      <c r="F810" s="259"/>
      <c r="G810" s="259"/>
      <c r="H810" s="259"/>
      <c r="I810" s="259"/>
      <c r="J810" s="259"/>
      <c r="K810" s="259"/>
      <c r="L810" s="259"/>
      <c r="M810" s="259"/>
      <c r="N810" s="259"/>
      <c r="O810" s="235"/>
      <c r="P810" s="235"/>
      <c r="Q810" s="235"/>
    </row>
    <row r="811" spans="2:17">
      <c r="B811" s="241"/>
      <c r="C811" s="241"/>
      <c r="D811" s="241"/>
      <c r="E811" s="241"/>
      <c r="F811" s="259"/>
      <c r="G811" s="259"/>
      <c r="H811" s="259"/>
      <c r="I811" s="259"/>
      <c r="J811" s="259"/>
      <c r="K811" s="259"/>
      <c r="L811" s="259"/>
      <c r="M811" s="259"/>
      <c r="N811" s="259"/>
      <c r="O811" s="235"/>
      <c r="P811" s="235"/>
      <c r="Q811" s="235"/>
    </row>
    <row r="812" spans="2:17">
      <c r="B812" s="241"/>
      <c r="C812" s="241"/>
      <c r="D812" s="241"/>
      <c r="E812" s="241"/>
      <c r="F812" s="259"/>
      <c r="G812" s="259"/>
      <c r="H812" s="259"/>
      <c r="I812" s="259"/>
      <c r="J812" s="259"/>
      <c r="K812" s="259"/>
      <c r="L812" s="259"/>
      <c r="M812" s="259"/>
      <c r="N812" s="259"/>
      <c r="O812" s="235"/>
      <c r="P812" s="235"/>
      <c r="Q812" s="235"/>
    </row>
    <row r="813" spans="2:17">
      <c r="B813" s="241"/>
      <c r="C813" s="241"/>
      <c r="D813" s="241"/>
      <c r="E813" s="241"/>
      <c r="F813" s="259"/>
      <c r="G813" s="259"/>
      <c r="H813" s="259"/>
      <c r="I813" s="259"/>
      <c r="J813" s="259"/>
      <c r="K813" s="259"/>
      <c r="L813" s="259"/>
      <c r="M813" s="259"/>
      <c r="N813" s="259"/>
      <c r="O813" s="235"/>
      <c r="P813" s="235"/>
      <c r="Q813" s="235"/>
    </row>
    <row r="814" spans="2:17">
      <c r="B814" s="241"/>
      <c r="C814" s="241"/>
      <c r="D814" s="241"/>
      <c r="E814" s="241"/>
      <c r="F814" s="259"/>
      <c r="G814" s="259"/>
      <c r="H814" s="259"/>
      <c r="I814" s="259"/>
      <c r="J814" s="259"/>
      <c r="K814" s="259"/>
      <c r="L814" s="259"/>
      <c r="M814" s="259"/>
      <c r="N814" s="259"/>
      <c r="O814" s="235"/>
      <c r="P814" s="235"/>
      <c r="Q814" s="235"/>
    </row>
    <row r="815" spans="2:17">
      <c r="B815" s="241"/>
      <c r="C815" s="241"/>
      <c r="D815" s="241"/>
      <c r="E815" s="241"/>
      <c r="F815" s="259"/>
      <c r="G815" s="259"/>
      <c r="H815" s="259"/>
      <c r="I815" s="259"/>
      <c r="J815" s="259"/>
      <c r="K815" s="259"/>
      <c r="L815" s="259"/>
      <c r="M815" s="259"/>
      <c r="N815" s="259"/>
      <c r="O815" s="235"/>
      <c r="P815" s="235"/>
      <c r="Q815" s="235"/>
    </row>
    <row r="816" spans="2:17">
      <c r="B816" s="241"/>
      <c r="C816" s="241"/>
      <c r="D816" s="241"/>
      <c r="E816" s="241"/>
      <c r="F816" s="259"/>
      <c r="G816" s="259"/>
      <c r="H816" s="259"/>
      <c r="I816" s="259"/>
      <c r="J816" s="259"/>
      <c r="K816" s="259"/>
      <c r="L816" s="259"/>
      <c r="M816" s="259"/>
      <c r="N816" s="259"/>
      <c r="O816" s="235"/>
      <c r="P816" s="235"/>
      <c r="Q816" s="235"/>
    </row>
    <row r="817" spans="2:17">
      <c r="B817" s="241"/>
      <c r="C817" s="241"/>
      <c r="D817" s="241"/>
      <c r="E817" s="241"/>
      <c r="F817" s="259"/>
      <c r="G817" s="259"/>
      <c r="H817" s="259"/>
      <c r="I817" s="259"/>
      <c r="J817" s="259"/>
      <c r="K817" s="259"/>
      <c r="L817" s="259"/>
      <c r="M817" s="259"/>
      <c r="N817" s="259"/>
      <c r="O817" s="235"/>
      <c r="P817" s="235"/>
      <c r="Q817" s="235"/>
    </row>
    <row r="818" spans="2:17">
      <c r="B818" s="241"/>
      <c r="C818" s="241"/>
      <c r="D818" s="241"/>
      <c r="E818" s="241"/>
      <c r="F818" s="259"/>
      <c r="G818" s="259"/>
      <c r="H818" s="259"/>
      <c r="I818" s="259"/>
      <c r="J818" s="259"/>
      <c r="K818" s="259"/>
      <c r="L818" s="259"/>
      <c r="M818" s="259"/>
      <c r="N818" s="259"/>
      <c r="O818" s="235"/>
      <c r="P818" s="235"/>
      <c r="Q818" s="235"/>
    </row>
    <row r="819" spans="2:17">
      <c r="B819" s="241"/>
      <c r="C819" s="241"/>
      <c r="D819" s="241"/>
      <c r="E819" s="241"/>
      <c r="F819" s="259"/>
      <c r="G819" s="259"/>
      <c r="H819" s="259"/>
      <c r="I819" s="259"/>
      <c r="J819" s="259"/>
      <c r="K819" s="259"/>
      <c r="L819" s="259"/>
      <c r="M819" s="259"/>
      <c r="N819" s="259"/>
      <c r="O819" s="235"/>
      <c r="P819" s="235"/>
      <c r="Q819" s="235"/>
    </row>
    <row r="820" spans="2:17">
      <c r="B820" s="241"/>
      <c r="C820" s="241"/>
      <c r="D820" s="241"/>
      <c r="E820" s="241"/>
      <c r="F820" s="259"/>
      <c r="G820" s="259"/>
      <c r="H820" s="259"/>
      <c r="I820" s="259"/>
      <c r="J820" s="259"/>
      <c r="K820" s="259"/>
      <c r="L820" s="259"/>
      <c r="M820" s="259"/>
      <c r="N820" s="259"/>
      <c r="O820" s="235"/>
      <c r="P820" s="235"/>
      <c r="Q820" s="235"/>
    </row>
    <row r="821" spans="2:17">
      <c r="B821" s="241"/>
      <c r="C821" s="241"/>
      <c r="D821" s="241"/>
      <c r="E821" s="241"/>
      <c r="F821" s="259"/>
      <c r="G821" s="259"/>
      <c r="H821" s="259"/>
      <c r="I821" s="259"/>
      <c r="J821" s="259"/>
      <c r="K821" s="259"/>
      <c r="L821" s="259"/>
      <c r="M821" s="259"/>
      <c r="N821" s="259"/>
      <c r="O821" s="235"/>
      <c r="P821" s="235"/>
      <c r="Q821" s="235"/>
    </row>
    <row r="822" spans="2:17">
      <c r="B822" s="241"/>
      <c r="C822" s="241"/>
      <c r="D822" s="241"/>
      <c r="E822" s="241"/>
      <c r="F822" s="259"/>
      <c r="G822" s="259"/>
      <c r="H822" s="259"/>
      <c r="I822" s="259"/>
      <c r="J822" s="259"/>
      <c r="K822" s="259"/>
      <c r="L822" s="259"/>
      <c r="M822" s="259"/>
      <c r="N822" s="259"/>
      <c r="O822" s="235"/>
      <c r="P822" s="235"/>
      <c r="Q822" s="235"/>
    </row>
    <row r="823" spans="2:17">
      <c r="B823" s="241"/>
      <c r="C823" s="241"/>
      <c r="D823" s="241"/>
      <c r="E823" s="241"/>
      <c r="F823" s="259"/>
      <c r="G823" s="259"/>
      <c r="H823" s="259"/>
      <c r="I823" s="259"/>
      <c r="J823" s="259"/>
      <c r="K823" s="259"/>
      <c r="L823" s="259"/>
      <c r="M823" s="259"/>
      <c r="N823" s="259"/>
      <c r="O823" s="235"/>
      <c r="P823" s="235"/>
      <c r="Q823" s="235"/>
    </row>
    <row r="824" spans="2:17">
      <c r="B824" s="241"/>
      <c r="C824" s="241"/>
      <c r="D824" s="241"/>
      <c r="E824" s="241"/>
      <c r="F824" s="259"/>
      <c r="G824" s="259"/>
      <c r="H824" s="259"/>
      <c r="I824" s="259"/>
      <c r="J824" s="259"/>
      <c r="K824" s="259"/>
      <c r="L824" s="259"/>
      <c r="M824" s="259"/>
      <c r="N824" s="259"/>
      <c r="O824" s="235"/>
      <c r="P824" s="235"/>
      <c r="Q824" s="235"/>
    </row>
    <row r="825" spans="2:17">
      <c r="B825" s="241"/>
      <c r="C825" s="241"/>
      <c r="D825" s="241"/>
      <c r="E825" s="241"/>
      <c r="F825" s="259"/>
      <c r="G825" s="259"/>
      <c r="H825" s="259"/>
      <c r="I825" s="259"/>
      <c r="J825" s="259"/>
      <c r="K825" s="259"/>
      <c r="L825" s="259"/>
      <c r="M825" s="259"/>
      <c r="N825" s="259"/>
      <c r="O825" s="235"/>
      <c r="P825" s="235"/>
      <c r="Q825" s="235"/>
    </row>
    <row r="826" spans="2:17">
      <c r="B826" s="241"/>
      <c r="C826" s="241"/>
      <c r="D826" s="241"/>
      <c r="E826" s="241"/>
      <c r="F826" s="259"/>
      <c r="G826" s="259"/>
      <c r="H826" s="259"/>
      <c r="I826" s="259"/>
      <c r="J826" s="259"/>
      <c r="K826" s="259"/>
      <c r="L826" s="259"/>
      <c r="M826" s="259"/>
      <c r="N826" s="259"/>
      <c r="O826" s="235"/>
      <c r="P826" s="235"/>
      <c r="Q826" s="235"/>
    </row>
    <row r="827" spans="2:17">
      <c r="B827" s="241"/>
      <c r="C827" s="241"/>
      <c r="D827" s="241"/>
      <c r="E827" s="241"/>
      <c r="F827" s="259"/>
      <c r="G827" s="259"/>
      <c r="H827" s="259"/>
      <c r="I827" s="259"/>
      <c r="J827" s="259"/>
      <c r="K827" s="259"/>
      <c r="L827" s="259"/>
      <c r="M827" s="259"/>
      <c r="N827" s="259"/>
      <c r="O827" s="235"/>
      <c r="P827" s="235"/>
      <c r="Q827" s="235"/>
    </row>
    <row r="828" spans="2:17">
      <c r="B828" s="241"/>
      <c r="C828" s="241"/>
      <c r="D828" s="241"/>
      <c r="E828" s="241"/>
      <c r="F828" s="259"/>
      <c r="G828" s="259"/>
      <c r="H828" s="259"/>
      <c r="I828" s="259"/>
      <c r="J828" s="259"/>
      <c r="K828" s="259"/>
      <c r="L828" s="259"/>
      <c r="M828" s="259"/>
      <c r="N828" s="259"/>
      <c r="O828" s="235"/>
      <c r="P828" s="235"/>
      <c r="Q828" s="235"/>
    </row>
    <row r="829" spans="2:17">
      <c r="B829" s="241"/>
      <c r="C829" s="241"/>
      <c r="D829" s="241"/>
      <c r="E829" s="241"/>
      <c r="F829" s="259"/>
      <c r="G829" s="259"/>
      <c r="H829" s="259"/>
      <c r="I829" s="259"/>
      <c r="J829" s="259"/>
      <c r="K829" s="259"/>
      <c r="L829" s="259"/>
      <c r="M829" s="259"/>
      <c r="N829" s="259"/>
      <c r="O829" s="235"/>
      <c r="P829" s="235"/>
      <c r="Q829" s="235"/>
    </row>
    <row r="830" spans="2:17">
      <c r="B830" s="241"/>
      <c r="C830" s="241"/>
      <c r="D830" s="241"/>
      <c r="E830" s="241"/>
      <c r="F830" s="259"/>
      <c r="G830" s="259"/>
      <c r="H830" s="259"/>
      <c r="I830" s="259"/>
      <c r="J830" s="259"/>
      <c r="K830" s="259"/>
      <c r="L830" s="259"/>
      <c r="M830" s="259"/>
      <c r="N830" s="259"/>
      <c r="O830" s="235"/>
      <c r="P830" s="235"/>
      <c r="Q830" s="235"/>
    </row>
    <row r="831" spans="2:17">
      <c r="B831" s="241"/>
      <c r="C831" s="241"/>
      <c r="D831" s="241"/>
      <c r="E831" s="241"/>
      <c r="F831" s="259"/>
      <c r="G831" s="259"/>
      <c r="H831" s="259"/>
      <c r="I831" s="259"/>
      <c r="J831" s="259"/>
      <c r="K831" s="259"/>
      <c r="L831" s="259"/>
      <c r="M831" s="259"/>
      <c r="N831" s="259"/>
      <c r="O831" s="235"/>
      <c r="P831" s="235"/>
      <c r="Q831" s="235"/>
    </row>
    <row r="832" spans="2:17">
      <c r="B832" s="241"/>
      <c r="C832" s="241"/>
      <c r="D832" s="241"/>
      <c r="E832" s="241"/>
      <c r="F832" s="259"/>
      <c r="G832" s="259"/>
      <c r="H832" s="259"/>
      <c r="I832" s="259"/>
      <c r="J832" s="259"/>
      <c r="K832" s="259"/>
      <c r="L832" s="259"/>
      <c r="M832" s="259"/>
      <c r="N832" s="259"/>
      <c r="O832" s="235"/>
      <c r="P832" s="235"/>
      <c r="Q832" s="235"/>
    </row>
    <row r="833" spans="2:17">
      <c r="B833" s="241"/>
      <c r="C833" s="241"/>
      <c r="D833" s="241"/>
      <c r="E833" s="241"/>
      <c r="F833" s="259"/>
      <c r="G833" s="259"/>
      <c r="H833" s="259"/>
      <c r="I833" s="259"/>
      <c r="J833" s="259"/>
      <c r="K833" s="259"/>
      <c r="L833" s="259"/>
      <c r="M833" s="259"/>
      <c r="N833" s="259"/>
      <c r="O833" s="235"/>
      <c r="P833" s="235"/>
      <c r="Q833" s="235"/>
    </row>
    <row r="834" spans="2:17">
      <c r="B834" s="241"/>
      <c r="C834" s="241"/>
      <c r="D834" s="241"/>
      <c r="E834" s="241"/>
      <c r="F834" s="259"/>
      <c r="G834" s="259"/>
      <c r="H834" s="259"/>
      <c r="I834" s="259"/>
      <c r="J834" s="259"/>
      <c r="K834" s="259"/>
      <c r="L834" s="259"/>
      <c r="M834" s="259"/>
      <c r="N834" s="259"/>
      <c r="O834" s="235"/>
      <c r="P834" s="235"/>
      <c r="Q834" s="235"/>
    </row>
    <row r="835" spans="2:17">
      <c r="B835" s="241"/>
      <c r="C835" s="241"/>
      <c r="D835" s="241"/>
      <c r="E835" s="241"/>
      <c r="F835" s="259"/>
      <c r="G835" s="259"/>
      <c r="H835" s="259"/>
      <c r="I835" s="259"/>
      <c r="J835" s="259"/>
      <c r="K835" s="259"/>
      <c r="L835" s="259"/>
      <c r="M835" s="259"/>
      <c r="N835" s="259"/>
      <c r="O835" s="235"/>
      <c r="P835" s="235"/>
      <c r="Q835" s="235"/>
    </row>
    <row r="836" spans="2:17">
      <c r="B836" s="241"/>
      <c r="C836" s="241"/>
      <c r="D836" s="241"/>
      <c r="E836" s="241"/>
      <c r="F836" s="259"/>
      <c r="G836" s="259"/>
      <c r="H836" s="259"/>
      <c r="I836" s="259"/>
      <c r="J836" s="259"/>
      <c r="K836" s="259"/>
      <c r="L836" s="259"/>
      <c r="M836" s="259"/>
      <c r="N836" s="259"/>
      <c r="O836" s="235"/>
      <c r="P836" s="235"/>
      <c r="Q836" s="235"/>
    </row>
    <row r="837" spans="2:17">
      <c r="B837" s="241"/>
      <c r="C837" s="241"/>
      <c r="D837" s="241"/>
      <c r="E837" s="241"/>
      <c r="F837" s="259"/>
      <c r="G837" s="259"/>
      <c r="H837" s="259"/>
      <c r="I837" s="259"/>
      <c r="J837" s="259"/>
      <c r="K837" s="259"/>
      <c r="L837" s="259"/>
      <c r="M837" s="259"/>
      <c r="N837" s="259"/>
      <c r="O837" s="235"/>
      <c r="P837" s="235"/>
      <c r="Q837" s="235"/>
    </row>
    <row r="838" spans="2:17">
      <c r="B838" s="241"/>
      <c r="C838" s="241"/>
      <c r="D838" s="241"/>
      <c r="E838" s="241"/>
      <c r="F838" s="259"/>
      <c r="G838" s="259"/>
      <c r="H838" s="259"/>
      <c r="I838" s="259"/>
      <c r="J838" s="259"/>
      <c r="K838" s="259"/>
      <c r="L838" s="259"/>
      <c r="M838" s="259"/>
      <c r="N838" s="259"/>
      <c r="O838" s="235"/>
      <c r="P838" s="235"/>
      <c r="Q838" s="235"/>
    </row>
    <row r="839" spans="2:17">
      <c r="B839" s="241"/>
      <c r="C839" s="241"/>
      <c r="D839" s="241"/>
      <c r="E839" s="241"/>
      <c r="F839" s="259"/>
      <c r="G839" s="259"/>
      <c r="H839" s="259"/>
      <c r="I839" s="259"/>
      <c r="J839" s="259"/>
      <c r="K839" s="259"/>
      <c r="L839" s="259"/>
      <c r="M839" s="259"/>
      <c r="N839" s="259"/>
      <c r="O839" s="235"/>
      <c r="P839" s="235"/>
      <c r="Q839" s="235"/>
    </row>
    <row r="840" spans="2:17">
      <c r="B840" s="241"/>
      <c r="C840" s="241"/>
      <c r="D840" s="241"/>
      <c r="E840" s="241"/>
      <c r="F840" s="259"/>
      <c r="G840" s="259"/>
      <c r="H840" s="259"/>
      <c r="I840" s="259"/>
      <c r="J840" s="259"/>
      <c r="K840" s="259"/>
      <c r="L840" s="259"/>
      <c r="M840" s="259"/>
      <c r="N840" s="259"/>
      <c r="O840" s="235"/>
      <c r="P840" s="235"/>
      <c r="Q840" s="235"/>
    </row>
    <row r="841" spans="2:17">
      <c r="B841" s="241"/>
      <c r="C841" s="241"/>
      <c r="D841" s="241"/>
      <c r="E841" s="241"/>
      <c r="F841" s="259"/>
      <c r="G841" s="259"/>
      <c r="H841" s="259"/>
      <c r="I841" s="259"/>
      <c r="J841" s="259"/>
      <c r="K841" s="259"/>
      <c r="L841" s="259"/>
      <c r="M841" s="259"/>
      <c r="N841" s="259"/>
      <c r="O841" s="235"/>
      <c r="P841" s="235"/>
      <c r="Q841" s="235"/>
    </row>
    <row r="842" spans="2:17">
      <c r="B842" s="241"/>
      <c r="C842" s="241"/>
      <c r="D842" s="241"/>
      <c r="E842" s="241"/>
      <c r="F842" s="259"/>
      <c r="G842" s="259"/>
      <c r="H842" s="259"/>
      <c r="I842" s="259"/>
      <c r="J842" s="259"/>
      <c r="K842" s="259"/>
      <c r="L842" s="259"/>
      <c r="M842" s="259"/>
      <c r="N842" s="259"/>
      <c r="O842" s="235"/>
      <c r="P842" s="235"/>
      <c r="Q842" s="235"/>
    </row>
    <row r="843" spans="2:17">
      <c r="B843" s="241"/>
      <c r="C843" s="241"/>
      <c r="D843" s="241"/>
      <c r="E843" s="241"/>
      <c r="F843" s="259"/>
      <c r="G843" s="259"/>
      <c r="H843" s="259"/>
      <c r="I843" s="259"/>
      <c r="J843" s="259"/>
      <c r="K843" s="259"/>
      <c r="L843" s="259"/>
      <c r="M843" s="259"/>
      <c r="N843" s="259"/>
      <c r="O843" s="235"/>
      <c r="P843" s="235"/>
      <c r="Q843" s="235"/>
    </row>
    <row r="844" spans="2:17">
      <c r="B844" s="241"/>
      <c r="C844" s="241"/>
      <c r="D844" s="241"/>
      <c r="E844" s="241"/>
      <c r="F844" s="259"/>
      <c r="G844" s="259"/>
      <c r="H844" s="259"/>
      <c r="I844" s="259"/>
      <c r="J844" s="259"/>
      <c r="K844" s="259"/>
      <c r="L844" s="259"/>
      <c r="M844" s="259"/>
      <c r="N844" s="259"/>
      <c r="O844" s="235"/>
      <c r="P844" s="235"/>
      <c r="Q844" s="235"/>
    </row>
    <row r="845" spans="2:17">
      <c r="B845" s="241"/>
      <c r="C845" s="241"/>
      <c r="D845" s="241"/>
      <c r="E845" s="241"/>
      <c r="F845" s="259"/>
      <c r="G845" s="259"/>
      <c r="H845" s="259"/>
      <c r="I845" s="259"/>
      <c r="J845" s="259"/>
      <c r="K845" s="259"/>
      <c r="L845" s="259"/>
      <c r="M845" s="259"/>
      <c r="N845" s="259"/>
      <c r="O845" s="235"/>
      <c r="P845" s="235"/>
      <c r="Q845" s="235"/>
    </row>
    <row r="846" spans="2:17">
      <c r="B846" s="241"/>
      <c r="C846" s="241"/>
      <c r="D846" s="241"/>
      <c r="E846" s="241"/>
      <c r="F846" s="259"/>
      <c r="G846" s="259"/>
      <c r="H846" s="259"/>
      <c r="I846" s="259"/>
      <c r="J846" s="259"/>
      <c r="K846" s="259"/>
      <c r="L846" s="259"/>
      <c r="M846" s="259"/>
      <c r="N846" s="259"/>
      <c r="O846" s="235"/>
      <c r="P846" s="235"/>
      <c r="Q846" s="235"/>
    </row>
    <row r="847" spans="2:17">
      <c r="B847" s="241"/>
      <c r="C847" s="241"/>
      <c r="D847" s="241"/>
      <c r="E847" s="241"/>
      <c r="F847" s="259"/>
      <c r="G847" s="259"/>
      <c r="H847" s="259"/>
      <c r="I847" s="259"/>
      <c r="J847" s="259"/>
      <c r="K847" s="259"/>
      <c r="L847" s="259"/>
      <c r="M847" s="259"/>
      <c r="N847" s="259"/>
      <c r="O847" s="235"/>
      <c r="P847" s="235"/>
      <c r="Q847" s="235"/>
    </row>
    <row r="848" spans="2:17">
      <c r="B848" s="241"/>
      <c r="C848" s="241"/>
      <c r="D848" s="241"/>
      <c r="E848" s="241"/>
      <c r="F848" s="259"/>
      <c r="G848" s="259"/>
      <c r="H848" s="259"/>
      <c r="I848" s="259"/>
      <c r="J848" s="259"/>
      <c r="K848" s="259"/>
      <c r="L848" s="259"/>
      <c r="M848" s="259"/>
      <c r="N848" s="259"/>
      <c r="O848" s="235"/>
      <c r="P848" s="235"/>
      <c r="Q848" s="235"/>
    </row>
    <row r="849" spans="2:17">
      <c r="B849" s="241"/>
      <c r="C849" s="241"/>
      <c r="D849" s="241"/>
      <c r="E849" s="241"/>
      <c r="F849" s="259"/>
      <c r="G849" s="259"/>
      <c r="H849" s="259"/>
      <c r="I849" s="259"/>
      <c r="J849" s="259"/>
      <c r="K849" s="259"/>
      <c r="L849" s="259"/>
      <c r="M849" s="259"/>
      <c r="N849" s="259"/>
      <c r="O849" s="235"/>
      <c r="P849" s="235"/>
      <c r="Q849" s="235"/>
    </row>
    <row r="850" spans="2:17">
      <c r="B850" s="241"/>
      <c r="C850" s="241"/>
      <c r="D850" s="241"/>
      <c r="E850" s="241"/>
      <c r="F850" s="259"/>
      <c r="G850" s="259"/>
      <c r="H850" s="259"/>
      <c r="I850" s="259"/>
      <c r="J850" s="259"/>
      <c r="K850" s="259"/>
      <c r="L850" s="259"/>
      <c r="M850" s="259"/>
      <c r="N850" s="259"/>
      <c r="O850" s="235"/>
      <c r="P850" s="235"/>
      <c r="Q850" s="235"/>
    </row>
    <row r="851" spans="2:17">
      <c r="B851" s="241"/>
      <c r="C851" s="241"/>
      <c r="D851" s="241"/>
      <c r="E851" s="241"/>
      <c r="F851" s="259"/>
      <c r="G851" s="259"/>
      <c r="H851" s="259"/>
      <c r="I851" s="259"/>
      <c r="J851" s="259"/>
      <c r="K851" s="259"/>
      <c r="L851" s="259"/>
      <c r="M851" s="259"/>
      <c r="N851" s="259"/>
      <c r="O851" s="235"/>
      <c r="P851" s="235"/>
      <c r="Q851" s="235"/>
    </row>
    <row r="852" spans="2:17">
      <c r="B852" s="241"/>
      <c r="C852" s="241"/>
      <c r="D852" s="241"/>
      <c r="E852" s="241"/>
      <c r="F852" s="259"/>
      <c r="G852" s="259"/>
      <c r="H852" s="259"/>
      <c r="I852" s="259"/>
      <c r="J852" s="259"/>
      <c r="K852" s="259"/>
      <c r="L852" s="259"/>
      <c r="M852" s="259"/>
      <c r="N852" s="259"/>
      <c r="O852" s="235"/>
      <c r="P852" s="235"/>
      <c r="Q852" s="235"/>
    </row>
    <row r="853" spans="2:17">
      <c r="B853" s="241"/>
      <c r="C853" s="241"/>
      <c r="D853" s="241"/>
      <c r="E853" s="241"/>
      <c r="F853" s="259"/>
      <c r="G853" s="259"/>
      <c r="H853" s="259"/>
      <c r="I853" s="259"/>
      <c r="J853" s="259"/>
      <c r="K853" s="259"/>
      <c r="L853" s="259"/>
      <c r="M853" s="259"/>
      <c r="N853" s="259"/>
      <c r="O853" s="235"/>
      <c r="P853" s="235"/>
      <c r="Q853" s="235"/>
    </row>
    <row r="854" spans="2:17">
      <c r="B854" s="241"/>
      <c r="C854" s="241"/>
      <c r="D854" s="241"/>
      <c r="E854" s="241"/>
      <c r="F854" s="259"/>
      <c r="G854" s="259"/>
      <c r="H854" s="259"/>
      <c r="I854" s="259"/>
      <c r="J854" s="259"/>
      <c r="K854" s="259"/>
      <c r="L854" s="259"/>
      <c r="M854" s="259"/>
      <c r="N854" s="259"/>
      <c r="O854" s="235"/>
      <c r="P854" s="235"/>
      <c r="Q854" s="235"/>
    </row>
    <row r="855" spans="2:17">
      <c r="B855" s="241"/>
      <c r="C855" s="241"/>
      <c r="D855" s="241"/>
      <c r="E855" s="241"/>
      <c r="F855" s="259"/>
      <c r="G855" s="259"/>
      <c r="H855" s="259"/>
      <c r="I855" s="259"/>
      <c r="J855" s="259"/>
      <c r="K855" s="259"/>
      <c r="L855" s="259"/>
      <c r="M855" s="259"/>
      <c r="N855" s="259"/>
      <c r="O855" s="235"/>
      <c r="P855" s="235"/>
      <c r="Q855" s="235"/>
    </row>
    <row r="856" spans="2:17">
      <c r="B856" s="241"/>
      <c r="C856" s="241"/>
      <c r="D856" s="241"/>
      <c r="E856" s="241"/>
      <c r="F856" s="259"/>
      <c r="G856" s="259"/>
      <c r="H856" s="259"/>
      <c r="I856" s="259"/>
      <c r="J856" s="259"/>
      <c r="K856" s="259"/>
      <c r="L856" s="259"/>
      <c r="M856" s="259"/>
      <c r="N856" s="259"/>
      <c r="O856" s="235"/>
      <c r="P856" s="235"/>
      <c r="Q856" s="235"/>
    </row>
    <row r="857" spans="2:17">
      <c r="B857" s="241"/>
      <c r="C857" s="241"/>
      <c r="D857" s="241"/>
      <c r="E857" s="241"/>
      <c r="F857" s="259"/>
      <c r="G857" s="259"/>
      <c r="H857" s="259"/>
      <c r="I857" s="259"/>
      <c r="J857" s="259"/>
      <c r="K857" s="259"/>
      <c r="L857" s="259"/>
      <c r="M857" s="259"/>
      <c r="N857" s="259"/>
      <c r="O857" s="235"/>
      <c r="P857" s="235"/>
      <c r="Q857" s="235"/>
    </row>
    <row r="858" spans="2:17">
      <c r="B858" s="241"/>
      <c r="C858" s="241"/>
      <c r="D858" s="241"/>
      <c r="E858" s="241"/>
      <c r="F858" s="259"/>
      <c r="G858" s="259"/>
      <c r="H858" s="259"/>
      <c r="I858" s="259"/>
      <c r="J858" s="259"/>
      <c r="K858" s="259"/>
      <c r="L858" s="259"/>
      <c r="M858" s="259"/>
      <c r="N858" s="259"/>
      <c r="O858" s="235"/>
      <c r="P858" s="235"/>
      <c r="Q858" s="235"/>
    </row>
    <row r="859" spans="2:17">
      <c r="B859" s="241"/>
      <c r="C859" s="241"/>
      <c r="D859" s="241"/>
      <c r="E859" s="241"/>
      <c r="F859" s="259"/>
      <c r="G859" s="259"/>
      <c r="H859" s="259"/>
      <c r="I859" s="259"/>
      <c r="J859" s="259"/>
      <c r="K859" s="259"/>
      <c r="L859" s="259"/>
      <c r="M859" s="259"/>
      <c r="N859" s="259"/>
      <c r="O859" s="235"/>
      <c r="P859" s="235"/>
      <c r="Q859" s="235"/>
    </row>
    <row r="860" spans="2:17">
      <c r="B860" s="241"/>
      <c r="C860" s="241"/>
      <c r="D860" s="241"/>
      <c r="E860" s="241"/>
      <c r="F860" s="259"/>
      <c r="G860" s="259"/>
      <c r="H860" s="259"/>
      <c r="I860" s="259"/>
      <c r="J860" s="259"/>
      <c r="K860" s="259"/>
      <c r="L860" s="259"/>
      <c r="M860" s="259"/>
      <c r="N860" s="259"/>
      <c r="O860" s="235"/>
      <c r="P860" s="235"/>
      <c r="Q860" s="235"/>
    </row>
    <row r="861" spans="2:17">
      <c r="B861" s="241"/>
      <c r="C861" s="241"/>
      <c r="D861" s="241"/>
      <c r="E861" s="241"/>
      <c r="F861" s="259"/>
      <c r="G861" s="259"/>
      <c r="H861" s="259"/>
      <c r="I861" s="259"/>
      <c r="J861" s="259"/>
      <c r="K861" s="259"/>
      <c r="L861" s="259"/>
      <c r="M861" s="259"/>
      <c r="N861" s="259"/>
      <c r="O861" s="235"/>
      <c r="P861" s="235"/>
      <c r="Q861" s="235"/>
    </row>
    <row r="862" spans="2:17">
      <c r="B862" s="241"/>
      <c r="C862" s="241"/>
      <c r="D862" s="241"/>
      <c r="E862" s="241"/>
      <c r="F862" s="259"/>
      <c r="G862" s="259"/>
      <c r="H862" s="259"/>
      <c r="I862" s="259"/>
      <c r="J862" s="259"/>
      <c r="K862" s="259"/>
      <c r="L862" s="259"/>
      <c r="M862" s="259"/>
      <c r="N862" s="259"/>
      <c r="O862" s="235"/>
      <c r="P862" s="235"/>
      <c r="Q862" s="235"/>
    </row>
    <row r="863" spans="2:17">
      <c r="B863" s="241"/>
      <c r="C863" s="241"/>
      <c r="D863" s="241"/>
      <c r="E863" s="241"/>
      <c r="F863" s="259"/>
      <c r="G863" s="259"/>
      <c r="H863" s="259"/>
      <c r="I863" s="259"/>
      <c r="J863" s="259"/>
      <c r="K863" s="259"/>
      <c r="L863" s="259"/>
      <c r="M863" s="259"/>
      <c r="N863" s="259"/>
      <c r="O863" s="235"/>
      <c r="P863" s="235"/>
      <c r="Q863" s="235"/>
    </row>
    <row r="864" spans="2:17">
      <c r="B864" s="241"/>
      <c r="C864" s="241"/>
      <c r="D864" s="241"/>
      <c r="E864" s="241"/>
      <c r="F864" s="259"/>
      <c r="G864" s="259"/>
      <c r="H864" s="259"/>
      <c r="I864" s="259"/>
      <c r="J864" s="259"/>
      <c r="K864" s="259"/>
      <c r="L864" s="259"/>
      <c r="M864" s="259"/>
      <c r="N864" s="259"/>
      <c r="O864" s="235"/>
      <c r="P864" s="235"/>
      <c r="Q864" s="235"/>
    </row>
    <row r="865" spans="2:17">
      <c r="B865" s="241"/>
      <c r="C865" s="241"/>
      <c r="D865" s="241"/>
      <c r="E865" s="241"/>
      <c r="F865" s="259"/>
      <c r="G865" s="259"/>
      <c r="H865" s="259"/>
      <c r="I865" s="259"/>
      <c r="J865" s="259"/>
      <c r="K865" s="259"/>
      <c r="L865" s="259"/>
      <c r="M865" s="259"/>
      <c r="N865" s="259"/>
      <c r="O865" s="235"/>
      <c r="P865" s="235"/>
      <c r="Q865" s="235"/>
    </row>
    <row r="866" spans="2:17">
      <c r="B866" s="241"/>
      <c r="C866" s="241"/>
      <c r="D866" s="241"/>
      <c r="E866" s="241"/>
      <c r="F866" s="259"/>
      <c r="G866" s="259"/>
      <c r="H866" s="259"/>
      <c r="I866" s="259"/>
      <c r="J866" s="259"/>
      <c r="K866" s="259"/>
      <c r="L866" s="259"/>
      <c r="M866" s="259"/>
      <c r="N866" s="259"/>
      <c r="O866" s="235"/>
      <c r="P866" s="235"/>
      <c r="Q866" s="235"/>
    </row>
    <row r="867" spans="2:17">
      <c r="B867" s="241"/>
      <c r="C867" s="241"/>
      <c r="D867" s="241"/>
      <c r="E867" s="241"/>
      <c r="F867" s="259"/>
      <c r="G867" s="259"/>
      <c r="H867" s="259"/>
      <c r="I867" s="259"/>
      <c r="J867" s="259"/>
      <c r="K867" s="259"/>
      <c r="L867" s="259"/>
      <c r="M867" s="259"/>
      <c r="N867" s="259"/>
      <c r="O867" s="235"/>
      <c r="P867" s="235"/>
      <c r="Q867" s="235"/>
    </row>
    <row r="868" spans="2:17">
      <c r="B868" s="241"/>
      <c r="C868" s="241"/>
      <c r="D868" s="241"/>
      <c r="E868" s="241"/>
      <c r="F868" s="259"/>
      <c r="G868" s="259"/>
      <c r="H868" s="259"/>
      <c r="I868" s="259"/>
      <c r="J868" s="259"/>
      <c r="K868" s="259"/>
      <c r="L868" s="259"/>
      <c r="M868" s="259"/>
      <c r="N868" s="259"/>
      <c r="O868" s="235"/>
      <c r="P868" s="235"/>
      <c r="Q868" s="235"/>
    </row>
    <row r="869" spans="2:17">
      <c r="B869" s="241"/>
      <c r="C869" s="241"/>
      <c r="D869" s="241"/>
      <c r="E869" s="241"/>
      <c r="F869" s="259"/>
      <c r="G869" s="259"/>
      <c r="H869" s="259"/>
      <c r="I869" s="259"/>
      <c r="J869" s="259"/>
      <c r="K869" s="259"/>
      <c r="L869" s="259"/>
      <c r="M869" s="259"/>
      <c r="N869" s="259"/>
      <c r="O869" s="235"/>
      <c r="P869" s="235"/>
      <c r="Q869" s="235"/>
    </row>
    <row r="870" spans="2:17">
      <c r="B870" s="241"/>
      <c r="C870" s="241"/>
      <c r="D870" s="241"/>
      <c r="E870" s="241"/>
      <c r="F870" s="259"/>
      <c r="G870" s="259"/>
      <c r="H870" s="259"/>
      <c r="I870" s="259"/>
      <c r="J870" s="259"/>
      <c r="K870" s="259"/>
      <c r="L870" s="259"/>
      <c r="M870" s="259"/>
      <c r="N870" s="259"/>
      <c r="O870" s="235"/>
      <c r="P870" s="235"/>
      <c r="Q870" s="235"/>
    </row>
    <row r="871" spans="2:17">
      <c r="B871" s="241"/>
      <c r="C871" s="241"/>
      <c r="D871" s="241"/>
      <c r="E871" s="241"/>
      <c r="F871" s="259"/>
      <c r="G871" s="259"/>
      <c r="H871" s="259"/>
      <c r="I871" s="259"/>
      <c r="J871" s="259"/>
      <c r="K871" s="259"/>
      <c r="L871" s="259"/>
      <c r="M871" s="259"/>
      <c r="N871" s="259"/>
      <c r="O871" s="235"/>
      <c r="P871" s="235"/>
      <c r="Q871" s="235"/>
    </row>
    <row r="872" spans="2:17">
      <c r="B872" s="241"/>
      <c r="C872" s="241"/>
      <c r="D872" s="241"/>
      <c r="E872" s="241"/>
      <c r="F872" s="259"/>
      <c r="G872" s="259"/>
      <c r="H872" s="259"/>
      <c r="I872" s="259"/>
      <c r="J872" s="259"/>
      <c r="K872" s="259"/>
      <c r="L872" s="259"/>
      <c r="M872" s="259"/>
      <c r="N872" s="259"/>
      <c r="O872" s="235"/>
      <c r="P872" s="235"/>
      <c r="Q872" s="235"/>
    </row>
    <row r="873" spans="2:17">
      <c r="B873" s="241"/>
      <c r="C873" s="241"/>
      <c r="D873" s="241"/>
      <c r="E873" s="241"/>
      <c r="F873" s="259"/>
      <c r="G873" s="259"/>
      <c r="H873" s="259"/>
      <c r="I873" s="259"/>
      <c r="J873" s="259"/>
      <c r="K873" s="259"/>
      <c r="L873" s="259"/>
      <c r="M873" s="259"/>
      <c r="N873" s="259"/>
      <c r="O873" s="235"/>
      <c r="P873" s="235"/>
      <c r="Q873" s="235"/>
    </row>
    <row r="874" spans="2:17">
      <c r="B874" s="241"/>
      <c r="C874" s="241"/>
      <c r="D874" s="241"/>
      <c r="E874" s="241"/>
      <c r="F874" s="259"/>
      <c r="G874" s="259"/>
      <c r="H874" s="259"/>
      <c r="I874" s="259"/>
      <c r="J874" s="259"/>
      <c r="K874" s="259"/>
      <c r="L874" s="259"/>
      <c r="M874" s="259"/>
      <c r="N874" s="259"/>
      <c r="O874" s="235"/>
      <c r="P874" s="235"/>
      <c r="Q874" s="235"/>
    </row>
    <row r="875" spans="2:17">
      <c r="B875" s="241"/>
      <c r="C875" s="241"/>
      <c r="D875" s="241"/>
      <c r="E875" s="241"/>
      <c r="F875" s="259"/>
      <c r="G875" s="259"/>
      <c r="H875" s="259"/>
      <c r="I875" s="259"/>
      <c r="J875" s="259"/>
      <c r="K875" s="259"/>
      <c r="L875" s="259"/>
      <c r="M875" s="259"/>
      <c r="N875" s="259"/>
      <c r="O875" s="235"/>
      <c r="P875" s="235"/>
      <c r="Q875" s="235"/>
    </row>
    <row r="876" spans="2:17">
      <c r="B876" s="241"/>
      <c r="C876" s="241"/>
      <c r="D876" s="241"/>
      <c r="E876" s="241"/>
      <c r="F876" s="259"/>
      <c r="G876" s="259"/>
      <c r="H876" s="259"/>
      <c r="I876" s="259"/>
      <c r="J876" s="259"/>
      <c r="K876" s="259"/>
      <c r="L876" s="259"/>
      <c r="M876" s="259"/>
      <c r="N876" s="259"/>
      <c r="O876" s="235"/>
      <c r="P876" s="235"/>
      <c r="Q876" s="235"/>
    </row>
    <row r="877" spans="2:17">
      <c r="B877" s="241"/>
      <c r="C877" s="241"/>
      <c r="D877" s="241"/>
      <c r="E877" s="241"/>
      <c r="F877" s="259"/>
      <c r="G877" s="259"/>
      <c r="H877" s="259"/>
      <c r="I877" s="259"/>
      <c r="J877" s="259"/>
      <c r="K877" s="259"/>
      <c r="L877" s="259"/>
      <c r="M877" s="259"/>
      <c r="N877" s="259"/>
      <c r="O877" s="235"/>
      <c r="P877" s="235"/>
      <c r="Q877" s="235"/>
    </row>
    <row r="878" spans="2:17">
      <c r="B878" s="241"/>
      <c r="C878" s="241"/>
      <c r="D878" s="241"/>
      <c r="E878" s="241"/>
      <c r="F878" s="259"/>
      <c r="G878" s="259"/>
      <c r="H878" s="259"/>
      <c r="I878" s="259"/>
      <c r="J878" s="259"/>
      <c r="K878" s="259"/>
      <c r="L878" s="259"/>
      <c r="M878" s="259"/>
      <c r="N878" s="259"/>
      <c r="O878" s="235"/>
      <c r="P878" s="235"/>
      <c r="Q878" s="235"/>
    </row>
    <row r="879" spans="2:17">
      <c r="B879" s="241"/>
      <c r="C879" s="241"/>
      <c r="D879" s="241"/>
      <c r="E879" s="241"/>
      <c r="F879" s="259"/>
      <c r="G879" s="259"/>
      <c r="H879" s="259"/>
      <c r="I879" s="259"/>
      <c r="J879" s="259"/>
      <c r="K879" s="259"/>
      <c r="L879" s="259"/>
      <c r="M879" s="259"/>
      <c r="N879" s="259"/>
      <c r="O879" s="235"/>
      <c r="P879" s="235"/>
      <c r="Q879" s="235"/>
    </row>
    <row r="880" spans="2:17">
      <c r="B880" s="241"/>
      <c r="C880" s="241"/>
      <c r="D880" s="241"/>
      <c r="E880" s="241"/>
      <c r="F880" s="259"/>
      <c r="G880" s="259"/>
      <c r="H880" s="259"/>
      <c r="I880" s="259"/>
      <c r="J880" s="259"/>
      <c r="K880" s="259"/>
      <c r="L880" s="259"/>
      <c r="M880" s="259"/>
      <c r="N880" s="259"/>
      <c r="O880" s="235"/>
      <c r="P880" s="235"/>
      <c r="Q880" s="235"/>
    </row>
    <row r="881" spans="2:17">
      <c r="B881" s="241"/>
      <c r="C881" s="241"/>
      <c r="D881" s="241"/>
      <c r="E881" s="241"/>
      <c r="F881" s="259"/>
      <c r="G881" s="259"/>
      <c r="H881" s="259"/>
      <c r="I881" s="259"/>
      <c r="J881" s="259"/>
      <c r="K881" s="259"/>
      <c r="L881" s="259"/>
      <c r="M881" s="259"/>
      <c r="N881" s="259"/>
      <c r="O881" s="235"/>
      <c r="P881" s="235"/>
      <c r="Q881" s="235"/>
    </row>
    <row r="882" spans="2:17">
      <c r="B882" s="241"/>
      <c r="C882" s="241"/>
      <c r="D882" s="241"/>
      <c r="E882" s="241"/>
      <c r="F882" s="259"/>
      <c r="G882" s="259"/>
      <c r="H882" s="259"/>
      <c r="I882" s="259"/>
      <c r="J882" s="259"/>
      <c r="K882" s="259"/>
      <c r="L882" s="259"/>
      <c r="M882" s="259"/>
      <c r="N882" s="259"/>
      <c r="O882" s="235"/>
      <c r="P882" s="235"/>
      <c r="Q882" s="235"/>
    </row>
    <row r="883" spans="2:17">
      <c r="B883" s="241"/>
      <c r="C883" s="241"/>
      <c r="D883" s="241"/>
      <c r="E883" s="241"/>
      <c r="F883" s="259"/>
      <c r="G883" s="259"/>
      <c r="H883" s="259"/>
      <c r="I883" s="259"/>
      <c r="J883" s="259"/>
      <c r="K883" s="259"/>
      <c r="L883" s="259"/>
      <c r="M883" s="259"/>
      <c r="N883" s="259"/>
      <c r="O883" s="235"/>
      <c r="P883" s="235"/>
      <c r="Q883" s="235"/>
    </row>
    <row r="884" spans="2:17">
      <c r="B884" s="241"/>
      <c r="C884" s="241"/>
      <c r="D884" s="241"/>
      <c r="E884" s="241"/>
      <c r="F884" s="259"/>
      <c r="G884" s="259"/>
      <c r="H884" s="259"/>
      <c r="I884" s="259"/>
      <c r="J884" s="259"/>
      <c r="K884" s="259"/>
      <c r="L884" s="259"/>
      <c r="M884" s="259"/>
      <c r="N884" s="259"/>
      <c r="O884" s="235"/>
      <c r="P884" s="235"/>
      <c r="Q884" s="235"/>
    </row>
    <row r="885" spans="2:17">
      <c r="B885" s="241"/>
      <c r="C885" s="241"/>
      <c r="D885" s="241"/>
      <c r="E885" s="241"/>
      <c r="F885" s="259"/>
      <c r="G885" s="259"/>
      <c r="H885" s="259"/>
      <c r="I885" s="259"/>
      <c r="J885" s="259"/>
      <c r="K885" s="259"/>
      <c r="L885" s="259"/>
      <c r="M885" s="259"/>
      <c r="N885" s="259"/>
      <c r="O885" s="235"/>
      <c r="P885" s="235"/>
      <c r="Q885" s="235"/>
    </row>
    <row r="886" spans="2:17">
      <c r="B886" s="241"/>
      <c r="C886" s="241"/>
      <c r="D886" s="241"/>
      <c r="E886" s="241"/>
      <c r="F886" s="259"/>
      <c r="G886" s="259"/>
      <c r="H886" s="259"/>
      <c r="I886" s="259"/>
      <c r="J886" s="259"/>
      <c r="K886" s="259"/>
      <c r="L886" s="259"/>
      <c r="M886" s="259"/>
      <c r="N886" s="259"/>
      <c r="O886" s="235"/>
      <c r="P886" s="235"/>
      <c r="Q886" s="235"/>
    </row>
    <row r="887" spans="2:17">
      <c r="B887" s="241"/>
      <c r="C887" s="241"/>
      <c r="D887" s="241"/>
      <c r="E887" s="241"/>
      <c r="F887" s="259"/>
      <c r="G887" s="259"/>
      <c r="H887" s="259"/>
      <c r="I887" s="259"/>
      <c r="J887" s="259"/>
      <c r="K887" s="259"/>
      <c r="L887" s="259"/>
      <c r="M887" s="259"/>
      <c r="N887" s="259"/>
      <c r="O887" s="235"/>
      <c r="P887" s="235"/>
      <c r="Q887" s="235"/>
    </row>
    <row r="888" spans="2:17">
      <c r="B888" s="241"/>
      <c r="C888" s="241"/>
      <c r="D888" s="241"/>
      <c r="E888" s="241"/>
      <c r="F888" s="259"/>
      <c r="G888" s="259"/>
      <c r="H888" s="259"/>
      <c r="I888" s="259"/>
      <c r="J888" s="259"/>
      <c r="K888" s="259"/>
      <c r="L888" s="259"/>
      <c r="M888" s="259"/>
      <c r="N888" s="259"/>
      <c r="O888" s="235"/>
      <c r="P888" s="235"/>
      <c r="Q888" s="235"/>
    </row>
    <row r="889" spans="2:17">
      <c r="B889" s="241"/>
      <c r="C889" s="241"/>
      <c r="D889" s="241"/>
      <c r="E889" s="241"/>
      <c r="F889" s="259"/>
      <c r="G889" s="259"/>
      <c r="H889" s="259"/>
      <c r="I889" s="259"/>
      <c r="J889" s="259"/>
      <c r="K889" s="259"/>
      <c r="L889" s="259"/>
      <c r="M889" s="259"/>
      <c r="N889" s="259"/>
      <c r="O889" s="235"/>
      <c r="P889" s="235"/>
      <c r="Q889" s="235"/>
    </row>
    <row r="890" spans="2:17">
      <c r="B890" s="241"/>
      <c r="C890" s="241"/>
      <c r="D890" s="241"/>
      <c r="E890" s="241"/>
      <c r="F890" s="259"/>
      <c r="G890" s="259"/>
      <c r="H890" s="259"/>
      <c r="I890" s="259"/>
      <c r="J890" s="259"/>
      <c r="K890" s="259"/>
      <c r="L890" s="259"/>
      <c r="M890" s="259"/>
      <c r="N890" s="259"/>
      <c r="O890" s="235"/>
      <c r="P890" s="235"/>
      <c r="Q890" s="235"/>
    </row>
    <row r="891" spans="2:17">
      <c r="B891" s="241"/>
      <c r="C891" s="241"/>
      <c r="D891" s="241"/>
      <c r="E891" s="241"/>
      <c r="F891" s="259"/>
      <c r="G891" s="259"/>
      <c r="H891" s="259"/>
      <c r="I891" s="259"/>
      <c r="J891" s="259"/>
      <c r="K891" s="259"/>
      <c r="L891" s="259"/>
      <c r="M891" s="259"/>
      <c r="N891" s="259"/>
      <c r="O891" s="235"/>
      <c r="P891" s="235"/>
      <c r="Q891" s="235"/>
    </row>
    <row r="892" spans="2:17">
      <c r="B892" s="241"/>
      <c r="C892" s="241"/>
      <c r="D892" s="241"/>
      <c r="E892" s="241"/>
      <c r="F892" s="259"/>
      <c r="G892" s="259"/>
      <c r="H892" s="259"/>
      <c r="I892" s="259"/>
      <c r="J892" s="259"/>
      <c r="K892" s="259"/>
      <c r="L892" s="259"/>
      <c r="M892" s="259"/>
      <c r="N892" s="259"/>
      <c r="O892" s="235"/>
      <c r="P892" s="235"/>
      <c r="Q892" s="235"/>
    </row>
    <row r="893" spans="2:17">
      <c r="B893" s="241"/>
      <c r="C893" s="241"/>
      <c r="D893" s="241"/>
      <c r="E893" s="241"/>
      <c r="F893" s="259"/>
      <c r="G893" s="259"/>
      <c r="H893" s="259"/>
      <c r="I893" s="259"/>
      <c r="J893" s="259"/>
      <c r="K893" s="259"/>
      <c r="L893" s="259"/>
      <c r="M893" s="259"/>
      <c r="N893" s="259"/>
      <c r="O893" s="235"/>
      <c r="P893" s="235"/>
      <c r="Q893" s="235"/>
    </row>
    <row r="894" spans="2:17">
      <c r="B894" s="241"/>
      <c r="C894" s="241"/>
      <c r="D894" s="241"/>
      <c r="E894" s="241"/>
      <c r="F894" s="259"/>
      <c r="G894" s="259"/>
      <c r="H894" s="259"/>
      <c r="I894" s="259"/>
      <c r="J894" s="259"/>
      <c r="K894" s="259"/>
      <c r="L894" s="259"/>
      <c r="M894" s="259"/>
      <c r="N894" s="259"/>
      <c r="O894" s="235"/>
      <c r="P894" s="235"/>
      <c r="Q894" s="235"/>
    </row>
    <row r="895" spans="2:17">
      <c r="B895" s="241"/>
      <c r="C895" s="241"/>
      <c r="D895" s="241"/>
      <c r="E895" s="241"/>
      <c r="F895" s="259"/>
      <c r="G895" s="259"/>
      <c r="H895" s="259"/>
      <c r="I895" s="259"/>
      <c r="J895" s="259"/>
      <c r="K895" s="259"/>
      <c r="L895" s="259"/>
      <c r="M895" s="259"/>
      <c r="N895" s="259"/>
      <c r="O895" s="235"/>
      <c r="P895" s="235"/>
      <c r="Q895" s="235"/>
    </row>
    <row r="896" spans="2:17">
      <c r="B896" s="241"/>
      <c r="C896" s="241"/>
      <c r="D896" s="241"/>
      <c r="E896" s="241"/>
      <c r="F896" s="259"/>
      <c r="G896" s="259"/>
      <c r="H896" s="259"/>
      <c r="I896" s="259"/>
      <c r="J896" s="259"/>
      <c r="K896" s="259"/>
      <c r="L896" s="259"/>
      <c r="M896" s="259"/>
      <c r="N896" s="259"/>
      <c r="O896" s="235"/>
      <c r="P896" s="235"/>
      <c r="Q896" s="235"/>
    </row>
    <row r="897" spans="2:17">
      <c r="B897" s="241"/>
      <c r="C897" s="241"/>
      <c r="D897" s="241"/>
      <c r="E897" s="241"/>
      <c r="F897" s="259"/>
      <c r="G897" s="259"/>
      <c r="H897" s="259"/>
      <c r="I897" s="259"/>
      <c r="J897" s="259"/>
      <c r="K897" s="259"/>
      <c r="L897" s="259"/>
      <c r="M897" s="259"/>
      <c r="N897" s="259"/>
      <c r="O897" s="235"/>
      <c r="P897" s="235"/>
      <c r="Q897" s="235"/>
    </row>
    <row r="898" spans="2:17">
      <c r="B898" s="241"/>
      <c r="C898" s="241"/>
      <c r="D898" s="241"/>
      <c r="E898" s="241"/>
      <c r="F898" s="259"/>
      <c r="G898" s="259"/>
      <c r="H898" s="259"/>
      <c r="I898" s="259"/>
      <c r="J898" s="259"/>
      <c r="K898" s="259"/>
      <c r="L898" s="259"/>
      <c r="M898" s="259"/>
      <c r="N898" s="259"/>
      <c r="O898" s="235"/>
      <c r="P898" s="235"/>
      <c r="Q898" s="235"/>
    </row>
    <row r="899" spans="2:17">
      <c r="B899" s="241"/>
      <c r="C899" s="241"/>
      <c r="D899" s="241"/>
      <c r="E899" s="241"/>
      <c r="F899" s="259"/>
      <c r="G899" s="259"/>
      <c r="H899" s="259"/>
      <c r="I899" s="259"/>
      <c r="J899" s="259"/>
      <c r="K899" s="259"/>
      <c r="L899" s="259"/>
      <c r="M899" s="259"/>
      <c r="N899" s="259"/>
      <c r="O899" s="235"/>
      <c r="P899" s="235"/>
      <c r="Q899" s="235"/>
    </row>
    <row r="900" spans="2:17">
      <c r="B900" s="241"/>
      <c r="C900" s="241"/>
      <c r="D900" s="241"/>
      <c r="E900" s="241"/>
      <c r="F900" s="259"/>
      <c r="G900" s="259"/>
      <c r="H900" s="259"/>
      <c r="I900" s="259"/>
      <c r="J900" s="259"/>
      <c r="K900" s="259"/>
      <c r="L900" s="259"/>
      <c r="M900" s="259"/>
      <c r="N900" s="259"/>
      <c r="O900" s="235"/>
      <c r="P900" s="235"/>
      <c r="Q900" s="235"/>
    </row>
    <row r="901" spans="2:17">
      <c r="B901" s="241"/>
      <c r="C901" s="241"/>
      <c r="D901" s="241"/>
      <c r="E901" s="241"/>
      <c r="F901" s="259"/>
      <c r="G901" s="259"/>
      <c r="H901" s="259"/>
      <c r="I901" s="259"/>
      <c r="J901" s="259"/>
      <c r="K901" s="259"/>
      <c r="L901" s="259"/>
      <c r="M901" s="259"/>
      <c r="N901" s="259"/>
      <c r="O901" s="235"/>
      <c r="P901" s="235"/>
      <c r="Q901" s="235"/>
    </row>
    <row r="902" spans="2:17">
      <c r="B902" s="241"/>
      <c r="C902" s="241"/>
      <c r="D902" s="241"/>
      <c r="E902" s="241"/>
      <c r="F902" s="259"/>
      <c r="G902" s="259"/>
      <c r="H902" s="259"/>
      <c r="I902" s="259"/>
      <c r="J902" s="259"/>
      <c r="K902" s="259"/>
      <c r="L902" s="259"/>
      <c r="M902" s="259"/>
      <c r="N902" s="259"/>
      <c r="O902" s="235"/>
      <c r="P902" s="235"/>
      <c r="Q902" s="235"/>
    </row>
    <row r="903" spans="2:17">
      <c r="B903" s="241"/>
      <c r="C903" s="241"/>
      <c r="D903" s="241"/>
      <c r="E903" s="241"/>
      <c r="F903" s="259"/>
      <c r="G903" s="259"/>
      <c r="H903" s="259"/>
      <c r="I903" s="259"/>
      <c r="J903" s="259"/>
      <c r="K903" s="259"/>
      <c r="L903" s="259"/>
      <c r="M903" s="259"/>
      <c r="N903" s="259"/>
      <c r="O903" s="235"/>
      <c r="P903" s="235"/>
      <c r="Q903" s="235"/>
    </row>
    <row r="904" spans="2:17">
      <c r="B904" s="241"/>
      <c r="C904" s="241"/>
      <c r="D904" s="241"/>
      <c r="E904" s="241"/>
      <c r="F904" s="259"/>
      <c r="G904" s="259"/>
      <c r="H904" s="259"/>
      <c r="I904" s="259"/>
      <c r="J904" s="259"/>
      <c r="K904" s="259"/>
      <c r="L904" s="259"/>
      <c r="M904" s="259"/>
      <c r="N904" s="259"/>
      <c r="O904" s="235"/>
      <c r="P904" s="235"/>
      <c r="Q904" s="235"/>
    </row>
    <row r="905" spans="2:17">
      <c r="B905" s="241"/>
      <c r="C905" s="241"/>
      <c r="D905" s="241"/>
      <c r="E905" s="241"/>
      <c r="F905" s="259"/>
      <c r="G905" s="259"/>
      <c r="H905" s="259"/>
      <c r="I905" s="259"/>
      <c r="J905" s="259"/>
      <c r="K905" s="259"/>
      <c r="L905" s="259"/>
      <c r="M905" s="259"/>
      <c r="N905" s="259"/>
      <c r="O905" s="235"/>
      <c r="P905" s="235"/>
      <c r="Q905" s="235"/>
    </row>
    <row r="906" spans="2:17">
      <c r="B906" s="241"/>
      <c r="C906" s="241"/>
      <c r="D906" s="241"/>
      <c r="E906" s="241"/>
      <c r="F906" s="259"/>
      <c r="G906" s="259"/>
      <c r="H906" s="259"/>
      <c r="I906" s="259"/>
      <c r="J906" s="259"/>
      <c r="K906" s="259"/>
      <c r="L906" s="259"/>
      <c r="M906" s="259"/>
      <c r="N906" s="259"/>
      <c r="O906" s="235"/>
      <c r="P906" s="235"/>
      <c r="Q906" s="235"/>
    </row>
    <row r="907" spans="2:17">
      <c r="B907" s="241"/>
      <c r="C907" s="241"/>
      <c r="D907" s="241"/>
      <c r="E907" s="241"/>
      <c r="F907" s="259"/>
      <c r="G907" s="259"/>
      <c r="H907" s="259"/>
      <c r="I907" s="259"/>
      <c r="J907" s="259"/>
      <c r="K907" s="259"/>
      <c r="L907" s="259"/>
      <c r="M907" s="259"/>
      <c r="N907" s="259"/>
      <c r="O907" s="235"/>
      <c r="P907" s="235"/>
      <c r="Q907" s="235"/>
    </row>
    <row r="908" spans="2:17">
      <c r="B908" s="241"/>
      <c r="C908" s="241"/>
      <c r="D908" s="241"/>
      <c r="E908" s="241"/>
      <c r="F908" s="259"/>
      <c r="G908" s="259"/>
      <c r="H908" s="259"/>
      <c r="I908" s="259"/>
      <c r="J908" s="259"/>
      <c r="K908" s="259"/>
      <c r="L908" s="259"/>
      <c r="M908" s="259"/>
      <c r="N908" s="259"/>
      <c r="O908" s="235"/>
      <c r="P908" s="235"/>
      <c r="Q908" s="235"/>
    </row>
    <row r="909" spans="2:17">
      <c r="B909" s="241"/>
      <c r="C909" s="241"/>
      <c r="D909" s="241"/>
      <c r="E909" s="241"/>
      <c r="F909" s="259"/>
      <c r="G909" s="259"/>
      <c r="H909" s="259"/>
      <c r="I909" s="259"/>
      <c r="J909" s="259"/>
      <c r="K909" s="259"/>
      <c r="L909" s="259"/>
      <c r="M909" s="259"/>
      <c r="N909" s="259"/>
      <c r="O909" s="235"/>
      <c r="P909" s="235"/>
      <c r="Q909" s="235"/>
    </row>
    <row r="910" spans="2:17">
      <c r="B910" s="241"/>
      <c r="C910" s="241"/>
      <c r="D910" s="241"/>
      <c r="E910" s="241"/>
      <c r="F910" s="259"/>
      <c r="G910" s="259"/>
      <c r="H910" s="259"/>
      <c r="I910" s="259"/>
      <c r="J910" s="259"/>
      <c r="K910" s="259"/>
      <c r="L910" s="259"/>
      <c r="M910" s="259"/>
      <c r="N910" s="259"/>
      <c r="O910" s="235"/>
      <c r="P910" s="235"/>
      <c r="Q910" s="235"/>
    </row>
    <row r="911" spans="2:17">
      <c r="B911" s="241"/>
      <c r="C911" s="241"/>
      <c r="D911" s="241"/>
      <c r="E911" s="241"/>
      <c r="F911" s="259"/>
      <c r="G911" s="259"/>
      <c r="H911" s="259"/>
      <c r="I911" s="259"/>
      <c r="J911" s="259"/>
      <c r="K911" s="259"/>
      <c r="L911" s="259"/>
      <c r="M911" s="259"/>
      <c r="N911" s="259"/>
      <c r="O911" s="235"/>
      <c r="P911" s="235"/>
      <c r="Q911" s="235"/>
    </row>
    <row r="912" spans="2:17">
      <c r="B912" s="241"/>
      <c r="C912" s="241"/>
      <c r="D912" s="241"/>
      <c r="E912" s="241"/>
      <c r="F912" s="259"/>
      <c r="G912" s="259"/>
      <c r="H912" s="259"/>
      <c r="I912" s="259"/>
      <c r="J912" s="259"/>
      <c r="K912" s="259"/>
      <c r="L912" s="259"/>
      <c r="M912" s="259"/>
      <c r="N912" s="259"/>
      <c r="O912" s="235"/>
      <c r="P912" s="235"/>
      <c r="Q912" s="235"/>
    </row>
    <row r="913" spans="2:17">
      <c r="B913" s="241"/>
      <c r="C913" s="241"/>
      <c r="D913" s="241"/>
      <c r="E913" s="241"/>
      <c r="F913" s="259"/>
      <c r="G913" s="259"/>
      <c r="H913" s="259"/>
      <c r="I913" s="259"/>
      <c r="J913" s="259"/>
      <c r="K913" s="259"/>
      <c r="L913" s="259"/>
      <c r="M913" s="259"/>
      <c r="N913" s="259"/>
      <c r="O913" s="235"/>
      <c r="P913" s="235"/>
      <c r="Q913" s="235"/>
    </row>
    <row r="914" spans="2:17">
      <c r="B914" s="241"/>
      <c r="C914" s="241"/>
      <c r="D914" s="241"/>
      <c r="E914" s="241"/>
      <c r="F914" s="259"/>
      <c r="G914" s="259"/>
      <c r="H914" s="259"/>
      <c r="I914" s="259"/>
      <c r="J914" s="259"/>
      <c r="K914" s="259"/>
      <c r="L914" s="259"/>
      <c r="M914" s="259"/>
      <c r="N914" s="259"/>
      <c r="O914" s="235"/>
      <c r="P914" s="235"/>
      <c r="Q914" s="235"/>
    </row>
    <row r="915" spans="2:17">
      <c r="B915" s="241"/>
      <c r="C915" s="241"/>
      <c r="D915" s="241"/>
      <c r="E915" s="241"/>
      <c r="F915" s="259"/>
      <c r="G915" s="259"/>
      <c r="H915" s="259"/>
      <c r="I915" s="259"/>
      <c r="J915" s="259"/>
      <c r="K915" s="259"/>
      <c r="L915" s="259"/>
      <c r="M915" s="259"/>
      <c r="N915" s="259"/>
      <c r="O915" s="235"/>
      <c r="P915" s="235"/>
      <c r="Q915" s="235"/>
    </row>
    <row r="916" spans="2:17">
      <c r="B916" s="241"/>
      <c r="C916" s="241"/>
      <c r="D916" s="241"/>
      <c r="E916" s="241"/>
      <c r="F916" s="259"/>
      <c r="G916" s="259"/>
      <c r="H916" s="259"/>
      <c r="I916" s="259"/>
      <c r="J916" s="259"/>
      <c r="K916" s="259"/>
      <c r="L916" s="259"/>
      <c r="M916" s="259"/>
      <c r="N916" s="259"/>
      <c r="O916" s="235"/>
      <c r="P916" s="235"/>
      <c r="Q916" s="235"/>
    </row>
    <row r="917" spans="2:17">
      <c r="B917" s="241"/>
      <c r="C917" s="241"/>
      <c r="D917" s="241"/>
      <c r="E917" s="241"/>
      <c r="F917" s="259"/>
      <c r="G917" s="259"/>
      <c r="H917" s="259"/>
      <c r="I917" s="259"/>
      <c r="J917" s="259"/>
      <c r="K917" s="259"/>
      <c r="L917" s="259"/>
      <c r="M917" s="259"/>
      <c r="N917" s="259"/>
      <c r="O917" s="235"/>
      <c r="P917" s="235"/>
      <c r="Q917" s="235"/>
    </row>
    <row r="918" spans="2:17">
      <c r="B918" s="241"/>
      <c r="C918" s="241"/>
      <c r="D918" s="241"/>
      <c r="E918" s="241"/>
      <c r="F918" s="259"/>
      <c r="G918" s="259"/>
      <c r="H918" s="259"/>
      <c r="I918" s="259"/>
      <c r="J918" s="259"/>
      <c r="K918" s="259"/>
      <c r="L918" s="259"/>
      <c r="M918" s="259"/>
      <c r="N918" s="259"/>
      <c r="O918" s="235"/>
      <c r="P918" s="235"/>
      <c r="Q918" s="235"/>
    </row>
    <row r="919" spans="2:17">
      <c r="B919" s="241"/>
      <c r="C919" s="241"/>
      <c r="D919" s="241"/>
      <c r="E919" s="241"/>
      <c r="F919" s="259"/>
      <c r="G919" s="259"/>
      <c r="H919" s="259"/>
      <c r="I919" s="259"/>
      <c r="J919" s="259"/>
      <c r="K919" s="259"/>
      <c r="L919" s="259"/>
      <c r="M919" s="259"/>
      <c r="N919" s="259"/>
      <c r="O919" s="235"/>
      <c r="P919" s="235"/>
      <c r="Q919" s="235"/>
    </row>
    <row r="920" spans="2:17">
      <c r="B920" s="241"/>
      <c r="C920" s="241"/>
      <c r="D920" s="241"/>
      <c r="E920" s="241"/>
      <c r="F920" s="259"/>
      <c r="G920" s="259"/>
      <c r="H920" s="259"/>
      <c r="I920" s="259"/>
      <c r="J920" s="259"/>
      <c r="K920" s="259"/>
      <c r="L920" s="259"/>
      <c r="M920" s="259"/>
      <c r="N920" s="259"/>
      <c r="O920" s="235"/>
      <c r="P920" s="235"/>
      <c r="Q920" s="235"/>
    </row>
    <row r="921" spans="2:17">
      <c r="B921" s="241"/>
      <c r="C921" s="241"/>
      <c r="D921" s="241"/>
      <c r="E921" s="241"/>
      <c r="F921" s="259"/>
      <c r="G921" s="259"/>
      <c r="H921" s="259"/>
      <c r="I921" s="259"/>
      <c r="J921" s="259"/>
      <c r="K921" s="259"/>
      <c r="L921" s="259"/>
      <c r="M921" s="259"/>
      <c r="N921" s="259"/>
      <c r="O921" s="235"/>
      <c r="P921" s="235"/>
      <c r="Q921" s="235"/>
    </row>
    <row r="922" spans="2:17">
      <c r="B922" s="241"/>
      <c r="C922" s="241"/>
      <c r="D922" s="241"/>
      <c r="E922" s="241"/>
      <c r="F922" s="259"/>
      <c r="G922" s="259"/>
      <c r="H922" s="259"/>
      <c r="I922" s="259"/>
      <c r="J922" s="259"/>
      <c r="K922" s="259"/>
      <c r="L922" s="259"/>
      <c r="M922" s="259"/>
      <c r="N922" s="259"/>
      <c r="O922" s="235"/>
      <c r="P922" s="235"/>
      <c r="Q922" s="235"/>
    </row>
    <row r="923" spans="2:17">
      <c r="B923" s="241"/>
      <c r="C923" s="241"/>
      <c r="D923" s="241"/>
      <c r="E923" s="241"/>
      <c r="F923" s="259"/>
      <c r="G923" s="259"/>
      <c r="H923" s="259"/>
      <c r="I923" s="259"/>
      <c r="J923" s="259"/>
      <c r="K923" s="259"/>
      <c r="L923" s="259"/>
      <c r="M923" s="259"/>
      <c r="N923" s="259"/>
      <c r="O923" s="235"/>
      <c r="P923" s="235"/>
      <c r="Q923" s="235"/>
    </row>
    <row r="924" spans="2:17">
      <c r="B924" s="241"/>
      <c r="C924" s="241"/>
      <c r="D924" s="241"/>
      <c r="E924" s="241"/>
      <c r="F924" s="259"/>
      <c r="G924" s="259"/>
      <c r="H924" s="259"/>
      <c r="I924" s="259"/>
      <c r="J924" s="259"/>
      <c r="K924" s="259"/>
      <c r="L924" s="259"/>
      <c r="M924" s="259"/>
      <c r="N924" s="259"/>
      <c r="O924" s="235"/>
      <c r="P924" s="235"/>
      <c r="Q924" s="235"/>
    </row>
    <row r="925" spans="2:17">
      <c r="B925" s="241"/>
      <c r="C925" s="241"/>
      <c r="D925" s="241"/>
      <c r="E925" s="241"/>
      <c r="F925" s="259"/>
      <c r="G925" s="259"/>
      <c r="H925" s="259"/>
      <c r="I925" s="259"/>
      <c r="J925" s="259"/>
      <c r="K925" s="259"/>
      <c r="L925" s="259"/>
      <c r="M925" s="259"/>
      <c r="N925" s="259"/>
      <c r="O925" s="235"/>
      <c r="P925" s="235"/>
      <c r="Q925" s="235"/>
    </row>
    <row r="926" spans="2:17">
      <c r="B926" s="241"/>
      <c r="C926" s="241"/>
      <c r="D926" s="241"/>
      <c r="E926" s="241"/>
      <c r="F926" s="259"/>
      <c r="G926" s="259"/>
      <c r="H926" s="259"/>
      <c r="I926" s="259"/>
      <c r="J926" s="259"/>
      <c r="K926" s="259"/>
      <c r="L926" s="259"/>
      <c r="M926" s="259"/>
      <c r="N926" s="259"/>
      <c r="O926" s="235"/>
      <c r="P926" s="235"/>
      <c r="Q926" s="235"/>
    </row>
    <row r="927" spans="2:17">
      <c r="B927" s="241"/>
      <c r="C927" s="241"/>
      <c r="D927" s="241"/>
      <c r="E927" s="241"/>
      <c r="F927" s="259"/>
      <c r="G927" s="259"/>
      <c r="H927" s="259"/>
      <c r="I927" s="259"/>
      <c r="J927" s="259"/>
      <c r="K927" s="259"/>
      <c r="L927" s="259"/>
      <c r="M927" s="259"/>
      <c r="N927" s="259"/>
      <c r="O927" s="235"/>
      <c r="P927" s="235"/>
      <c r="Q927" s="235"/>
    </row>
    <row r="928" spans="2:17">
      <c r="B928" s="241"/>
      <c r="C928" s="241"/>
      <c r="D928" s="241"/>
      <c r="E928" s="241"/>
      <c r="F928" s="259"/>
      <c r="G928" s="259"/>
      <c r="H928" s="259"/>
      <c r="I928" s="259"/>
      <c r="J928" s="259"/>
      <c r="K928" s="259"/>
      <c r="L928" s="259"/>
      <c r="M928" s="259"/>
      <c r="N928" s="259"/>
      <c r="O928" s="235"/>
      <c r="P928" s="235"/>
      <c r="Q928" s="235"/>
    </row>
    <row r="929" spans="2:17">
      <c r="B929" s="241"/>
      <c r="C929" s="241"/>
      <c r="D929" s="241"/>
      <c r="E929" s="241"/>
      <c r="F929" s="259"/>
      <c r="G929" s="259"/>
      <c r="H929" s="259"/>
      <c r="I929" s="259"/>
      <c r="J929" s="259"/>
      <c r="K929" s="259"/>
      <c r="L929" s="259"/>
      <c r="M929" s="259"/>
      <c r="N929" s="259"/>
      <c r="O929" s="235"/>
      <c r="P929" s="235"/>
      <c r="Q929" s="235"/>
    </row>
    <row r="930" spans="2:17">
      <c r="B930" s="241"/>
      <c r="C930" s="241"/>
      <c r="D930" s="241"/>
      <c r="E930" s="241"/>
      <c r="F930" s="259"/>
      <c r="G930" s="259"/>
      <c r="H930" s="259"/>
      <c r="I930" s="259"/>
      <c r="J930" s="259"/>
      <c r="K930" s="259"/>
      <c r="L930" s="259"/>
      <c r="M930" s="259"/>
      <c r="N930" s="259"/>
      <c r="O930" s="235"/>
      <c r="P930" s="235"/>
      <c r="Q930" s="235"/>
    </row>
    <row r="931" spans="2:17">
      <c r="B931" s="241"/>
      <c r="C931" s="241"/>
      <c r="D931" s="241"/>
      <c r="E931" s="241"/>
      <c r="F931" s="259"/>
      <c r="G931" s="259"/>
      <c r="H931" s="259"/>
      <c r="I931" s="259"/>
      <c r="J931" s="259"/>
      <c r="K931" s="259"/>
      <c r="L931" s="259"/>
      <c r="M931" s="259"/>
      <c r="N931" s="259"/>
      <c r="O931" s="235"/>
      <c r="P931" s="235"/>
      <c r="Q931" s="235"/>
    </row>
    <row r="932" spans="2:17">
      <c r="B932" s="241"/>
      <c r="C932" s="241"/>
      <c r="D932" s="241"/>
      <c r="E932" s="241"/>
      <c r="F932" s="259"/>
      <c r="G932" s="259"/>
      <c r="H932" s="259"/>
      <c r="I932" s="259"/>
      <c r="J932" s="259"/>
      <c r="K932" s="259"/>
      <c r="L932" s="259"/>
      <c r="M932" s="259"/>
      <c r="N932" s="259"/>
      <c r="O932" s="235"/>
      <c r="P932" s="235"/>
      <c r="Q932" s="235"/>
    </row>
    <row r="933" spans="2:17">
      <c r="B933" s="241"/>
      <c r="C933" s="241"/>
      <c r="D933" s="241"/>
      <c r="E933" s="241"/>
      <c r="F933" s="259"/>
      <c r="G933" s="259"/>
      <c r="H933" s="259"/>
      <c r="I933" s="259"/>
      <c r="J933" s="259"/>
      <c r="K933" s="259"/>
      <c r="L933" s="259"/>
      <c r="M933" s="259"/>
      <c r="N933" s="259"/>
      <c r="O933" s="235"/>
      <c r="P933" s="235"/>
      <c r="Q933" s="235"/>
    </row>
    <row r="934" spans="2:17">
      <c r="B934" s="241"/>
      <c r="C934" s="241"/>
      <c r="D934" s="241"/>
      <c r="E934" s="241"/>
      <c r="F934" s="259"/>
      <c r="G934" s="259"/>
      <c r="H934" s="259"/>
      <c r="I934" s="259"/>
      <c r="J934" s="259"/>
      <c r="K934" s="259"/>
      <c r="L934" s="259"/>
      <c r="M934" s="259"/>
      <c r="N934" s="259"/>
      <c r="O934" s="235"/>
      <c r="P934" s="235"/>
      <c r="Q934" s="235"/>
    </row>
    <row r="935" spans="2:17">
      <c r="B935" s="241"/>
      <c r="C935" s="241"/>
      <c r="D935" s="241"/>
      <c r="E935" s="241"/>
      <c r="F935" s="259"/>
      <c r="G935" s="259"/>
      <c r="H935" s="259"/>
      <c r="I935" s="259"/>
      <c r="J935" s="259"/>
      <c r="K935" s="259"/>
      <c r="L935" s="259"/>
      <c r="M935" s="259"/>
      <c r="N935" s="259"/>
      <c r="O935" s="235"/>
      <c r="P935" s="235"/>
      <c r="Q935" s="235"/>
    </row>
    <row r="936" spans="2:17">
      <c r="B936" s="241"/>
      <c r="C936" s="241"/>
      <c r="D936" s="241"/>
      <c r="E936" s="241"/>
      <c r="F936" s="259"/>
      <c r="G936" s="259"/>
      <c r="H936" s="259"/>
      <c r="I936" s="259"/>
      <c r="J936" s="259"/>
      <c r="K936" s="259"/>
      <c r="L936" s="259"/>
      <c r="M936" s="259"/>
      <c r="N936" s="259"/>
      <c r="O936" s="235"/>
      <c r="P936" s="235"/>
      <c r="Q936" s="235"/>
    </row>
    <row r="937" spans="2:17">
      <c r="B937" s="241"/>
      <c r="C937" s="241"/>
      <c r="D937" s="241"/>
      <c r="E937" s="241"/>
      <c r="F937" s="259"/>
      <c r="G937" s="259"/>
      <c r="H937" s="259"/>
      <c r="I937" s="259"/>
      <c r="J937" s="259"/>
      <c r="K937" s="259"/>
      <c r="L937" s="259"/>
      <c r="M937" s="259"/>
      <c r="N937" s="259"/>
      <c r="O937" s="235"/>
      <c r="P937" s="235"/>
      <c r="Q937" s="235"/>
    </row>
    <row r="938" spans="2:17">
      <c r="B938" s="241"/>
      <c r="C938" s="241"/>
      <c r="D938" s="241"/>
      <c r="E938" s="241"/>
      <c r="F938" s="259"/>
      <c r="G938" s="259"/>
      <c r="H938" s="259"/>
      <c r="I938" s="259"/>
      <c r="J938" s="259"/>
      <c r="K938" s="259"/>
      <c r="L938" s="259"/>
      <c r="M938" s="259"/>
      <c r="N938" s="259"/>
      <c r="O938" s="235"/>
      <c r="P938" s="235"/>
      <c r="Q938" s="235"/>
    </row>
    <row r="939" spans="2:17">
      <c r="B939" s="241"/>
      <c r="C939" s="241"/>
      <c r="D939" s="241"/>
      <c r="E939" s="241"/>
      <c r="F939" s="259"/>
      <c r="G939" s="259"/>
      <c r="H939" s="259"/>
      <c r="I939" s="259"/>
      <c r="J939" s="259"/>
      <c r="K939" s="259"/>
      <c r="L939" s="259"/>
      <c r="M939" s="259"/>
      <c r="N939" s="259"/>
      <c r="O939" s="235"/>
      <c r="P939" s="235"/>
      <c r="Q939" s="235"/>
    </row>
    <row r="940" spans="2:17">
      <c r="B940" s="241"/>
      <c r="C940" s="241"/>
      <c r="D940" s="241"/>
      <c r="E940" s="241"/>
      <c r="F940" s="259"/>
      <c r="G940" s="259"/>
      <c r="H940" s="259"/>
      <c r="I940" s="259"/>
      <c r="J940" s="259"/>
      <c r="K940" s="259"/>
      <c r="L940" s="259"/>
      <c r="M940" s="259"/>
      <c r="N940" s="259"/>
      <c r="O940" s="235"/>
      <c r="P940" s="235"/>
      <c r="Q940" s="235"/>
    </row>
    <row r="941" spans="2:17">
      <c r="B941" s="241"/>
      <c r="C941" s="241"/>
      <c r="D941" s="241"/>
      <c r="E941" s="241"/>
      <c r="F941" s="259"/>
      <c r="G941" s="259"/>
      <c r="H941" s="259"/>
      <c r="I941" s="259"/>
      <c r="J941" s="259"/>
      <c r="K941" s="259"/>
      <c r="L941" s="259"/>
      <c r="M941" s="259"/>
      <c r="N941" s="259"/>
      <c r="O941" s="235"/>
      <c r="P941" s="235"/>
      <c r="Q941" s="235"/>
    </row>
    <row r="942" spans="2:17">
      <c r="B942" s="241"/>
      <c r="C942" s="241"/>
      <c r="D942" s="241"/>
      <c r="E942" s="241"/>
      <c r="F942" s="259"/>
      <c r="G942" s="259"/>
      <c r="H942" s="259"/>
      <c r="I942" s="259"/>
      <c r="J942" s="259"/>
      <c r="K942" s="259"/>
      <c r="L942" s="259"/>
      <c r="M942" s="259"/>
      <c r="N942" s="259"/>
      <c r="O942" s="235"/>
      <c r="P942" s="235"/>
      <c r="Q942" s="235"/>
    </row>
    <row r="943" spans="2:17">
      <c r="B943" s="241"/>
      <c r="C943" s="241"/>
      <c r="D943" s="241"/>
      <c r="E943" s="241"/>
      <c r="F943" s="259"/>
      <c r="G943" s="259"/>
      <c r="H943" s="259"/>
      <c r="I943" s="259"/>
      <c r="J943" s="259"/>
      <c r="K943" s="259"/>
      <c r="L943" s="259"/>
      <c r="M943" s="259"/>
      <c r="N943" s="259"/>
      <c r="O943" s="235"/>
      <c r="P943" s="235"/>
      <c r="Q943" s="235"/>
    </row>
    <row r="944" spans="2:17">
      <c r="B944" s="241"/>
      <c r="C944" s="241"/>
      <c r="D944" s="241"/>
      <c r="E944" s="241"/>
      <c r="F944" s="259"/>
      <c r="G944" s="259"/>
      <c r="H944" s="259"/>
      <c r="I944" s="259"/>
      <c r="J944" s="259"/>
      <c r="K944" s="259"/>
      <c r="L944" s="259"/>
      <c r="M944" s="259"/>
      <c r="N944" s="259"/>
      <c r="O944" s="235"/>
      <c r="P944" s="235"/>
      <c r="Q944" s="235"/>
    </row>
    <row r="945" spans="2:17">
      <c r="B945" s="241"/>
      <c r="C945" s="241"/>
      <c r="D945" s="241"/>
      <c r="E945" s="241"/>
      <c r="F945" s="259"/>
      <c r="G945" s="259"/>
      <c r="H945" s="259"/>
      <c r="I945" s="259"/>
      <c r="J945" s="259"/>
      <c r="K945" s="259"/>
      <c r="L945" s="259"/>
      <c r="M945" s="259"/>
      <c r="N945" s="259"/>
      <c r="O945" s="235"/>
      <c r="P945" s="235"/>
      <c r="Q945" s="235"/>
    </row>
    <row r="946" spans="2:17">
      <c r="B946" s="241"/>
      <c r="C946" s="241"/>
      <c r="D946" s="241"/>
      <c r="E946" s="241"/>
      <c r="F946" s="259"/>
      <c r="G946" s="259"/>
      <c r="H946" s="259"/>
      <c r="I946" s="259"/>
      <c r="J946" s="259"/>
      <c r="K946" s="259"/>
      <c r="L946" s="259"/>
      <c r="M946" s="259"/>
      <c r="N946" s="259"/>
      <c r="O946" s="235"/>
      <c r="P946" s="235"/>
      <c r="Q946" s="235"/>
    </row>
    <row r="947" spans="2:17">
      <c r="B947" s="241"/>
      <c r="C947" s="241"/>
      <c r="D947" s="241"/>
      <c r="E947" s="241"/>
      <c r="F947" s="259"/>
      <c r="G947" s="259"/>
      <c r="H947" s="259"/>
      <c r="I947" s="259"/>
      <c r="J947" s="259"/>
      <c r="K947" s="259"/>
      <c r="L947" s="259"/>
      <c r="M947" s="259"/>
      <c r="N947" s="259"/>
      <c r="O947" s="235"/>
      <c r="P947" s="235"/>
      <c r="Q947" s="235"/>
    </row>
    <row r="948" spans="2:17">
      <c r="B948" s="241"/>
      <c r="C948" s="241"/>
      <c r="D948" s="241"/>
      <c r="E948" s="241"/>
      <c r="F948" s="259"/>
      <c r="G948" s="259"/>
      <c r="H948" s="259"/>
      <c r="I948" s="259"/>
      <c r="J948" s="259"/>
      <c r="K948" s="259"/>
      <c r="L948" s="259"/>
      <c r="M948" s="259"/>
      <c r="N948" s="259"/>
      <c r="O948" s="235"/>
      <c r="P948" s="235"/>
      <c r="Q948" s="235"/>
    </row>
    <row r="949" spans="2:17">
      <c r="B949" s="241"/>
      <c r="C949" s="241"/>
      <c r="D949" s="241"/>
      <c r="E949" s="241"/>
      <c r="F949" s="259"/>
      <c r="G949" s="259"/>
      <c r="H949" s="259"/>
      <c r="I949" s="259"/>
      <c r="J949" s="259"/>
      <c r="K949" s="259"/>
      <c r="L949" s="259"/>
      <c r="M949" s="259"/>
      <c r="N949" s="259"/>
      <c r="O949" s="235"/>
      <c r="P949" s="235"/>
      <c r="Q949" s="235"/>
    </row>
    <row r="950" spans="2:17">
      <c r="B950" s="241"/>
      <c r="C950" s="241"/>
      <c r="D950" s="241"/>
      <c r="E950" s="241"/>
      <c r="F950" s="259"/>
      <c r="G950" s="259"/>
      <c r="H950" s="259"/>
      <c r="I950" s="259"/>
      <c r="J950" s="259"/>
      <c r="K950" s="259"/>
      <c r="L950" s="259"/>
      <c r="M950" s="259"/>
      <c r="N950" s="259"/>
      <c r="O950" s="235"/>
      <c r="P950" s="235"/>
      <c r="Q950" s="235"/>
    </row>
    <row r="951" spans="2:17">
      <c r="B951" s="241"/>
      <c r="C951" s="241"/>
      <c r="D951" s="241"/>
      <c r="E951" s="241"/>
      <c r="F951" s="259"/>
      <c r="G951" s="259"/>
      <c r="H951" s="259"/>
      <c r="I951" s="259"/>
      <c r="J951" s="259"/>
      <c r="K951" s="259"/>
      <c r="L951" s="259"/>
      <c r="M951" s="259"/>
      <c r="N951" s="259"/>
      <c r="O951" s="235"/>
      <c r="P951" s="235"/>
      <c r="Q951" s="235"/>
    </row>
    <row r="952" spans="2:17">
      <c r="B952" s="241"/>
      <c r="C952" s="241"/>
      <c r="D952" s="241"/>
      <c r="E952" s="241"/>
      <c r="F952" s="259"/>
      <c r="G952" s="259"/>
      <c r="H952" s="259"/>
      <c r="I952" s="259"/>
      <c r="J952" s="259"/>
      <c r="K952" s="259"/>
      <c r="L952" s="259"/>
      <c r="M952" s="259"/>
      <c r="N952" s="259"/>
      <c r="O952" s="235"/>
      <c r="P952" s="235"/>
      <c r="Q952" s="235"/>
    </row>
    <row r="953" spans="2:17">
      <c r="B953" s="241"/>
      <c r="C953" s="241"/>
      <c r="D953" s="241"/>
      <c r="E953" s="241"/>
      <c r="F953" s="259"/>
      <c r="G953" s="259"/>
      <c r="H953" s="259"/>
      <c r="I953" s="259"/>
      <c r="J953" s="259"/>
      <c r="K953" s="259"/>
      <c r="L953" s="259"/>
      <c r="M953" s="259"/>
      <c r="N953" s="259"/>
      <c r="O953" s="235"/>
      <c r="P953" s="235"/>
      <c r="Q953" s="235"/>
    </row>
    <row r="954" spans="2:17">
      <c r="B954" s="241"/>
      <c r="C954" s="241"/>
      <c r="D954" s="241"/>
      <c r="E954" s="241"/>
      <c r="F954" s="259"/>
      <c r="G954" s="259"/>
      <c r="H954" s="259"/>
      <c r="I954" s="259"/>
      <c r="J954" s="259"/>
      <c r="K954" s="259"/>
      <c r="L954" s="259"/>
      <c r="M954" s="259"/>
      <c r="N954" s="259"/>
      <c r="O954" s="235"/>
      <c r="P954" s="235"/>
      <c r="Q954" s="235"/>
    </row>
    <row r="955" spans="2:17">
      <c r="B955" s="241"/>
      <c r="C955" s="241"/>
      <c r="D955" s="241"/>
      <c r="E955" s="241"/>
      <c r="F955" s="259"/>
      <c r="G955" s="259"/>
      <c r="H955" s="259"/>
      <c r="I955" s="259"/>
      <c r="J955" s="259"/>
      <c r="K955" s="259"/>
      <c r="L955" s="259"/>
      <c r="M955" s="259"/>
      <c r="N955" s="259"/>
      <c r="O955" s="235"/>
      <c r="P955" s="235"/>
      <c r="Q955" s="235"/>
    </row>
    <row r="956" spans="2:17">
      <c r="B956" s="241"/>
      <c r="C956" s="241"/>
      <c r="D956" s="241"/>
      <c r="E956" s="241"/>
      <c r="F956" s="259"/>
      <c r="G956" s="259"/>
      <c r="H956" s="259"/>
      <c r="I956" s="259"/>
      <c r="J956" s="259"/>
      <c r="K956" s="259"/>
      <c r="L956" s="259"/>
      <c r="M956" s="259"/>
      <c r="N956" s="259"/>
      <c r="O956" s="235"/>
      <c r="P956" s="235"/>
      <c r="Q956" s="235"/>
    </row>
    <row r="957" spans="2:17">
      <c r="B957" s="241"/>
      <c r="C957" s="241"/>
      <c r="D957" s="241"/>
      <c r="E957" s="241"/>
      <c r="F957" s="259"/>
      <c r="G957" s="259"/>
      <c r="H957" s="259"/>
      <c r="I957" s="259"/>
      <c r="J957" s="259"/>
      <c r="K957" s="259"/>
      <c r="L957" s="259"/>
      <c r="M957" s="259"/>
      <c r="N957" s="259"/>
      <c r="O957" s="235"/>
      <c r="P957" s="235"/>
      <c r="Q957" s="235"/>
    </row>
    <row r="958" spans="2:17">
      <c r="B958" s="241"/>
      <c r="C958" s="241"/>
      <c r="D958" s="241"/>
      <c r="E958" s="241"/>
      <c r="F958" s="259"/>
      <c r="G958" s="259"/>
      <c r="H958" s="259"/>
      <c r="I958" s="259"/>
      <c r="J958" s="259"/>
      <c r="K958" s="259"/>
      <c r="L958" s="259"/>
      <c r="M958" s="259"/>
      <c r="N958" s="259"/>
      <c r="O958" s="235"/>
      <c r="P958" s="235"/>
      <c r="Q958" s="235"/>
    </row>
    <row r="959" spans="2:17">
      <c r="B959" s="241"/>
      <c r="C959" s="241"/>
      <c r="D959" s="241"/>
      <c r="E959" s="241"/>
      <c r="F959" s="259"/>
      <c r="G959" s="259"/>
      <c r="H959" s="259"/>
      <c r="I959" s="259"/>
      <c r="J959" s="259"/>
      <c r="K959" s="259"/>
      <c r="L959" s="259"/>
      <c r="M959" s="259"/>
      <c r="N959" s="259"/>
      <c r="O959" s="235"/>
      <c r="P959" s="235"/>
      <c r="Q959" s="235"/>
    </row>
    <row r="960" spans="2:17">
      <c r="B960" s="241"/>
      <c r="C960" s="241"/>
      <c r="D960" s="241"/>
      <c r="E960" s="241"/>
      <c r="F960" s="259"/>
      <c r="G960" s="259"/>
      <c r="H960" s="259"/>
      <c r="I960" s="259"/>
      <c r="J960" s="259"/>
      <c r="K960" s="259"/>
      <c r="L960" s="259"/>
      <c r="M960" s="259"/>
      <c r="N960" s="259"/>
      <c r="O960" s="235"/>
      <c r="P960" s="235"/>
      <c r="Q960" s="235"/>
    </row>
    <row r="961" spans="2:17">
      <c r="B961" s="241"/>
      <c r="C961" s="241"/>
      <c r="D961" s="241"/>
      <c r="E961" s="241"/>
      <c r="F961" s="259"/>
      <c r="G961" s="259"/>
      <c r="H961" s="259"/>
      <c r="I961" s="259"/>
      <c r="J961" s="259"/>
      <c r="K961" s="259"/>
      <c r="L961" s="259"/>
      <c r="M961" s="259"/>
      <c r="N961" s="259"/>
      <c r="O961" s="235"/>
      <c r="P961" s="235"/>
      <c r="Q961" s="235"/>
    </row>
    <row r="962" spans="2:17">
      <c r="B962" s="241"/>
      <c r="C962" s="241"/>
      <c r="D962" s="241"/>
      <c r="E962" s="241"/>
      <c r="F962" s="259"/>
      <c r="G962" s="259"/>
      <c r="H962" s="259"/>
      <c r="I962" s="259"/>
      <c r="J962" s="259"/>
      <c r="K962" s="259"/>
      <c r="L962" s="259"/>
      <c r="M962" s="259"/>
      <c r="N962" s="259"/>
      <c r="O962" s="235"/>
      <c r="P962" s="235"/>
      <c r="Q962" s="235"/>
    </row>
    <row r="963" spans="2:17">
      <c r="B963" s="241"/>
      <c r="C963" s="241"/>
      <c r="D963" s="241"/>
      <c r="E963" s="241"/>
      <c r="F963" s="259"/>
      <c r="G963" s="259"/>
      <c r="H963" s="259"/>
      <c r="I963" s="259"/>
      <c r="J963" s="259"/>
      <c r="K963" s="259"/>
      <c r="L963" s="259"/>
      <c r="M963" s="259"/>
      <c r="N963" s="259"/>
      <c r="O963" s="235"/>
      <c r="P963" s="235"/>
      <c r="Q963" s="235"/>
    </row>
    <row r="964" spans="2:17">
      <c r="B964" s="241"/>
      <c r="C964" s="241"/>
      <c r="D964" s="241"/>
      <c r="E964" s="241"/>
      <c r="F964" s="259"/>
      <c r="G964" s="259"/>
      <c r="H964" s="259"/>
      <c r="I964" s="259"/>
      <c r="J964" s="259"/>
      <c r="K964" s="259"/>
      <c r="L964" s="259"/>
      <c r="M964" s="259"/>
      <c r="N964" s="259"/>
      <c r="O964" s="235"/>
      <c r="P964" s="235"/>
      <c r="Q964" s="235"/>
    </row>
    <row r="965" spans="2:17">
      <c r="B965" s="241"/>
      <c r="C965" s="241"/>
      <c r="D965" s="241"/>
      <c r="E965" s="241"/>
      <c r="F965" s="259"/>
      <c r="G965" s="259"/>
      <c r="H965" s="259"/>
      <c r="I965" s="259"/>
      <c r="J965" s="259"/>
      <c r="K965" s="259"/>
      <c r="L965" s="259"/>
      <c r="M965" s="259"/>
      <c r="N965" s="259"/>
      <c r="O965" s="235"/>
      <c r="P965" s="235"/>
      <c r="Q965" s="235"/>
    </row>
    <row r="966" spans="2:17">
      <c r="B966" s="241"/>
      <c r="C966" s="241"/>
      <c r="D966" s="241"/>
      <c r="E966" s="241"/>
      <c r="F966" s="259"/>
      <c r="G966" s="259"/>
      <c r="H966" s="259"/>
      <c r="I966" s="259"/>
      <c r="J966" s="259"/>
      <c r="K966" s="259"/>
      <c r="L966" s="259"/>
      <c r="M966" s="259"/>
      <c r="N966" s="259"/>
      <c r="O966" s="235"/>
      <c r="P966" s="235"/>
      <c r="Q966" s="235"/>
    </row>
    <row r="967" spans="2:17">
      <c r="B967" s="241"/>
      <c r="C967" s="241"/>
      <c r="D967" s="241"/>
      <c r="E967" s="241"/>
      <c r="F967" s="259"/>
      <c r="G967" s="259"/>
      <c r="H967" s="259"/>
      <c r="I967" s="259"/>
      <c r="J967" s="259"/>
      <c r="K967" s="259"/>
      <c r="L967" s="259"/>
      <c r="M967" s="259"/>
      <c r="N967" s="259"/>
      <c r="O967" s="235"/>
      <c r="P967" s="235"/>
      <c r="Q967" s="235"/>
    </row>
    <row r="968" spans="2:17">
      <c r="B968" s="241"/>
      <c r="C968" s="241"/>
      <c r="D968" s="241"/>
      <c r="E968" s="241"/>
      <c r="F968" s="259"/>
      <c r="G968" s="259"/>
      <c r="H968" s="259"/>
      <c r="I968" s="259"/>
      <c r="J968" s="259"/>
      <c r="K968" s="259"/>
      <c r="L968" s="259"/>
      <c r="M968" s="259"/>
      <c r="N968" s="259"/>
      <c r="O968" s="235"/>
      <c r="P968" s="235"/>
      <c r="Q968" s="235"/>
    </row>
    <row r="969" spans="2:17">
      <c r="B969" s="241"/>
      <c r="C969" s="241"/>
      <c r="D969" s="241"/>
      <c r="E969" s="241"/>
      <c r="F969" s="259"/>
      <c r="G969" s="259"/>
      <c r="H969" s="259"/>
      <c r="I969" s="259"/>
      <c r="J969" s="259"/>
      <c r="K969" s="259"/>
      <c r="L969" s="259"/>
      <c r="M969" s="259"/>
      <c r="N969" s="259"/>
      <c r="O969" s="235"/>
      <c r="P969" s="235"/>
      <c r="Q969" s="235"/>
    </row>
    <row r="970" spans="2:17">
      <c r="B970" s="241"/>
      <c r="C970" s="241"/>
      <c r="D970" s="241"/>
      <c r="E970" s="241"/>
      <c r="F970" s="259"/>
      <c r="G970" s="259"/>
      <c r="H970" s="259"/>
      <c r="I970" s="259"/>
      <c r="J970" s="259"/>
      <c r="K970" s="259"/>
      <c r="L970" s="259"/>
      <c r="M970" s="259"/>
      <c r="N970" s="259"/>
      <c r="O970" s="235"/>
      <c r="P970" s="235"/>
      <c r="Q970" s="235"/>
    </row>
    <row r="971" spans="2:17">
      <c r="B971" s="241"/>
      <c r="C971" s="241"/>
      <c r="D971" s="241"/>
      <c r="E971" s="241"/>
      <c r="F971" s="259"/>
      <c r="G971" s="259"/>
      <c r="H971" s="259"/>
      <c r="I971" s="259"/>
      <c r="J971" s="259"/>
      <c r="K971" s="259"/>
      <c r="L971" s="259"/>
      <c r="M971" s="259"/>
      <c r="N971" s="259"/>
      <c r="O971" s="235"/>
      <c r="P971" s="235"/>
      <c r="Q971" s="235"/>
    </row>
    <row r="972" spans="2:17">
      <c r="B972" s="241"/>
      <c r="C972" s="241"/>
      <c r="D972" s="241"/>
      <c r="E972" s="241"/>
      <c r="F972" s="259"/>
      <c r="G972" s="259"/>
      <c r="H972" s="259"/>
      <c r="I972" s="259"/>
      <c r="J972" s="259"/>
      <c r="K972" s="259"/>
      <c r="L972" s="259"/>
      <c r="M972" s="259"/>
      <c r="N972" s="259"/>
      <c r="O972" s="235"/>
      <c r="P972" s="235"/>
      <c r="Q972" s="235"/>
    </row>
    <row r="973" spans="2:17">
      <c r="B973" s="241"/>
      <c r="C973" s="241"/>
      <c r="D973" s="241"/>
      <c r="E973" s="241"/>
      <c r="F973" s="259"/>
      <c r="G973" s="259"/>
      <c r="H973" s="259"/>
      <c r="I973" s="259"/>
      <c r="J973" s="259"/>
      <c r="K973" s="259"/>
      <c r="L973" s="259"/>
      <c r="M973" s="259"/>
      <c r="N973" s="259"/>
      <c r="O973" s="235"/>
      <c r="P973" s="235"/>
      <c r="Q973" s="235"/>
    </row>
    <row r="974" spans="2:17">
      <c r="B974" s="241"/>
      <c r="C974" s="241"/>
      <c r="D974" s="241"/>
      <c r="E974" s="241"/>
      <c r="F974" s="259"/>
      <c r="G974" s="259"/>
      <c r="H974" s="259"/>
      <c r="I974" s="259"/>
      <c r="J974" s="259"/>
      <c r="K974" s="259"/>
      <c r="L974" s="259"/>
      <c r="M974" s="259"/>
      <c r="N974" s="259"/>
      <c r="O974" s="235"/>
      <c r="P974" s="235"/>
      <c r="Q974" s="235"/>
    </row>
    <row r="975" spans="2:17">
      <c r="B975" s="241"/>
      <c r="C975" s="241"/>
      <c r="D975" s="241"/>
      <c r="E975" s="241"/>
      <c r="F975" s="259"/>
      <c r="G975" s="259"/>
      <c r="H975" s="259"/>
      <c r="I975" s="259"/>
      <c r="J975" s="259"/>
      <c r="K975" s="259"/>
      <c r="L975" s="259"/>
      <c r="M975" s="259"/>
      <c r="N975" s="259"/>
      <c r="O975" s="235"/>
      <c r="P975" s="235"/>
      <c r="Q975" s="235"/>
    </row>
    <row r="976" spans="2:17">
      <c r="B976" s="241"/>
      <c r="C976" s="241"/>
      <c r="D976" s="241"/>
      <c r="E976" s="241"/>
      <c r="F976" s="259"/>
      <c r="G976" s="259"/>
      <c r="H976" s="259"/>
      <c r="I976" s="259"/>
      <c r="J976" s="259"/>
      <c r="K976" s="259"/>
      <c r="L976" s="259"/>
      <c r="M976" s="259"/>
      <c r="N976" s="259"/>
      <c r="O976" s="235"/>
      <c r="P976" s="235"/>
      <c r="Q976" s="235"/>
    </row>
    <row r="977" spans="2:17">
      <c r="B977" s="241"/>
      <c r="C977" s="241"/>
      <c r="D977" s="241"/>
      <c r="E977" s="241"/>
      <c r="F977" s="259"/>
      <c r="G977" s="259"/>
      <c r="H977" s="259"/>
      <c r="I977" s="259"/>
      <c r="J977" s="259"/>
      <c r="K977" s="259"/>
      <c r="L977" s="259"/>
      <c r="M977" s="259"/>
      <c r="N977" s="259"/>
      <c r="O977" s="235"/>
      <c r="P977" s="235"/>
      <c r="Q977" s="235"/>
    </row>
    <row r="978" spans="2:17">
      <c r="B978" s="241"/>
      <c r="C978" s="241"/>
      <c r="D978" s="241"/>
      <c r="E978" s="241"/>
      <c r="F978" s="259"/>
      <c r="G978" s="259"/>
      <c r="H978" s="259"/>
      <c r="I978" s="259"/>
      <c r="J978" s="259"/>
      <c r="K978" s="259"/>
      <c r="L978" s="259"/>
      <c r="M978" s="259"/>
      <c r="N978" s="259"/>
      <c r="O978" s="235"/>
      <c r="P978" s="235"/>
      <c r="Q978" s="235"/>
    </row>
    <row r="979" spans="2:17">
      <c r="B979" s="241"/>
      <c r="C979" s="241"/>
      <c r="D979" s="241"/>
      <c r="E979" s="241"/>
      <c r="F979" s="259"/>
      <c r="G979" s="259"/>
      <c r="H979" s="259"/>
      <c r="I979" s="259"/>
      <c r="J979" s="259"/>
      <c r="K979" s="259"/>
      <c r="L979" s="259"/>
      <c r="M979" s="259"/>
      <c r="N979" s="259"/>
      <c r="O979" s="235"/>
      <c r="P979" s="235"/>
      <c r="Q979" s="235"/>
    </row>
    <row r="980" spans="2:17">
      <c r="B980" s="241"/>
      <c r="C980" s="241"/>
      <c r="D980" s="241"/>
      <c r="E980" s="241"/>
      <c r="F980" s="259"/>
      <c r="G980" s="259"/>
      <c r="H980" s="259"/>
      <c r="I980" s="259"/>
      <c r="J980" s="259"/>
      <c r="K980" s="259"/>
      <c r="L980" s="259"/>
      <c r="M980" s="259"/>
      <c r="N980" s="259"/>
      <c r="O980" s="235"/>
      <c r="P980" s="235"/>
      <c r="Q980" s="235"/>
    </row>
    <row r="981" spans="2:17">
      <c r="B981" s="241"/>
      <c r="C981" s="241"/>
      <c r="D981" s="241"/>
      <c r="E981" s="241"/>
      <c r="F981" s="259"/>
      <c r="G981" s="259"/>
      <c r="H981" s="259"/>
      <c r="I981" s="259"/>
      <c r="J981" s="259"/>
      <c r="K981" s="259"/>
      <c r="L981" s="259"/>
      <c r="M981" s="259"/>
      <c r="N981" s="259"/>
      <c r="O981" s="235"/>
      <c r="P981" s="235"/>
      <c r="Q981" s="235"/>
    </row>
    <row r="982" spans="2:17">
      <c r="B982" s="241"/>
      <c r="C982" s="241"/>
      <c r="D982" s="241"/>
      <c r="E982" s="241"/>
      <c r="F982" s="259"/>
      <c r="G982" s="259"/>
      <c r="H982" s="259"/>
      <c r="I982" s="259"/>
      <c r="J982" s="259"/>
      <c r="K982" s="259"/>
      <c r="L982" s="259"/>
      <c r="M982" s="259"/>
      <c r="N982" s="259"/>
      <c r="O982" s="235"/>
      <c r="P982" s="235"/>
      <c r="Q982" s="235"/>
    </row>
    <row r="983" spans="2:17">
      <c r="B983" s="241"/>
      <c r="C983" s="241"/>
      <c r="D983" s="241"/>
      <c r="E983" s="241"/>
      <c r="F983" s="259"/>
      <c r="G983" s="259"/>
      <c r="H983" s="259"/>
      <c r="I983" s="259"/>
      <c r="J983" s="259"/>
      <c r="K983" s="259"/>
      <c r="L983" s="259"/>
      <c r="M983" s="259"/>
      <c r="N983" s="259"/>
      <c r="O983" s="235"/>
      <c r="P983" s="235"/>
      <c r="Q983" s="235"/>
    </row>
    <row r="984" spans="2:17">
      <c r="B984" s="241"/>
      <c r="C984" s="241"/>
      <c r="D984" s="241"/>
      <c r="E984" s="241"/>
      <c r="F984" s="259"/>
      <c r="G984" s="259"/>
      <c r="H984" s="259"/>
      <c r="I984" s="259"/>
      <c r="J984" s="259"/>
      <c r="K984" s="259"/>
      <c r="L984" s="259"/>
      <c r="M984" s="259"/>
      <c r="N984" s="259"/>
      <c r="O984" s="235"/>
      <c r="P984" s="235"/>
      <c r="Q984" s="235"/>
    </row>
    <row r="985" spans="2:17">
      <c r="B985" s="241"/>
      <c r="C985" s="241"/>
      <c r="D985" s="241"/>
      <c r="E985" s="241"/>
      <c r="F985" s="259"/>
      <c r="G985" s="259"/>
      <c r="H985" s="259"/>
      <c r="I985" s="259"/>
      <c r="J985" s="259"/>
      <c r="K985" s="259"/>
      <c r="L985" s="259"/>
      <c r="M985" s="259"/>
      <c r="N985" s="259"/>
      <c r="O985" s="235"/>
      <c r="P985" s="235"/>
      <c r="Q985" s="235"/>
    </row>
    <row r="986" spans="2:17">
      <c r="B986" s="241"/>
      <c r="C986" s="241"/>
      <c r="D986" s="241"/>
      <c r="E986" s="241"/>
      <c r="F986" s="259"/>
      <c r="G986" s="259"/>
      <c r="H986" s="259"/>
      <c r="I986" s="259"/>
      <c r="J986" s="259"/>
      <c r="K986" s="259"/>
      <c r="L986" s="259"/>
      <c r="M986" s="259"/>
      <c r="N986" s="259"/>
      <c r="O986" s="235"/>
      <c r="P986" s="235"/>
      <c r="Q986" s="235"/>
    </row>
    <row r="987" spans="2:17">
      <c r="B987" s="241"/>
      <c r="C987" s="241"/>
      <c r="D987" s="241"/>
      <c r="E987" s="241"/>
      <c r="F987" s="259"/>
      <c r="G987" s="259"/>
      <c r="H987" s="259"/>
      <c r="I987" s="259"/>
      <c r="J987" s="259"/>
      <c r="K987" s="259"/>
      <c r="L987" s="259"/>
      <c r="M987" s="259"/>
      <c r="N987" s="259"/>
      <c r="O987" s="235"/>
      <c r="P987" s="235"/>
      <c r="Q987" s="235"/>
    </row>
    <row r="988" spans="2:17">
      <c r="B988" s="241"/>
      <c r="C988" s="241"/>
      <c r="D988" s="241"/>
      <c r="E988" s="241"/>
      <c r="F988" s="259"/>
      <c r="G988" s="259"/>
      <c r="H988" s="259"/>
      <c r="I988" s="259"/>
      <c r="J988" s="259"/>
      <c r="K988" s="259"/>
      <c r="L988" s="259"/>
      <c r="M988" s="259"/>
      <c r="N988" s="259"/>
      <c r="O988" s="235"/>
      <c r="P988" s="235"/>
      <c r="Q988" s="235"/>
    </row>
    <row r="989" spans="2:17">
      <c r="B989" s="241"/>
      <c r="C989" s="241"/>
      <c r="D989" s="241"/>
      <c r="E989" s="241"/>
      <c r="F989" s="259"/>
      <c r="G989" s="259"/>
      <c r="H989" s="259"/>
      <c r="I989" s="259"/>
      <c r="J989" s="259"/>
      <c r="K989" s="259"/>
      <c r="L989" s="259"/>
      <c r="M989" s="259"/>
      <c r="N989" s="259"/>
      <c r="O989" s="235"/>
      <c r="P989" s="235"/>
      <c r="Q989" s="235"/>
    </row>
    <row r="990" spans="2:17">
      <c r="B990" s="241"/>
      <c r="C990" s="241"/>
      <c r="D990" s="241"/>
      <c r="E990" s="241"/>
      <c r="F990" s="259"/>
      <c r="G990" s="259"/>
      <c r="H990" s="259"/>
      <c r="I990" s="259"/>
      <c r="J990" s="259"/>
      <c r="K990" s="259"/>
      <c r="L990" s="259"/>
      <c r="M990" s="259"/>
      <c r="N990" s="259"/>
      <c r="O990" s="235"/>
      <c r="P990" s="235"/>
      <c r="Q990" s="235"/>
    </row>
    <row r="991" spans="2:17">
      <c r="B991" s="241"/>
      <c r="C991" s="241"/>
      <c r="D991" s="241"/>
      <c r="E991" s="241"/>
      <c r="F991" s="259"/>
      <c r="G991" s="259"/>
      <c r="H991" s="259"/>
      <c r="I991" s="259"/>
      <c r="J991" s="259"/>
      <c r="K991" s="259"/>
      <c r="L991" s="259"/>
      <c r="M991" s="259"/>
      <c r="N991" s="259"/>
      <c r="O991" s="235"/>
      <c r="P991" s="235"/>
      <c r="Q991" s="235"/>
    </row>
    <row r="992" spans="2:17">
      <c r="B992" s="241"/>
      <c r="C992" s="241"/>
      <c r="D992" s="241"/>
      <c r="E992" s="241"/>
      <c r="F992" s="259"/>
      <c r="G992" s="259"/>
      <c r="H992" s="259"/>
      <c r="I992" s="259"/>
      <c r="J992" s="259"/>
      <c r="K992" s="259"/>
      <c r="L992" s="259"/>
      <c r="M992" s="259"/>
      <c r="N992" s="259"/>
      <c r="O992" s="235"/>
      <c r="P992" s="235"/>
      <c r="Q992" s="235"/>
    </row>
    <row r="993" spans="2:17">
      <c r="B993" s="241"/>
      <c r="C993" s="241"/>
      <c r="D993" s="241"/>
      <c r="E993" s="241"/>
      <c r="F993" s="259"/>
      <c r="G993" s="259"/>
      <c r="H993" s="259"/>
      <c r="I993" s="259"/>
      <c r="J993" s="259"/>
      <c r="K993" s="259"/>
      <c r="L993" s="259"/>
      <c r="M993" s="259"/>
      <c r="N993" s="259"/>
      <c r="O993" s="235"/>
      <c r="P993" s="235"/>
      <c r="Q993" s="235"/>
    </row>
    <row r="994" spans="2:17">
      <c r="B994" s="241"/>
      <c r="C994" s="241"/>
      <c r="D994" s="241"/>
      <c r="E994" s="241"/>
      <c r="F994" s="259"/>
      <c r="G994" s="259"/>
      <c r="H994" s="259"/>
      <c r="I994" s="259"/>
      <c r="J994" s="259"/>
      <c r="K994" s="259"/>
      <c r="L994" s="259"/>
      <c r="M994" s="259"/>
      <c r="N994" s="259"/>
      <c r="O994" s="235"/>
      <c r="P994" s="235"/>
      <c r="Q994" s="235"/>
    </row>
    <row r="995" spans="2:17">
      <c r="B995" s="241"/>
      <c r="C995" s="241"/>
      <c r="D995" s="241"/>
      <c r="E995" s="241"/>
      <c r="F995" s="259"/>
      <c r="G995" s="259"/>
      <c r="H995" s="259"/>
      <c r="I995" s="259"/>
      <c r="J995" s="259"/>
      <c r="K995" s="259"/>
      <c r="L995" s="259"/>
      <c r="M995" s="259"/>
      <c r="N995" s="259"/>
      <c r="O995" s="235"/>
      <c r="P995" s="235"/>
      <c r="Q995" s="235"/>
    </row>
    <row r="996" spans="2:17">
      <c r="B996" s="241"/>
      <c r="C996" s="241"/>
      <c r="D996" s="241"/>
      <c r="E996" s="241"/>
      <c r="F996" s="259"/>
      <c r="G996" s="259"/>
      <c r="H996" s="259"/>
      <c r="I996" s="259"/>
      <c r="J996" s="259"/>
      <c r="K996" s="259"/>
      <c r="L996" s="259"/>
      <c r="M996" s="259"/>
      <c r="N996" s="259"/>
      <c r="O996" s="235"/>
      <c r="P996" s="235"/>
      <c r="Q996" s="235"/>
    </row>
    <row r="997" spans="2:17">
      <c r="B997" s="241"/>
      <c r="C997" s="241"/>
      <c r="D997" s="241"/>
      <c r="E997" s="241"/>
      <c r="F997" s="259"/>
      <c r="G997" s="259"/>
      <c r="H997" s="259"/>
      <c r="I997" s="259"/>
      <c r="J997" s="259"/>
      <c r="K997" s="259"/>
      <c r="L997" s="259"/>
      <c r="M997" s="259"/>
      <c r="N997" s="259"/>
      <c r="O997" s="235"/>
      <c r="P997" s="235"/>
      <c r="Q997" s="235"/>
    </row>
    <row r="998" spans="2:17">
      <c r="B998" s="241"/>
      <c r="C998" s="241"/>
      <c r="D998" s="241"/>
      <c r="E998" s="241"/>
      <c r="F998" s="259"/>
      <c r="G998" s="259"/>
      <c r="H998" s="259"/>
      <c r="I998" s="259"/>
      <c r="J998" s="259"/>
      <c r="K998" s="259"/>
      <c r="L998" s="259"/>
      <c r="M998" s="259"/>
      <c r="N998" s="259"/>
      <c r="O998" s="235"/>
      <c r="P998" s="235"/>
      <c r="Q998" s="235"/>
    </row>
    <row r="999" spans="2:17">
      <c r="B999" s="241"/>
      <c r="C999" s="241"/>
      <c r="D999" s="241"/>
      <c r="E999" s="241"/>
      <c r="F999" s="259"/>
      <c r="G999" s="259"/>
      <c r="H999" s="259"/>
      <c r="I999" s="259"/>
      <c r="J999" s="259"/>
      <c r="K999" s="259"/>
      <c r="L999" s="259"/>
      <c r="M999" s="259"/>
      <c r="N999" s="259"/>
      <c r="O999" s="235"/>
      <c r="P999" s="235"/>
      <c r="Q999" s="235"/>
    </row>
    <row r="1000" spans="2:17">
      <c r="B1000" s="241"/>
      <c r="C1000" s="241"/>
      <c r="D1000" s="241"/>
      <c r="E1000" s="241"/>
      <c r="F1000" s="259"/>
      <c r="G1000" s="259"/>
      <c r="H1000" s="259"/>
      <c r="I1000" s="259"/>
      <c r="J1000" s="259"/>
      <c r="K1000" s="259"/>
      <c r="L1000" s="259"/>
      <c r="M1000" s="259"/>
      <c r="N1000" s="259"/>
      <c r="O1000" s="235"/>
      <c r="P1000" s="235"/>
      <c r="Q1000" s="235"/>
    </row>
    <row r="1001" spans="2:17">
      <c r="B1001" s="241"/>
      <c r="C1001" s="241"/>
      <c r="D1001" s="241"/>
      <c r="E1001" s="241"/>
      <c r="F1001" s="259"/>
      <c r="G1001" s="259"/>
      <c r="H1001" s="259"/>
      <c r="I1001" s="259"/>
      <c r="J1001" s="259"/>
      <c r="K1001" s="259"/>
      <c r="L1001" s="259"/>
      <c r="M1001" s="259"/>
      <c r="N1001" s="259"/>
      <c r="O1001" s="235"/>
      <c r="P1001" s="235"/>
      <c r="Q1001" s="235"/>
    </row>
    <row r="1002" spans="2:17">
      <c r="B1002" s="241"/>
      <c r="C1002" s="241"/>
      <c r="D1002" s="241"/>
      <c r="E1002" s="241"/>
      <c r="F1002" s="259"/>
      <c r="G1002" s="259"/>
      <c r="H1002" s="259"/>
      <c r="I1002" s="259"/>
      <c r="J1002" s="259"/>
      <c r="K1002" s="259"/>
      <c r="L1002" s="259"/>
      <c r="M1002" s="259"/>
      <c r="N1002" s="259"/>
      <c r="O1002" s="235"/>
      <c r="P1002" s="235"/>
      <c r="Q1002" s="235"/>
    </row>
    <row r="1003" spans="2:17">
      <c r="B1003" s="241"/>
      <c r="C1003" s="241"/>
      <c r="D1003" s="241"/>
      <c r="E1003" s="241"/>
      <c r="F1003" s="259"/>
      <c r="G1003" s="259"/>
      <c r="H1003" s="259"/>
      <c r="I1003" s="259"/>
      <c r="J1003" s="259"/>
      <c r="K1003" s="259"/>
      <c r="L1003" s="259"/>
      <c r="M1003" s="259"/>
      <c r="N1003" s="259"/>
      <c r="O1003" s="235"/>
      <c r="P1003" s="235"/>
      <c r="Q1003" s="235"/>
    </row>
    <row r="1004" spans="2:17">
      <c r="B1004" s="241"/>
      <c r="C1004" s="241"/>
      <c r="D1004" s="241"/>
      <c r="E1004" s="241"/>
      <c r="F1004" s="259"/>
      <c r="G1004" s="259"/>
      <c r="H1004" s="259"/>
      <c r="I1004" s="259"/>
      <c r="J1004" s="259"/>
      <c r="K1004" s="259"/>
      <c r="L1004" s="259"/>
      <c r="M1004" s="259"/>
      <c r="N1004" s="259"/>
      <c r="O1004" s="235"/>
      <c r="P1004" s="235"/>
      <c r="Q1004" s="235"/>
    </row>
    <row r="1005" spans="2:17">
      <c r="B1005" s="241"/>
      <c r="C1005" s="241"/>
      <c r="D1005" s="241"/>
      <c r="E1005" s="241"/>
      <c r="F1005" s="259"/>
      <c r="G1005" s="259"/>
      <c r="H1005" s="259"/>
      <c r="I1005" s="259"/>
      <c r="J1005" s="259"/>
      <c r="K1005" s="259"/>
      <c r="L1005" s="259"/>
      <c r="M1005" s="259"/>
      <c r="N1005" s="259"/>
      <c r="O1005" s="235"/>
      <c r="P1005" s="235"/>
      <c r="Q1005" s="235"/>
    </row>
    <row r="1006" spans="2:17">
      <c r="B1006" s="241"/>
      <c r="C1006" s="241"/>
      <c r="D1006" s="241"/>
      <c r="E1006" s="241"/>
      <c r="F1006" s="259"/>
      <c r="G1006" s="259"/>
      <c r="H1006" s="259"/>
      <c r="I1006" s="259"/>
      <c r="J1006" s="259"/>
      <c r="K1006" s="259"/>
      <c r="L1006" s="259"/>
      <c r="M1006" s="259"/>
      <c r="N1006" s="259"/>
      <c r="O1006" s="235"/>
      <c r="P1006" s="235"/>
      <c r="Q1006" s="235"/>
    </row>
    <row r="1007" spans="2:17">
      <c r="B1007" s="241"/>
      <c r="C1007" s="241"/>
      <c r="D1007" s="241"/>
      <c r="E1007" s="241"/>
      <c r="F1007" s="259"/>
      <c r="G1007" s="259"/>
      <c r="H1007" s="259"/>
      <c r="I1007" s="259"/>
      <c r="J1007" s="259"/>
      <c r="K1007" s="259"/>
      <c r="L1007" s="259"/>
      <c r="M1007" s="259"/>
      <c r="N1007" s="259"/>
      <c r="O1007" s="235"/>
      <c r="P1007" s="235"/>
      <c r="Q1007" s="235"/>
    </row>
    <row r="1008" spans="2:17">
      <c r="B1008" s="241"/>
      <c r="C1008" s="241"/>
      <c r="D1008" s="241"/>
      <c r="E1008" s="241"/>
      <c r="F1008" s="259"/>
      <c r="G1008" s="259"/>
      <c r="H1008" s="259"/>
      <c r="I1008" s="259"/>
      <c r="J1008" s="259"/>
      <c r="K1008" s="259"/>
      <c r="L1008" s="259"/>
      <c r="M1008" s="259"/>
      <c r="N1008" s="259"/>
      <c r="O1008" s="235"/>
      <c r="P1008" s="235"/>
      <c r="Q1008" s="235"/>
    </row>
    <row r="1009" spans="2:17">
      <c r="B1009" s="241"/>
      <c r="C1009" s="241"/>
      <c r="D1009" s="241"/>
      <c r="E1009" s="241"/>
      <c r="F1009" s="259"/>
      <c r="G1009" s="259"/>
      <c r="H1009" s="259"/>
      <c r="I1009" s="259"/>
      <c r="J1009" s="259"/>
      <c r="K1009" s="259"/>
      <c r="L1009" s="259"/>
      <c r="M1009" s="259"/>
      <c r="N1009" s="259"/>
      <c r="O1009" s="235"/>
      <c r="P1009" s="235"/>
      <c r="Q1009" s="235"/>
    </row>
    <row r="1010" spans="2:17">
      <c r="B1010" s="241"/>
      <c r="C1010" s="241"/>
      <c r="D1010" s="241"/>
      <c r="E1010" s="241"/>
      <c r="F1010" s="259"/>
      <c r="G1010" s="259"/>
      <c r="H1010" s="259"/>
      <c r="I1010" s="259"/>
      <c r="J1010" s="259"/>
      <c r="K1010" s="259"/>
      <c r="L1010" s="259"/>
      <c r="M1010" s="259"/>
      <c r="N1010" s="259"/>
      <c r="O1010" s="235"/>
      <c r="P1010" s="235"/>
      <c r="Q1010" s="235"/>
    </row>
    <row r="1011" spans="2:17">
      <c r="B1011" s="241"/>
      <c r="C1011" s="241"/>
      <c r="D1011" s="241"/>
      <c r="E1011" s="241"/>
      <c r="F1011" s="259"/>
      <c r="G1011" s="259"/>
      <c r="H1011" s="259"/>
      <c r="I1011" s="259"/>
      <c r="J1011" s="259"/>
      <c r="K1011" s="259"/>
      <c r="L1011" s="259"/>
      <c r="M1011" s="259"/>
      <c r="N1011" s="259"/>
      <c r="O1011" s="235"/>
      <c r="P1011" s="235"/>
      <c r="Q1011" s="235"/>
    </row>
    <row r="1012" spans="2:17">
      <c r="B1012" s="241"/>
      <c r="C1012" s="241"/>
      <c r="D1012" s="241"/>
      <c r="E1012" s="241"/>
      <c r="F1012" s="259"/>
      <c r="G1012" s="259"/>
      <c r="H1012" s="259"/>
      <c r="I1012" s="259"/>
      <c r="J1012" s="259"/>
      <c r="K1012" s="259"/>
      <c r="L1012" s="259"/>
      <c r="M1012" s="259"/>
      <c r="N1012" s="259"/>
      <c r="O1012" s="235"/>
      <c r="P1012" s="235"/>
      <c r="Q1012" s="235"/>
    </row>
    <row r="1013" spans="2:17">
      <c r="B1013" s="241"/>
      <c r="C1013" s="241"/>
      <c r="D1013" s="241"/>
      <c r="E1013" s="241"/>
      <c r="F1013" s="259"/>
      <c r="G1013" s="259"/>
      <c r="H1013" s="259"/>
      <c r="I1013" s="259"/>
      <c r="J1013" s="259"/>
      <c r="K1013" s="259"/>
      <c r="L1013" s="259"/>
      <c r="M1013" s="259"/>
      <c r="N1013" s="259"/>
      <c r="O1013" s="235"/>
      <c r="P1013" s="235"/>
      <c r="Q1013" s="235"/>
    </row>
    <row r="1014" spans="2:17">
      <c r="B1014" s="241"/>
      <c r="C1014" s="241"/>
      <c r="D1014" s="241"/>
      <c r="E1014" s="241"/>
      <c r="F1014" s="259"/>
      <c r="G1014" s="259"/>
      <c r="H1014" s="259"/>
      <c r="I1014" s="259"/>
      <c r="J1014" s="259"/>
      <c r="K1014" s="259"/>
      <c r="L1014" s="259"/>
      <c r="M1014" s="259"/>
      <c r="N1014" s="259"/>
      <c r="O1014" s="235"/>
      <c r="P1014" s="235"/>
      <c r="Q1014" s="235"/>
    </row>
    <row r="1015" spans="2:17">
      <c r="B1015" s="241"/>
      <c r="C1015" s="241"/>
      <c r="D1015" s="241"/>
      <c r="E1015" s="241"/>
      <c r="F1015" s="259"/>
      <c r="G1015" s="259"/>
      <c r="H1015" s="259"/>
      <c r="I1015" s="259"/>
      <c r="J1015" s="259"/>
      <c r="K1015" s="259"/>
      <c r="L1015" s="259"/>
      <c r="M1015" s="259"/>
      <c r="N1015" s="259"/>
      <c r="O1015" s="235"/>
      <c r="P1015" s="235"/>
      <c r="Q1015" s="235"/>
    </row>
    <row r="1016" spans="2:17">
      <c r="B1016" s="241"/>
      <c r="C1016" s="241"/>
      <c r="D1016" s="241"/>
      <c r="E1016" s="241"/>
      <c r="F1016" s="259"/>
      <c r="G1016" s="259"/>
      <c r="H1016" s="259"/>
      <c r="I1016" s="259"/>
      <c r="J1016" s="259"/>
      <c r="K1016" s="259"/>
      <c r="L1016" s="259"/>
      <c r="M1016" s="259"/>
      <c r="N1016" s="259"/>
      <c r="O1016" s="235"/>
      <c r="P1016" s="235"/>
      <c r="Q1016" s="235"/>
    </row>
    <row r="1017" spans="2:17">
      <c r="B1017" s="241"/>
      <c r="C1017" s="241"/>
      <c r="D1017" s="241"/>
      <c r="E1017" s="241"/>
      <c r="F1017" s="259"/>
      <c r="G1017" s="259"/>
      <c r="H1017" s="259"/>
      <c r="I1017" s="259"/>
      <c r="J1017" s="259"/>
      <c r="K1017" s="259"/>
      <c r="L1017" s="259"/>
      <c r="M1017" s="259"/>
      <c r="N1017" s="259"/>
      <c r="O1017" s="235"/>
      <c r="P1017" s="235"/>
      <c r="Q1017" s="235"/>
    </row>
    <row r="1018" spans="2:17">
      <c r="B1018" s="241"/>
      <c r="C1018" s="241"/>
      <c r="D1018" s="241"/>
      <c r="E1018" s="241"/>
      <c r="F1018" s="259"/>
      <c r="G1018" s="259"/>
      <c r="H1018" s="259"/>
      <c r="I1018" s="259"/>
      <c r="J1018" s="259"/>
      <c r="K1018" s="259"/>
      <c r="L1018" s="259"/>
      <c r="M1018" s="259"/>
      <c r="N1018" s="259"/>
      <c r="O1018" s="235"/>
      <c r="P1018" s="235"/>
      <c r="Q1018" s="235"/>
    </row>
    <row r="1019" spans="2:17">
      <c r="B1019" s="241"/>
      <c r="C1019" s="241"/>
      <c r="D1019" s="241"/>
      <c r="E1019" s="241"/>
      <c r="F1019" s="259"/>
      <c r="G1019" s="259"/>
      <c r="H1019" s="259"/>
      <c r="I1019" s="259"/>
      <c r="J1019" s="259"/>
      <c r="K1019" s="259"/>
      <c r="L1019" s="259"/>
      <c r="M1019" s="259"/>
      <c r="N1019" s="259"/>
      <c r="O1019" s="235"/>
      <c r="P1019" s="235"/>
      <c r="Q1019" s="235"/>
    </row>
    <row r="1020" spans="2:17">
      <c r="B1020" s="241"/>
      <c r="C1020" s="241"/>
      <c r="D1020" s="241"/>
      <c r="E1020" s="241"/>
      <c r="F1020" s="259"/>
      <c r="G1020" s="259"/>
      <c r="H1020" s="259"/>
      <c r="I1020" s="259"/>
      <c r="J1020" s="259"/>
      <c r="K1020" s="259"/>
      <c r="L1020" s="259"/>
      <c r="M1020" s="259"/>
      <c r="N1020" s="259"/>
      <c r="O1020" s="235"/>
      <c r="P1020" s="235"/>
      <c r="Q1020" s="235"/>
    </row>
    <row r="1021" spans="2:17">
      <c r="B1021" s="241"/>
      <c r="C1021" s="241"/>
      <c r="D1021" s="241"/>
      <c r="E1021" s="241"/>
      <c r="F1021" s="259"/>
      <c r="G1021" s="259"/>
      <c r="H1021" s="259"/>
      <c r="I1021" s="259"/>
      <c r="J1021" s="259"/>
      <c r="K1021" s="259"/>
      <c r="L1021" s="259"/>
      <c r="M1021" s="259"/>
      <c r="N1021" s="259"/>
      <c r="O1021" s="235"/>
      <c r="P1021" s="235"/>
      <c r="Q1021" s="235"/>
    </row>
    <row r="1022" spans="2:17">
      <c r="B1022" s="241"/>
      <c r="C1022" s="241"/>
      <c r="D1022" s="241"/>
      <c r="E1022" s="241"/>
      <c r="F1022" s="259"/>
      <c r="G1022" s="259"/>
      <c r="H1022" s="259"/>
      <c r="I1022" s="259"/>
      <c r="J1022" s="259"/>
      <c r="K1022" s="259"/>
      <c r="L1022" s="259"/>
      <c r="M1022" s="259"/>
      <c r="N1022" s="259"/>
      <c r="O1022" s="235"/>
      <c r="P1022" s="235"/>
      <c r="Q1022" s="235"/>
    </row>
    <row r="1023" spans="2:17">
      <c r="B1023" s="241"/>
      <c r="C1023" s="241"/>
      <c r="D1023" s="241"/>
      <c r="E1023" s="241"/>
      <c r="F1023" s="259"/>
      <c r="G1023" s="259"/>
      <c r="H1023" s="259"/>
      <c r="I1023" s="259"/>
      <c r="J1023" s="259"/>
      <c r="K1023" s="259"/>
      <c r="L1023" s="259"/>
      <c r="M1023" s="259"/>
      <c r="N1023" s="259"/>
      <c r="O1023" s="235"/>
      <c r="P1023" s="235"/>
      <c r="Q1023" s="235"/>
    </row>
    <row r="1024" spans="2:17">
      <c r="B1024" s="241"/>
      <c r="C1024" s="241"/>
      <c r="D1024" s="241"/>
      <c r="E1024" s="241"/>
      <c r="F1024" s="259"/>
      <c r="G1024" s="259"/>
      <c r="H1024" s="259"/>
      <c r="I1024" s="259"/>
      <c r="J1024" s="259"/>
      <c r="K1024" s="259"/>
      <c r="L1024" s="259"/>
      <c r="M1024" s="259"/>
      <c r="N1024" s="259"/>
      <c r="O1024" s="235"/>
      <c r="P1024" s="235"/>
      <c r="Q1024" s="235"/>
    </row>
    <row r="1025" spans="2:17">
      <c r="B1025" s="241"/>
      <c r="C1025" s="241"/>
      <c r="D1025" s="241"/>
      <c r="E1025" s="241"/>
      <c r="F1025" s="259"/>
      <c r="G1025" s="259"/>
      <c r="H1025" s="259"/>
      <c r="I1025" s="259"/>
      <c r="J1025" s="259"/>
      <c r="K1025" s="259"/>
      <c r="L1025" s="259"/>
      <c r="M1025" s="259"/>
      <c r="N1025" s="259"/>
      <c r="O1025" s="235"/>
      <c r="P1025" s="235"/>
      <c r="Q1025" s="235"/>
    </row>
    <row r="1026" spans="2:17">
      <c r="B1026" s="241"/>
      <c r="C1026" s="241"/>
      <c r="D1026" s="241"/>
      <c r="E1026" s="241"/>
      <c r="F1026" s="259"/>
      <c r="G1026" s="259"/>
      <c r="H1026" s="259"/>
      <c r="I1026" s="259"/>
      <c r="J1026" s="259"/>
      <c r="K1026" s="259"/>
      <c r="L1026" s="259"/>
      <c r="M1026" s="259"/>
      <c r="N1026" s="259"/>
      <c r="O1026" s="235"/>
      <c r="P1026" s="235"/>
      <c r="Q1026" s="235"/>
    </row>
    <row r="1027" spans="2:17">
      <c r="B1027" s="241"/>
      <c r="C1027" s="241"/>
      <c r="D1027" s="241"/>
      <c r="E1027" s="241"/>
      <c r="F1027" s="259"/>
      <c r="G1027" s="259"/>
      <c r="H1027" s="259"/>
      <c r="I1027" s="259"/>
      <c r="J1027" s="259"/>
      <c r="K1027" s="259"/>
      <c r="L1027" s="259"/>
      <c r="M1027" s="259"/>
      <c r="N1027" s="259"/>
      <c r="O1027" s="235"/>
      <c r="P1027" s="235"/>
      <c r="Q1027" s="235"/>
    </row>
    <row r="1028" spans="2:17">
      <c r="B1028" s="241"/>
      <c r="C1028" s="241"/>
      <c r="D1028" s="241"/>
      <c r="E1028" s="241"/>
      <c r="F1028" s="259"/>
      <c r="G1028" s="259"/>
      <c r="H1028" s="259"/>
      <c r="I1028" s="259"/>
      <c r="J1028" s="259"/>
      <c r="K1028" s="259"/>
      <c r="L1028" s="259"/>
      <c r="M1028" s="259"/>
      <c r="N1028" s="259"/>
      <c r="O1028" s="235"/>
      <c r="P1028" s="235"/>
      <c r="Q1028" s="235"/>
    </row>
    <row r="1029" spans="2:17">
      <c r="B1029" s="241"/>
      <c r="C1029" s="241"/>
      <c r="D1029" s="241"/>
      <c r="E1029" s="241"/>
      <c r="F1029" s="259"/>
      <c r="G1029" s="259"/>
      <c r="H1029" s="259"/>
      <c r="I1029" s="259"/>
      <c r="J1029" s="259"/>
      <c r="K1029" s="259"/>
      <c r="L1029" s="259"/>
      <c r="M1029" s="259"/>
      <c r="N1029" s="259"/>
      <c r="O1029" s="235"/>
      <c r="P1029" s="235"/>
      <c r="Q1029" s="235"/>
    </row>
    <row r="1030" spans="2:17">
      <c r="B1030" s="241"/>
      <c r="C1030" s="241"/>
      <c r="D1030" s="241"/>
      <c r="E1030" s="241"/>
      <c r="F1030" s="259"/>
      <c r="G1030" s="259"/>
      <c r="H1030" s="259"/>
      <c r="I1030" s="259"/>
      <c r="J1030" s="259"/>
      <c r="K1030" s="259"/>
      <c r="L1030" s="259"/>
      <c r="M1030" s="259"/>
      <c r="N1030" s="259"/>
      <c r="O1030" s="235"/>
      <c r="P1030" s="235"/>
      <c r="Q1030" s="235"/>
    </row>
    <row r="1031" spans="2:17">
      <c r="B1031" s="241"/>
      <c r="C1031" s="241"/>
      <c r="D1031" s="241"/>
      <c r="E1031" s="241"/>
      <c r="F1031" s="259"/>
      <c r="G1031" s="259"/>
      <c r="H1031" s="259"/>
      <c r="I1031" s="259"/>
      <c r="J1031" s="259"/>
      <c r="K1031" s="259"/>
      <c r="L1031" s="259"/>
      <c r="M1031" s="259"/>
      <c r="N1031" s="259"/>
      <c r="O1031" s="235"/>
      <c r="P1031" s="235"/>
      <c r="Q1031" s="235"/>
    </row>
    <row r="1032" spans="2:17">
      <c r="B1032" s="241"/>
      <c r="C1032" s="241"/>
      <c r="D1032" s="241"/>
      <c r="E1032" s="241"/>
      <c r="F1032" s="259"/>
      <c r="G1032" s="259"/>
      <c r="H1032" s="259"/>
      <c r="I1032" s="259"/>
      <c r="J1032" s="259"/>
      <c r="K1032" s="259"/>
      <c r="L1032" s="259"/>
      <c r="M1032" s="259"/>
      <c r="N1032" s="259"/>
      <c r="O1032" s="235"/>
      <c r="P1032" s="235"/>
      <c r="Q1032" s="235"/>
    </row>
    <row r="1033" spans="2:17">
      <c r="B1033" s="241"/>
      <c r="C1033" s="241"/>
      <c r="D1033" s="241"/>
      <c r="E1033" s="241"/>
      <c r="F1033" s="259"/>
      <c r="G1033" s="259"/>
      <c r="H1033" s="259"/>
      <c r="I1033" s="259"/>
      <c r="J1033" s="259"/>
      <c r="K1033" s="259"/>
      <c r="L1033" s="259"/>
      <c r="M1033" s="259"/>
      <c r="N1033" s="259"/>
      <c r="O1033" s="235"/>
      <c r="P1033" s="235"/>
      <c r="Q1033" s="235"/>
    </row>
    <row r="1034" spans="2:17">
      <c r="B1034" s="241"/>
      <c r="C1034" s="241"/>
      <c r="D1034" s="241"/>
      <c r="E1034" s="241"/>
      <c r="F1034" s="259"/>
      <c r="G1034" s="259"/>
      <c r="H1034" s="259"/>
      <c r="I1034" s="259"/>
      <c r="J1034" s="259"/>
      <c r="K1034" s="259"/>
      <c r="L1034" s="259"/>
      <c r="M1034" s="259"/>
      <c r="N1034" s="259"/>
      <c r="O1034" s="235"/>
      <c r="P1034" s="235"/>
      <c r="Q1034" s="235"/>
    </row>
    <row r="1035" spans="2:17">
      <c r="B1035" s="241"/>
      <c r="C1035" s="241"/>
      <c r="D1035" s="241"/>
      <c r="E1035" s="241"/>
      <c r="F1035" s="259"/>
      <c r="G1035" s="259"/>
      <c r="H1035" s="259"/>
      <c r="I1035" s="259"/>
      <c r="J1035" s="259"/>
      <c r="K1035" s="259"/>
      <c r="L1035" s="259"/>
      <c r="M1035" s="259"/>
      <c r="N1035" s="259"/>
      <c r="O1035" s="235"/>
      <c r="P1035" s="235"/>
      <c r="Q1035" s="235"/>
    </row>
    <row r="1036" spans="2:17">
      <c r="B1036" s="241"/>
      <c r="C1036" s="241"/>
      <c r="D1036" s="241"/>
      <c r="E1036" s="241"/>
      <c r="F1036" s="259"/>
      <c r="G1036" s="259"/>
      <c r="H1036" s="259"/>
      <c r="I1036" s="259"/>
      <c r="J1036" s="259"/>
      <c r="K1036" s="259"/>
      <c r="L1036" s="259"/>
      <c r="M1036" s="259"/>
      <c r="N1036" s="259"/>
      <c r="O1036" s="235"/>
      <c r="P1036" s="235"/>
      <c r="Q1036" s="235"/>
    </row>
    <row r="1037" spans="2:17">
      <c r="B1037" s="241"/>
      <c r="C1037" s="241"/>
      <c r="D1037" s="241"/>
      <c r="E1037" s="241"/>
      <c r="F1037" s="259"/>
      <c r="G1037" s="259"/>
      <c r="H1037" s="259"/>
      <c r="I1037" s="259"/>
      <c r="J1037" s="259"/>
      <c r="K1037" s="259"/>
      <c r="L1037" s="259"/>
      <c r="M1037" s="259"/>
      <c r="N1037" s="259"/>
      <c r="O1037" s="235"/>
      <c r="P1037" s="235"/>
      <c r="Q1037" s="235"/>
    </row>
    <row r="1038" spans="2:17">
      <c r="B1038" s="241"/>
      <c r="C1038" s="241"/>
      <c r="D1038" s="241"/>
      <c r="E1038" s="241"/>
      <c r="F1038" s="259"/>
      <c r="G1038" s="259"/>
      <c r="H1038" s="259"/>
      <c r="I1038" s="259"/>
      <c r="J1038" s="259"/>
      <c r="K1038" s="259"/>
      <c r="L1038" s="259"/>
      <c r="M1038" s="259"/>
      <c r="N1038" s="259"/>
      <c r="O1038" s="235"/>
      <c r="P1038" s="235"/>
      <c r="Q1038" s="235"/>
    </row>
    <row r="1039" spans="2:17">
      <c r="B1039" s="241"/>
      <c r="C1039" s="241"/>
      <c r="D1039" s="241"/>
      <c r="E1039" s="241"/>
      <c r="F1039" s="259"/>
      <c r="G1039" s="259"/>
      <c r="H1039" s="259"/>
      <c r="I1039" s="259"/>
      <c r="J1039" s="259"/>
      <c r="K1039" s="259"/>
      <c r="L1039" s="259"/>
      <c r="M1039" s="259"/>
      <c r="N1039" s="259"/>
      <c r="O1039" s="235"/>
      <c r="P1039" s="235"/>
      <c r="Q1039" s="235"/>
    </row>
    <row r="1040" spans="2:17">
      <c r="B1040" s="241"/>
      <c r="C1040" s="241"/>
      <c r="D1040" s="241"/>
      <c r="E1040" s="241"/>
      <c r="F1040" s="259"/>
      <c r="G1040" s="259"/>
      <c r="H1040" s="259"/>
      <c r="I1040" s="259"/>
      <c r="J1040" s="259"/>
      <c r="K1040" s="259"/>
      <c r="L1040" s="259"/>
      <c r="M1040" s="259"/>
      <c r="N1040" s="259"/>
      <c r="O1040" s="235"/>
      <c r="P1040" s="235"/>
      <c r="Q1040" s="235"/>
    </row>
    <row r="1041" spans="2:17">
      <c r="B1041" s="241"/>
      <c r="C1041" s="241"/>
      <c r="D1041" s="241"/>
      <c r="E1041" s="241"/>
      <c r="F1041" s="259"/>
      <c r="G1041" s="259"/>
      <c r="H1041" s="259"/>
      <c r="I1041" s="259"/>
      <c r="J1041" s="259"/>
      <c r="K1041" s="259"/>
      <c r="L1041" s="259"/>
      <c r="M1041" s="259"/>
      <c r="N1041" s="259"/>
      <c r="O1041" s="235"/>
      <c r="P1041" s="235"/>
      <c r="Q1041" s="235"/>
    </row>
    <row r="1042" spans="2:17">
      <c r="B1042" s="241"/>
      <c r="C1042" s="241"/>
      <c r="D1042" s="241"/>
      <c r="E1042" s="241"/>
      <c r="F1042" s="259"/>
      <c r="G1042" s="259"/>
      <c r="H1042" s="259"/>
      <c r="I1042" s="259"/>
      <c r="J1042" s="259"/>
      <c r="K1042" s="259"/>
      <c r="L1042" s="259"/>
      <c r="M1042" s="259"/>
      <c r="N1042" s="259"/>
      <c r="O1042" s="235"/>
      <c r="P1042" s="235"/>
      <c r="Q1042" s="235"/>
    </row>
    <row r="1043" spans="2:17">
      <c r="B1043" s="241"/>
      <c r="C1043" s="241"/>
      <c r="D1043" s="241"/>
      <c r="E1043" s="241"/>
      <c r="F1043" s="259"/>
      <c r="G1043" s="259"/>
      <c r="H1043" s="259"/>
      <c r="I1043" s="259"/>
      <c r="J1043" s="259"/>
      <c r="K1043" s="259"/>
      <c r="L1043" s="259"/>
      <c r="M1043" s="259"/>
      <c r="N1043" s="259"/>
      <c r="O1043" s="235"/>
      <c r="P1043" s="235"/>
      <c r="Q1043" s="235"/>
    </row>
    <row r="1044" spans="2:17">
      <c r="B1044" s="241"/>
      <c r="C1044" s="241"/>
      <c r="D1044" s="241"/>
      <c r="E1044" s="241"/>
      <c r="F1044" s="259"/>
      <c r="G1044" s="259"/>
      <c r="H1044" s="259"/>
      <c r="I1044" s="259"/>
      <c r="J1044" s="259"/>
      <c r="K1044" s="259"/>
      <c r="L1044" s="259"/>
      <c r="M1044" s="259"/>
      <c r="N1044" s="259"/>
      <c r="O1044" s="235"/>
      <c r="P1044" s="235"/>
      <c r="Q1044" s="235"/>
    </row>
    <row r="1045" spans="2:17">
      <c r="B1045" s="241"/>
      <c r="C1045" s="241"/>
      <c r="D1045" s="241"/>
      <c r="E1045" s="241"/>
      <c r="F1045" s="259"/>
      <c r="G1045" s="259"/>
      <c r="H1045" s="259"/>
      <c r="I1045" s="259"/>
      <c r="J1045" s="259"/>
      <c r="K1045" s="259"/>
      <c r="L1045" s="259"/>
      <c r="M1045" s="259"/>
      <c r="N1045" s="259"/>
      <c r="O1045" s="235"/>
      <c r="P1045" s="235"/>
      <c r="Q1045" s="235"/>
    </row>
    <row r="1046" spans="2:17">
      <c r="B1046" s="241"/>
      <c r="C1046" s="241"/>
      <c r="D1046" s="241"/>
      <c r="E1046" s="241"/>
      <c r="F1046" s="259"/>
      <c r="G1046" s="259"/>
      <c r="H1046" s="259"/>
      <c r="I1046" s="259"/>
      <c r="J1046" s="259"/>
      <c r="K1046" s="259"/>
      <c r="L1046" s="259"/>
      <c r="M1046" s="259"/>
      <c r="N1046" s="259"/>
      <c r="O1046" s="235"/>
      <c r="P1046" s="235"/>
      <c r="Q1046" s="235"/>
    </row>
    <row r="1047" spans="2:17">
      <c r="B1047" s="241"/>
      <c r="C1047" s="241"/>
      <c r="D1047" s="241"/>
      <c r="E1047" s="241"/>
      <c r="F1047" s="259"/>
      <c r="G1047" s="259"/>
      <c r="H1047" s="259"/>
      <c r="I1047" s="259"/>
      <c r="J1047" s="259"/>
      <c r="K1047" s="259"/>
      <c r="L1047" s="259"/>
      <c r="M1047" s="259"/>
      <c r="N1047" s="259"/>
      <c r="O1047" s="235"/>
      <c r="P1047" s="235"/>
      <c r="Q1047" s="235"/>
    </row>
    <row r="1048" spans="2:17">
      <c r="B1048" s="241"/>
      <c r="C1048" s="241"/>
      <c r="D1048" s="241"/>
      <c r="E1048" s="241"/>
      <c r="F1048" s="259"/>
      <c r="G1048" s="259"/>
      <c r="H1048" s="259"/>
      <c r="I1048" s="259"/>
      <c r="J1048" s="259"/>
      <c r="K1048" s="259"/>
      <c r="L1048" s="259"/>
      <c r="M1048" s="259"/>
      <c r="N1048" s="259"/>
      <c r="O1048" s="235"/>
      <c r="P1048" s="235"/>
      <c r="Q1048" s="235"/>
    </row>
    <row r="1049" spans="2:17">
      <c r="B1049" s="241"/>
      <c r="C1049" s="241"/>
      <c r="D1049" s="241"/>
      <c r="E1049" s="241"/>
      <c r="F1049" s="259"/>
      <c r="G1049" s="259"/>
      <c r="H1049" s="259"/>
      <c r="I1049" s="259"/>
      <c r="J1049" s="259"/>
      <c r="K1049" s="259"/>
      <c r="L1049" s="259"/>
      <c r="M1049" s="259"/>
      <c r="N1049" s="259"/>
      <c r="O1049" s="235"/>
      <c r="P1049" s="235"/>
      <c r="Q1049" s="235"/>
    </row>
    <row r="1050" spans="2:17">
      <c r="B1050" s="241"/>
      <c r="C1050" s="241"/>
      <c r="D1050" s="241"/>
      <c r="E1050" s="241"/>
      <c r="F1050" s="259"/>
      <c r="G1050" s="259"/>
      <c r="H1050" s="259"/>
      <c r="I1050" s="259"/>
      <c r="J1050" s="259"/>
      <c r="K1050" s="259"/>
      <c r="L1050" s="259"/>
      <c r="M1050" s="259"/>
      <c r="N1050" s="259"/>
      <c r="O1050" s="235"/>
      <c r="P1050" s="235"/>
      <c r="Q1050" s="235"/>
    </row>
    <row r="1051" spans="2:17">
      <c r="B1051" s="241"/>
      <c r="C1051" s="241"/>
      <c r="D1051" s="241"/>
      <c r="E1051" s="241"/>
      <c r="F1051" s="259"/>
      <c r="G1051" s="259"/>
      <c r="H1051" s="259"/>
      <c r="I1051" s="259"/>
      <c r="J1051" s="259"/>
      <c r="K1051" s="259"/>
      <c r="L1051" s="259"/>
      <c r="M1051" s="259"/>
      <c r="N1051" s="259"/>
      <c r="O1051" s="235"/>
      <c r="P1051" s="235"/>
      <c r="Q1051" s="235"/>
    </row>
    <row r="1052" spans="2:17">
      <c r="B1052" s="241"/>
      <c r="C1052" s="241"/>
      <c r="D1052" s="241"/>
      <c r="E1052" s="241"/>
      <c r="F1052" s="259"/>
      <c r="G1052" s="259"/>
      <c r="H1052" s="259"/>
      <c r="I1052" s="259"/>
      <c r="J1052" s="259"/>
      <c r="K1052" s="259"/>
      <c r="L1052" s="259"/>
      <c r="M1052" s="259"/>
      <c r="N1052" s="259"/>
      <c r="O1052" s="235"/>
      <c r="P1052" s="235"/>
      <c r="Q1052" s="235"/>
    </row>
    <row r="1053" spans="2:17">
      <c r="B1053" s="241"/>
      <c r="C1053" s="241"/>
      <c r="D1053" s="241"/>
      <c r="E1053" s="241"/>
      <c r="F1053" s="259"/>
      <c r="G1053" s="259"/>
      <c r="H1053" s="259"/>
      <c r="I1053" s="259"/>
      <c r="J1053" s="259"/>
      <c r="K1053" s="259"/>
      <c r="L1053" s="259"/>
      <c r="M1053" s="259"/>
      <c r="N1053" s="259"/>
      <c r="O1053" s="235"/>
      <c r="P1053" s="235"/>
      <c r="Q1053" s="235"/>
    </row>
    <row r="1054" spans="2:17">
      <c r="B1054" s="241"/>
      <c r="C1054" s="241"/>
      <c r="D1054" s="241"/>
      <c r="E1054" s="241"/>
      <c r="F1054" s="259"/>
      <c r="G1054" s="259"/>
      <c r="H1054" s="259"/>
      <c r="I1054" s="259"/>
      <c r="J1054" s="259"/>
      <c r="K1054" s="259"/>
      <c r="L1054" s="259"/>
      <c r="M1054" s="259"/>
      <c r="N1054" s="259"/>
      <c r="O1054" s="235"/>
      <c r="P1054" s="235"/>
      <c r="Q1054" s="235"/>
    </row>
    <row r="1055" spans="2:17">
      <c r="B1055" s="241"/>
      <c r="C1055" s="241"/>
      <c r="D1055" s="241"/>
      <c r="E1055" s="241"/>
      <c r="F1055" s="259"/>
      <c r="G1055" s="259"/>
      <c r="H1055" s="259"/>
      <c r="I1055" s="259"/>
      <c r="J1055" s="259"/>
      <c r="K1055" s="259"/>
      <c r="L1055" s="259"/>
      <c r="M1055" s="259"/>
      <c r="N1055" s="259"/>
      <c r="O1055" s="235"/>
      <c r="P1055" s="235"/>
      <c r="Q1055" s="235"/>
    </row>
    <row r="1056" spans="2:17">
      <c r="B1056" s="241"/>
      <c r="C1056" s="241"/>
      <c r="D1056" s="241"/>
      <c r="E1056" s="241"/>
      <c r="F1056" s="259"/>
      <c r="G1056" s="259"/>
      <c r="H1056" s="259"/>
      <c r="I1056" s="259"/>
      <c r="J1056" s="259"/>
      <c r="K1056" s="259"/>
      <c r="L1056" s="259"/>
      <c r="M1056" s="259"/>
      <c r="N1056" s="259"/>
      <c r="O1056" s="235"/>
      <c r="P1056" s="235"/>
      <c r="Q1056" s="235"/>
    </row>
    <row r="1057" spans="2:17">
      <c r="B1057" s="241"/>
      <c r="C1057" s="241"/>
      <c r="D1057" s="241"/>
      <c r="E1057" s="241"/>
      <c r="F1057" s="259"/>
      <c r="G1057" s="259"/>
      <c r="H1057" s="259"/>
      <c r="I1057" s="259"/>
      <c r="J1057" s="259"/>
      <c r="K1057" s="259"/>
      <c r="L1057" s="259"/>
      <c r="M1057" s="259"/>
      <c r="N1057" s="259"/>
      <c r="O1057" s="235"/>
      <c r="P1057" s="235"/>
      <c r="Q1057" s="235"/>
    </row>
    <row r="1058" spans="2:17">
      <c r="B1058" s="241"/>
      <c r="C1058" s="241"/>
      <c r="D1058" s="241"/>
      <c r="E1058" s="241"/>
      <c r="F1058" s="259"/>
      <c r="G1058" s="259"/>
      <c r="H1058" s="259"/>
      <c r="I1058" s="259"/>
      <c r="J1058" s="259"/>
      <c r="K1058" s="259"/>
      <c r="L1058" s="259"/>
      <c r="M1058" s="259"/>
      <c r="N1058" s="259"/>
      <c r="O1058" s="235"/>
      <c r="P1058" s="235"/>
      <c r="Q1058" s="235"/>
    </row>
    <row r="1059" spans="2:17">
      <c r="B1059" s="241"/>
      <c r="C1059" s="241"/>
      <c r="D1059" s="241"/>
      <c r="E1059" s="241"/>
      <c r="F1059" s="259"/>
      <c r="G1059" s="259"/>
      <c r="H1059" s="259"/>
      <c r="I1059" s="259"/>
      <c r="J1059" s="259"/>
      <c r="K1059" s="259"/>
      <c r="L1059" s="259"/>
      <c r="M1059" s="259"/>
      <c r="N1059" s="259"/>
      <c r="O1059" s="235"/>
      <c r="P1059" s="235"/>
      <c r="Q1059" s="235"/>
    </row>
    <row r="1060" spans="2:17">
      <c r="B1060" s="241"/>
      <c r="C1060" s="241"/>
      <c r="D1060" s="241"/>
      <c r="E1060" s="241"/>
      <c r="F1060" s="259"/>
      <c r="G1060" s="259"/>
      <c r="H1060" s="259"/>
      <c r="I1060" s="259"/>
      <c r="J1060" s="259"/>
      <c r="K1060" s="259"/>
      <c r="L1060" s="259"/>
      <c r="M1060" s="259"/>
      <c r="N1060" s="259"/>
      <c r="O1060" s="235"/>
      <c r="P1060" s="235"/>
      <c r="Q1060" s="235"/>
    </row>
    <row r="1061" spans="2:17">
      <c r="B1061" s="241"/>
      <c r="C1061" s="241"/>
      <c r="D1061" s="241"/>
      <c r="E1061" s="241"/>
      <c r="F1061" s="259"/>
      <c r="G1061" s="259"/>
      <c r="H1061" s="259"/>
      <c r="I1061" s="259"/>
      <c r="J1061" s="259"/>
      <c r="K1061" s="259"/>
      <c r="L1061" s="259"/>
      <c r="M1061" s="259"/>
      <c r="N1061" s="259"/>
      <c r="O1061" s="235"/>
      <c r="P1061" s="235"/>
      <c r="Q1061" s="235"/>
    </row>
    <row r="1062" spans="2:17">
      <c r="B1062" s="241"/>
      <c r="C1062" s="241"/>
      <c r="D1062" s="241"/>
      <c r="E1062" s="241"/>
      <c r="F1062" s="259"/>
      <c r="G1062" s="259"/>
      <c r="H1062" s="259"/>
      <c r="I1062" s="259"/>
      <c r="J1062" s="259"/>
      <c r="K1062" s="259"/>
      <c r="L1062" s="259"/>
      <c r="M1062" s="259"/>
      <c r="N1062" s="259"/>
      <c r="O1062" s="235"/>
      <c r="P1062" s="235"/>
      <c r="Q1062" s="235"/>
    </row>
    <row r="1063" spans="2:17">
      <c r="B1063" s="241"/>
      <c r="C1063" s="241"/>
      <c r="D1063" s="241"/>
      <c r="E1063" s="241"/>
      <c r="F1063" s="259"/>
      <c r="G1063" s="259"/>
      <c r="H1063" s="259"/>
      <c r="I1063" s="259"/>
      <c r="J1063" s="259"/>
      <c r="K1063" s="259"/>
      <c r="L1063" s="259"/>
      <c r="M1063" s="259"/>
      <c r="N1063" s="259"/>
      <c r="O1063" s="235"/>
      <c r="P1063" s="235"/>
      <c r="Q1063" s="235"/>
    </row>
    <row r="1064" spans="2:17">
      <c r="B1064" s="241"/>
      <c r="C1064" s="241"/>
      <c r="D1064" s="241"/>
      <c r="E1064" s="241"/>
      <c r="F1064" s="259"/>
      <c r="G1064" s="259"/>
      <c r="H1064" s="259"/>
      <c r="I1064" s="259"/>
      <c r="J1064" s="259"/>
      <c r="K1064" s="259"/>
      <c r="L1064" s="259"/>
      <c r="M1064" s="259"/>
      <c r="N1064" s="259"/>
      <c r="O1064" s="235"/>
      <c r="P1064" s="235"/>
      <c r="Q1064" s="235"/>
    </row>
    <row r="1065" spans="2:17">
      <c r="B1065" s="241"/>
      <c r="C1065" s="241"/>
      <c r="D1065" s="241"/>
      <c r="E1065" s="241"/>
      <c r="F1065" s="259"/>
      <c r="G1065" s="259"/>
      <c r="H1065" s="259"/>
      <c r="I1065" s="259"/>
      <c r="J1065" s="259"/>
      <c r="K1065" s="259"/>
      <c r="L1065" s="259"/>
      <c r="M1065" s="259"/>
      <c r="N1065" s="259"/>
      <c r="O1065" s="235"/>
      <c r="P1065" s="235"/>
      <c r="Q1065" s="235"/>
    </row>
    <row r="1066" spans="2:17">
      <c r="B1066" s="241"/>
      <c r="C1066" s="241"/>
      <c r="D1066" s="241"/>
      <c r="E1066" s="241"/>
      <c r="F1066" s="259"/>
      <c r="G1066" s="259"/>
      <c r="H1066" s="259"/>
      <c r="I1066" s="259"/>
      <c r="J1066" s="259"/>
      <c r="K1066" s="259"/>
      <c r="L1066" s="259"/>
      <c r="M1066" s="259"/>
      <c r="N1066" s="259"/>
      <c r="O1066" s="235"/>
      <c r="P1066" s="235"/>
      <c r="Q1066" s="235"/>
    </row>
    <row r="1067" spans="2:17">
      <c r="B1067" s="241"/>
      <c r="C1067" s="241"/>
      <c r="D1067" s="241"/>
      <c r="E1067" s="241"/>
      <c r="F1067" s="259"/>
      <c r="G1067" s="259"/>
      <c r="H1067" s="259"/>
      <c r="I1067" s="259"/>
      <c r="J1067" s="259"/>
      <c r="K1067" s="259"/>
      <c r="L1067" s="259"/>
      <c r="M1067" s="259"/>
      <c r="N1067" s="259"/>
      <c r="O1067" s="235"/>
      <c r="P1067" s="235"/>
      <c r="Q1067" s="235"/>
    </row>
    <row r="1068" spans="2:17">
      <c r="B1068" s="241"/>
      <c r="C1068" s="241"/>
      <c r="D1068" s="241"/>
      <c r="E1068" s="241"/>
      <c r="F1068" s="259"/>
      <c r="G1068" s="259"/>
      <c r="H1068" s="259"/>
      <c r="I1068" s="259"/>
      <c r="J1068" s="259"/>
      <c r="K1068" s="259"/>
      <c r="L1068" s="259"/>
      <c r="M1068" s="259"/>
      <c r="N1068" s="259"/>
      <c r="O1068" s="235"/>
      <c r="P1068" s="235"/>
      <c r="Q1068" s="235"/>
    </row>
    <row r="1069" spans="2:17">
      <c r="B1069" s="241"/>
      <c r="C1069" s="241"/>
      <c r="D1069" s="241"/>
      <c r="E1069" s="241"/>
      <c r="F1069" s="259"/>
      <c r="G1069" s="259"/>
      <c r="H1069" s="259"/>
      <c r="I1069" s="259"/>
      <c r="J1069" s="259"/>
      <c r="K1069" s="259"/>
      <c r="L1069" s="259"/>
      <c r="M1069" s="259"/>
      <c r="N1069" s="259"/>
      <c r="O1069" s="235"/>
      <c r="P1069" s="235"/>
      <c r="Q1069" s="235"/>
    </row>
    <row r="1070" spans="2:17">
      <c r="B1070" s="241"/>
      <c r="C1070" s="241"/>
      <c r="D1070" s="241"/>
      <c r="E1070" s="241"/>
      <c r="F1070" s="259"/>
      <c r="G1070" s="259"/>
      <c r="H1070" s="259"/>
      <c r="I1070" s="259"/>
      <c r="J1070" s="259"/>
      <c r="K1070" s="259"/>
      <c r="L1070" s="259"/>
      <c r="M1070" s="259"/>
      <c r="N1070" s="259"/>
      <c r="O1070" s="235"/>
      <c r="P1070" s="235"/>
      <c r="Q1070" s="235"/>
    </row>
    <row r="1071" spans="2:17">
      <c r="B1071" s="241"/>
      <c r="C1071" s="241"/>
      <c r="D1071" s="241"/>
      <c r="E1071" s="241"/>
      <c r="F1071" s="259"/>
      <c r="G1071" s="259"/>
      <c r="H1071" s="259"/>
      <c r="I1071" s="259"/>
      <c r="J1071" s="259"/>
      <c r="K1071" s="259"/>
      <c r="L1071" s="259"/>
      <c r="M1071" s="259"/>
      <c r="N1071" s="259"/>
      <c r="O1071" s="235"/>
      <c r="P1071" s="235"/>
      <c r="Q1071" s="235"/>
    </row>
    <row r="1072" spans="2:17">
      <c r="B1072" s="241"/>
      <c r="C1072" s="241"/>
      <c r="D1072" s="241"/>
      <c r="E1072" s="241"/>
      <c r="F1072" s="259"/>
      <c r="G1072" s="259"/>
      <c r="H1072" s="259"/>
      <c r="I1072" s="259"/>
      <c r="J1072" s="259"/>
      <c r="K1072" s="259"/>
      <c r="L1072" s="259"/>
      <c r="M1072" s="259"/>
      <c r="N1072" s="259"/>
      <c r="O1072" s="235"/>
      <c r="P1072" s="235"/>
      <c r="Q1072" s="235"/>
    </row>
    <row r="1073" spans="2:17">
      <c r="B1073" s="241"/>
      <c r="C1073" s="241"/>
      <c r="D1073" s="241"/>
      <c r="E1073" s="241"/>
      <c r="F1073" s="259"/>
      <c r="G1073" s="259"/>
      <c r="H1073" s="259"/>
      <c r="I1073" s="259"/>
      <c r="J1073" s="259"/>
      <c r="K1073" s="259"/>
      <c r="L1073" s="259"/>
      <c r="M1073" s="259"/>
      <c r="N1073" s="259"/>
      <c r="O1073" s="235"/>
      <c r="P1073" s="235"/>
      <c r="Q1073" s="235"/>
    </row>
    <row r="1074" spans="2:17">
      <c r="B1074" s="241"/>
      <c r="C1074" s="241"/>
      <c r="D1074" s="241"/>
      <c r="E1074" s="241"/>
      <c r="F1074" s="259"/>
      <c r="G1074" s="259"/>
      <c r="H1074" s="259"/>
      <c r="I1074" s="259"/>
      <c r="J1074" s="259"/>
      <c r="K1074" s="259"/>
      <c r="L1074" s="259"/>
      <c r="M1074" s="259"/>
      <c r="N1074" s="259"/>
      <c r="O1074" s="235"/>
      <c r="P1074" s="235"/>
      <c r="Q1074" s="235"/>
    </row>
    <row r="1075" spans="2:17">
      <c r="B1075" s="241"/>
      <c r="C1075" s="241"/>
      <c r="D1075" s="241"/>
      <c r="E1075" s="241"/>
      <c r="F1075" s="259"/>
      <c r="G1075" s="259"/>
      <c r="H1075" s="259"/>
      <c r="I1075" s="259"/>
      <c r="J1075" s="259"/>
      <c r="K1075" s="259"/>
      <c r="L1075" s="259"/>
      <c r="M1075" s="259"/>
      <c r="N1075" s="259"/>
      <c r="O1075" s="235"/>
      <c r="P1075" s="235"/>
      <c r="Q1075" s="235"/>
    </row>
    <row r="1076" spans="2:17">
      <c r="B1076" s="241"/>
      <c r="C1076" s="241"/>
      <c r="D1076" s="241"/>
      <c r="E1076" s="241"/>
      <c r="F1076" s="259"/>
      <c r="G1076" s="259"/>
      <c r="H1076" s="259"/>
      <c r="I1076" s="259"/>
      <c r="J1076" s="259"/>
      <c r="K1076" s="259"/>
      <c r="L1076" s="259"/>
      <c r="M1076" s="259"/>
      <c r="N1076" s="259"/>
      <c r="O1076" s="235"/>
      <c r="P1076" s="235"/>
      <c r="Q1076" s="235"/>
    </row>
    <row r="1077" spans="2:17">
      <c r="B1077" s="241"/>
      <c r="C1077" s="241"/>
      <c r="D1077" s="241"/>
      <c r="E1077" s="241"/>
      <c r="F1077" s="259"/>
      <c r="G1077" s="259"/>
      <c r="H1077" s="259"/>
      <c r="I1077" s="259"/>
      <c r="J1077" s="259"/>
      <c r="K1077" s="259"/>
      <c r="L1077" s="259"/>
      <c r="M1077" s="259"/>
      <c r="N1077" s="259"/>
      <c r="O1077" s="235"/>
      <c r="P1077" s="235"/>
      <c r="Q1077" s="235"/>
    </row>
    <row r="1078" spans="2:17">
      <c r="B1078" s="241"/>
      <c r="C1078" s="241"/>
      <c r="D1078" s="241"/>
      <c r="E1078" s="241"/>
      <c r="F1078" s="259"/>
      <c r="G1078" s="259"/>
      <c r="H1078" s="259"/>
      <c r="I1078" s="259"/>
      <c r="J1078" s="259"/>
      <c r="K1078" s="259"/>
      <c r="L1078" s="259"/>
      <c r="M1078" s="259"/>
      <c r="N1078" s="259"/>
      <c r="O1078" s="235"/>
      <c r="P1078" s="235"/>
      <c r="Q1078" s="235"/>
    </row>
    <row r="1079" spans="2:17">
      <c r="B1079" s="241"/>
      <c r="C1079" s="241"/>
      <c r="D1079" s="241"/>
      <c r="E1079" s="241"/>
      <c r="F1079" s="259"/>
      <c r="G1079" s="259"/>
      <c r="H1079" s="259"/>
      <c r="I1079" s="259"/>
      <c r="J1079" s="259"/>
      <c r="K1079" s="259"/>
      <c r="L1079" s="259"/>
      <c r="M1079" s="259"/>
      <c r="N1079" s="259"/>
      <c r="O1079" s="235"/>
      <c r="P1079" s="235"/>
      <c r="Q1079" s="235"/>
    </row>
    <row r="1080" spans="2:17">
      <c r="B1080" s="241"/>
      <c r="C1080" s="241"/>
      <c r="D1080" s="241"/>
      <c r="E1080" s="241"/>
      <c r="F1080" s="259"/>
      <c r="G1080" s="259"/>
      <c r="H1080" s="259"/>
      <c r="I1080" s="259"/>
      <c r="J1080" s="259"/>
      <c r="K1080" s="259"/>
      <c r="L1080" s="259"/>
      <c r="M1080" s="259"/>
      <c r="N1080" s="259"/>
      <c r="O1080" s="235"/>
      <c r="P1080" s="235"/>
      <c r="Q1080" s="235"/>
    </row>
    <row r="1081" spans="2:17">
      <c r="B1081" s="241"/>
      <c r="C1081" s="241"/>
      <c r="D1081" s="241"/>
      <c r="E1081" s="241"/>
      <c r="F1081" s="259"/>
      <c r="G1081" s="259"/>
      <c r="H1081" s="259"/>
      <c r="I1081" s="259"/>
      <c r="J1081" s="259"/>
      <c r="K1081" s="259"/>
      <c r="L1081" s="259"/>
      <c r="M1081" s="259"/>
      <c r="N1081" s="259"/>
      <c r="O1081" s="235"/>
      <c r="P1081" s="235"/>
      <c r="Q1081" s="235"/>
    </row>
    <row r="1082" spans="2:17">
      <c r="B1082" s="241"/>
      <c r="C1082" s="241"/>
      <c r="D1082" s="241"/>
      <c r="E1082" s="241"/>
      <c r="F1082" s="259"/>
      <c r="G1082" s="259"/>
      <c r="H1082" s="259"/>
      <c r="I1082" s="259"/>
      <c r="J1082" s="259"/>
      <c r="K1082" s="259"/>
      <c r="L1082" s="259"/>
      <c r="M1082" s="259"/>
      <c r="N1082" s="259"/>
      <c r="O1082" s="235"/>
      <c r="P1082" s="235"/>
      <c r="Q1082" s="235"/>
    </row>
    <row r="1083" spans="2:17">
      <c r="B1083" s="241"/>
      <c r="C1083" s="241"/>
      <c r="D1083" s="241"/>
      <c r="E1083" s="241"/>
      <c r="F1083" s="259"/>
      <c r="G1083" s="259"/>
      <c r="H1083" s="259"/>
      <c r="I1083" s="259"/>
      <c r="J1083" s="259"/>
      <c r="K1083" s="259"/>
      <c r="L1083" s="259"/>
      <c r="M1083" s="259"/>
      <c r="N1083" s="259"/>
      <c r="O1083" s="235"/>
      <c r="P1083" s="235"/>
      <c r="Q1083" s="235"/>
    </row>
    <row r="1084" spans="2:17">
      <c r="B1084" s="241"/>
      <c r="C1084" s="241"/>
      <c r="D1084" s="241"/>
      <c r="E1084" s="241"/>
      <c r="F1084" s="259"/>
      <c r="G1084" s="259"/>
      <c r="H1084" s="259"/>
      <c r="I1084" s="259"/>
      <c r="J1084" s="259"/>
      <c r="K1084" s="259"/>
      <c r="L1084" s="259"/>
      <c r="M1084" s="259"/>
      <c r="N1084" s="259"/>
      <c r="O1084" s="235"/>
      <c r="P1084" s="235"/>
      <c r="Q1084" s="235"/>
    </row>
    <row r="1085" spans="2:17">
      <c r="B1085" s="241"/>
      <c r="C1085" s="241"/>
      <c r="D1085" s="241"/>
      <c r="E1085" s="241"/>
      <c r="F1085" s="259"/>
      <c r="G1085" s="259"/>
      <c r="H1085" s="259"/>
      <c r="I1085" s="259"/>
      <c r="J1085" s="259"/>
      <c r="K1085" s="259"/>
      <c r="L1085" s="259"/>
      <c r="M1085" s="259"/>
      <c r="N1085" s="259"/>
      <c r="O1085" s="235"/>
      <c r="P1085" s="235"/>
      <c r="Q1085" s="235"/>
    </row>
    <row r="1086" spans="2:17">
      <c r="B1086" s="241"/>
      <c r="C1086" s="241"/>
      <c r="D1086" s="241"/>
      <c r="E1086" s="241"/>
      <c r="F1086" s="259"/>
      <c r="G1086" s="259"/>
      <c r="H1086" s="259"/>
      <c r="I1086" s="259"/>
      <c r="J1086" s="259"/>
      <c r="K1086" s="259"/>
      <c r="L1086" s="259"/>
      <c r="M1086" s="259"/>
      <c r="N1086" s="259"/>
      <c r="O1086" s="235"/>
      <c r="P1086" s="235"/>
      <c r="Q1086" s="235"/>
    </row>
    <row r="1087" spans="2:17">
      <c r="B1087" s="241"/>
      <c r="C1087" s="241"/>
      <c r="D1087" s="241"/>
      <c r="E1087" s="241"/>
      <c r="F1087" s="259"/>
      <c r="G1087" s="259"/>
      <c r="H1087" s="259"/>
      <c r="I1087" s="259"/>
      <c r="J1087" s="259"/>
      <c r="K1087" s="259"/>
      <c r="L1087" s="259"/>
      <c r="M1087" s="259"/>
      <c r="N1087" s="259"/>
      <c r="O1087" s="235"/>
      <c r="P1087" s="235"/>
      <c r="Q1087" s="235"/>
    </row>
    <row r="1088" spans="2:17">
      <c r="B1088" s="241"/>
      <c r="C1088" s="241"/>
      <c r="D1088" s="241"/>
      <c r="E1088" s="241"/>
      <c r="F1088" s="259"/>
      <c r="G1088" s="259"/>
      <c r="H1088" s="259"/>
      <c r="I1088" s="259"/>
      <c r="J1088" s="259"/>
      <c r="K1088" s="259"/>
      <c r="L1088" s="259"/>
      <c r="M1088" s="259"/>
      <c r="N1088" s="259"/>
      <c r="O1088" s="235"/>
      <c r="P1088" s="235"/>
      <c r="Q1088" s="235"/>
    </row>
    <row r="1089" spans="2:17">
      <c r="B1089" s="241"/>
      <c r="C1089" s="241"/>
      <c r="D1089" s="241"/>
      <c r="E1089" s="241"/>
      <c r="F1089" s="259"/>
      <c r="G1089" s="259"/>
      <c r="H1089" s="259"/>
      <c r="I1089" s="259"/>
      <c r="J1089" s="259"/>
      <c r="K1089" s="259"/>
      <c r="L1089" s="259"/>
      <c r="M1089" s="259"/>
      <c r="N1089" s="259"/>
      <c r="O1089" s="235"/>
      <c r="P1089" s="235"/>
      <c r="Q1089" s="235"/>
    </row>
    <row r="1090" spans="2:17">
      <c r="B1090" s="241"/>
      <c r="C1090" s="241"/>
      <c r="D1090" s="241"/>
      <c r="E1090" s="241"/>
      <c r="F1090" s="259"/>
      <c r="G1090" s="259"/>
      <c r="H1090" s="259"/>
      <c r="I1090" s="259"/>
      <c r="J1090" s="259"/>
      <c r="K1090" s="259"/>
      <c r="L1090" s="259"/>
      <c r="M1090" s="259"/>
      <c r="N1090" s="259"/>
      <c r="O1090" s="235"/>
      <c r="P1090" s="235"/>
      <c r="Q1090" s="235"/>
    </row>
    <row r="1091" spans="2:17">
      <c r="B1091" s="241"/>
      <c r="C1091" s="241"/>
      <c r="D1091" s="241"/>
      <c r="E1091" s="241"/>
      <c r="F1091" s="259"/>
      <c r="G1091" s="259"/>
      <c r="H1091" s="259"/>
      <c r="I1091" s="259"/>
      <c r="J1091" s="259"/>
      <c r="K1091" s="259"/>
      <c r="L1091" s="259"/>
      <c r="M1091" s="259"/>
      <c r="N1091" s="259"/>
      <c r="O1091" s="235"/>
      <c r="P1091" s="235"/>
      <c r="Q1091" s="235"/>
    </row>
    <row r="1092" spans="2:17">
      <c r="B1092" s="241"/>
      <c r="C1092" s="241"/>
      <c r="D1092" s="241"/>
      <c r="E1092" s="241"/>
      <c r="F1092" s="259"/>
      <c r="G1092" s="259"/>
      <c r="H1092" s="259"/>
      <c r="I1092" s="259"/>
      <c r="J1092" s="259"/>
      <c r="K1092" s="259"/>
      <c r="L1092" s="259"/>
      <c r="M1092" s="259"/>
      <c r="N1092" s="259"/>
      <c r="O1092" s="235"/>
      <c r="P1092" s="235"/>
      <c r="Q1092" s="235"/>
    </row>
    <row r="1093" spans="2:17">
      <c r="B1093" s="241"/>
      <c r="C1093" s="241"/>
      <c r="D1093" s="241"/>
      <c r="E1093" s="241"/>
      <c r="F1093" s="259"/>
      <c r="G1093" s="259"/>
      <c r="H1093" s="259"/>
      <c r="I1093" s="259"/>
      <c r="J1093" s="259"/>
      <c r="K1093" s="259"/>
      <c r="L1093" s="259"/>
      <c r="M1093" s="259"/>
      <c r="N1093" s="259"/>
      <c r="O1093" s="235"/>
      <c r="P1093" s="235"/>
      <c r="Q1093" s="235"/>
    </row>
    <row r="1094" spans="2:17">
      <c r="B1094" s="241"/>
      <c r="C1094" s="241"/>
      <c r="D1094" s="241"/>
      <c r="E1094" s="241"/>
      <c r="F1094" s="259"/>
      <c r="G1094" s="259"/>
      <c r="H1094" s="259"/>
      <c r="I1094" s="259"/>
      <c r="J1094" s="259"/>
      <c r="K1094" s="259"/>
      <c r="L1094" s="259"/>
      <c r="M1094" s="259"/>
      <c r="N1094" s="259"/>
      <c r="O1094" s="235"/>
      <c r="P1094" s="235"/>
      <c r="Q1094" s="235"/>
    </row>
    <row r="1095" spans="2:17">
      <c r="B1095" s="241"/>
      <c r="C1095" s="241"/>
      <c r="D1095" s="241"/>
      <c r="E1095" s="241"/>
      <c r="F1095" s="259"/>
      <c r="G1095" s="259"/>
      <c r="H1095" s="259"/>
      <c r="I1095" s="259"/>
      <c r="J1095" s="259"/>
      <c r="K1095" s="259"/>
      <c r="L1095" s="259"/>
      <c r="M1095" s="259"/>
      <c r="N1095" s="259"/>
      <c r="O1095" s="235"/>
      <c r="P1095" s="235"/>
      <c r="Q1095" s="235"/>
    </row>
    <row r="1096" spans="2:17">
      <c r="B1096" s="241"/>
      <c r="C1096" s="241"/>
      <c r="D1096" s="241"/>
      <c r="E1096" s="241"/>
      <c r="F1096" s="259"/>
      <c r="G1096" s="259"/>
      <c r="H1096" s="259"/>
      <c r="I1096" s="259"/>
      <c r="J1096" s="259"/>
      <c r="K1096" s="259"/>
      <c r="L1096" s="259"/>
      <c r="M1096" s="259"/>
      <c r="N1096" s="259"/>
      <c r="O1096" s="235"/>
      <c r="P1096" s="235"/>
      <c r="Q1096" s="235"/>
    </row>
    <row r="1097" spans="2:17">
      <c r="B1097" s="241"/>
      <c r="C1097" s="241"/>
      <c r="D1097" s="241"/>
      <c r="E1097" s="241"/>
      <c r="F1097" s="259"/>
      <c r="G1097" s="259"/>
      <c r="H1097" s="259"/>
      <c r="I1097" s="259"/>
      <c r="J1097" s="259"/>
      <c r="K1097" s="259"/>
      <c r="L1097" s="259"/>
      <c r="M1097" s="259"/>
      <c r="N1097" s="259"/>
      <c r="O1097" s="235"/>
      <c r="P1097" s="235"/>
      <c r="Q1097" s="235"/>
    </row>
    <row r="1098" spans="2:17">
      <c r="B1098" s="241"/>
      <c r="C1098" s="241"/>
      <c r="D1098" s="241"/>
      <c r="E1098" s="241"/>
      <c r="F1098" s="259"/>
      <c r="G1098" s="259"/>
      <c r="H1098" s="259"/>
      <c r="I1098" s="259"/>
      <c r="J1098" s="259"/>
      <c r="K1098" s="259"/>
      <c r="L1098" s="259"/>
      <c r="M1098" s="259"/>
      <c r="N1098" s="259"/>
      <c r="O1098" s="235"/>
      <c r="P1098" s="235"/>
      <c r="Q1098" s="235"/>
    </row>
    <row r="1099" spans="2:17">
      <c r="B1099" s="241"/>
      <c r="C1099" s="241"/>
      <c r="D1099" s="241"/>
      <c r="E1099" s="241"/>
      <c r="F1099" s="259"/>
      <c r="G1099" s="259"/>
      <c r="H1099" s="259"/>
      <c r="I1099" s="259"/>
      <c r="J1099" s="259"/>
      <c r="K1099" s="259"/>
      <c r="L1099" s="259"/>
      <c r="M1099" s="259"/>
      <c r="N1099" s="259"/>
      <c r="O1099" s="235"/>
      <c r="P1099" s="235"/>
      <c r="Q1099" s="235"/>
    </row>
    <row r="1100" spans="2:17">
      <c r="B1100" s="241"/>
      <c r="C1100" s="241"/>
      <c r="D1100" s="241"/>
      <c r="E1100" s="241"/>
      <c r="F1100" s="259"/>
      <c r="G1100" s="259"/>
      <c r="H1100" s="259"/>
      <c r="I1100" s="259"/>
      <c r="J1100" s="259"/>
      <c r="K1100" s="259"/>
      <c r="L1100" s="259"/>
      <c r="M1100" s="259"/>
      <c r="N1100" s="259"/>
      <c r="O1100" s="235"/>
      <c r="P1100" s="235"/>
      <c r="Q1100" s="235"/>
    </row>
    <row r="1101" spans="2:17">
      <c r="B1101" s="241"/>
      <c r="C1101" s="241"/>
      <c r="D1101" s="241"/>
      <c r="E1101" s="241"/>
      <c r="F1101" s="259"/>
      <c r="G1101" s="259"/>
      <c r="H1101" s="259"/>
      <c r="I1101" s="259"/>
      <c r="J1101" s="259"/>
      <c r="K1101" s="259"/>
      <c r="L1101" s="259"/>
      <c r="M1101" s="259"/>
      <c r="N1101" s="259"/>
      <c r="O1101" s="235"/>
      <c r="P1101" s="235"/>
      <c r="Q1101" s="235"/>
    </row>
    <row r="1102" spans="2:17">
      <c r="B1102" s="241"/>
      <c r="C1102" s="241"/>
      <c r="D1102" s="241"/>
      <c r="E1102" s="241"/>
      <c r="F1102" s="259"/>
      <c r="G1102" s="259"/>
      <c r="H1102" s="259"/>
      <c r="I1102" s="259"/>
      <c r="J1102" s="259"/>
      <c r="K1102" s="259"/>
      <c r="L1102" s="259"/>
      <c r="M1102" s="259"/>
      <c r="N1102" s="259"/>
      <c r="O1102" s="235"/>
      <c r="P1102" s="235"/>
      <c r="Q1102" s="235"/>
    </row>
    <row r="1103" spans="2:17">
      <c r="B1103" s="241"/>
      <c r="C1103" s="241"/>
      <c r="D1103" s="241"/>
      <c r="E1103" s="241"/>
      <c r="F1103" s="259"/>
      <c r="G1103" s="259"/>
      <c r="H1103" s="259"/>
      <c r="I1103" s="259"/>
      <c r="J1103" s="259"/>
      <c r="K1103" s="259"/>
      <c r="L1103" s="259"/>
      <c r="M1103" s="259"/>
      <c r="N1103" s="259"/>
      <c r="O1103" s="235"/>
      <c r="P1103" s="235"/>
      <c r="Q1103" s="235"/>
    </row>
    <row r="1104" spans="2:17">
      <c r="B1104" s="241"/>
      <c r="C1104" s="241"/>
      <c r="D1104" s="241"/>
      <c r="E1104" s="241"/>
      <c r="F1104" s="259"/>
      <c r="G1104" s="259"/>
      <c r="H1104" s="259"/>
      <c r="I1104" s="259"/>
      <c r="J1104" s="259"/>
      <c r="K1104" s="259"/>
      <c r="L1104" s="259"/>
      <c r="M1104" s="259"/>
      <c r="N1104" s="259"/>
      <c r="O1104" s="235"/>
      <c r="P1104" s="235"/>
      <c r="Q1104" s="235"/>
    </row>
    <row r="1105" spans="2:17">
      <c r="B1105" s="241"/>
      <c r="C1105" s="241"/>
      <c r="D1105" s="241"/>
      <c r="E1105" s="241"/>
      <c r="F1105" s="259"/>
      <c r="G1105" s="259"/>
      <c r="H1105" s="259"/>
      <c r="I1105" s="259"/>
      <c r="J1105" s="259"/>
      <c r="K1105" s="259"/>
      <c r="L1105" s="259"/>
      <c r="M1105" s="259"/>
      <c r="N1105" s="259"/>
      <c r="O1105" s="235"/>
      <c r="P1105" s="235"/>
      <c r="Q1105" s="235"/>
    </row>
    <row r="1106" spans="2:17">
      <c r="B1106" s="241"/>
      <c r="C1106" s="241"/>
      <c r="D1106" s="241"/>
      <c r="E1106" s="241"/>
      <c r="F1106" s="259"/>
      <c r="G1106" s="259"/>
      <c r="H1106" s="259"/>
      <c r="I1106" s="259"/>
      <c r="J1106" s="259"/>
      <c r="K1106" s="259"/>
      <c r="L1106" s="259"/>
      <c r="M1106" s="259"/>
      <c r="N1106" s="259"/>
      <c r="O1106" s="235"/>
      <c r="P1106" s="235"/>
      <c r="Q1106" s="235"/>
    </row>
    <row r="1107" spans="2:17">
      <c r="B1107" s="241"/>
      <c r="C1107" s="241"/>
      <c r="D1107" s="241"/>
      <c r="E1107" s="241"/>
      <c r="F1107" s="259"/>
      <c r="G1107" s="259"/>
      <c r="H1107" s="259"/>
      <c r="I1107" s="259"/>
      <c r="J1107" s="259"/>
      <c r="K1107" s="259"/>
      <c r="L1107" s="259"/>
      <c r="M1107" s="259"/>
      <c r="N1107" s="259"/>
      <c r="O1107" s="235"/>
      <c r="P1107" s="235"/>
      <c r="Q1107" s="235"/>
    </row>
    <row r="1108" spans="2:17">
      <c r="B1108" s="241"/>
      <c r="C1108" s="241"/>
      <c r="D1108" s="241"/>
      <c r="E1108" s="241"/>
      <c r="F1108" s="259"/>
      <c r="G1108" s="259"/>
      <c r="H1108" s="259"/>
      <c r="I1108" s="259"/>
      <c r="J1108" s="259"/>
      <c r="K1108" s="259"/>
      <c r="L1108" s="259"/>
      <c r="M1108" s="259"/>
      <c r="N1108" s="259"/>
      <c r="O1108" s="235"/>
      <c r="P1108" s="235"/>
      <c r="Q1108" s="235"/>
    </row>
    <row r="1109" spans="2:17">
      <c r="B1109" s="241"/>
      <c r="C1109" s="241"/>
      <c r="D1109" s="241"/>
      <c r="E1109" s="241"/>
      <c r="F1109" s="259"/>
      <c r="G1109" s="259"/>
      <c r="H1109" s="259"/>
      <c r="I1109" s="259"/>
      <c r="J1109" s="259"/>
      <c r="K1109" s="259"/>
      <c r="L1109" s="259"/>
      <c r="M1109" s="259"/>
      <c r="N1109" s="259"/>
      <c r="O1109" s="235"/>
      <c r="P1109" s="235"/>
      <c r="Q1109" s="235"/>
    </row>
    <row r="1110" spans="2:17">
      <c r="B1110" s="241"/>
      <c r="C1110" s="241"/>
      <c r="D1110" s="241"/>
      <c r="E1110" s="241"/>
      <c r="F1110" s="259"/>
      <c r="G1110" s="259"/>
      <c r="H1110" s="259"/>
      <c r="I1110" s="259"/>
      <c r="J1110" s="259"/>
      <c r="K1110" s="259"/>
      <c r="L1110" s="259"/>
      <c r="M1110" s="259"/>
      <c r="N1110" s="259"/>
      <c r="O1110" s="235"/>
      <c r="P1110" s="235"/>
      <c r="Q1110" s="235"/>
    </row>
    <row r="1111" spans="2:17">
      <c r="B1111" s="241"/>
      <c r="C1111" s="241"/>
      <c r="D1111" s="241"/>
      <c r="E1111" s="241"/>
      <c r="F1111" s="259"/>
      <c r="G1111" s="259"/>
      <c r="H1111" s="259"/>
      <c r="I1111" s="259"/>
      <c r="J1111" s="259"/>
      <c r="K1111" s="259"/>
      <c r="L1111" s="259"/>
      <c r="M1111" s="259"/>
      <c r="N1111" s="259"/>
      <c r="O1111" s="235"/>
      <c r="P1111" s="235"/>
      <c r="Q1111" s="235"/>
    </row>
    <row r="1112" spans="2:17">
      <c r="B1112" s="241"/>
      <c r="C1112" s="241"/>
      <c r="D1112" s="241"/>
      <c r="E1112" s="241"/>
      <c r="F1112" s="259"/>
      <c r="G1112" s="259"/>
      <c r="H1112" s="259"/>
      <c r="I1112" s="259"/>
      <c r="J1112" s="259"/>
      <c r="K1112" s="259"/>
      <c r="L1112" s="259"/>
      <c r="M1112" s="259"/>
      <c r="N1112" s="259"/>
      <c r="O1112" s="235"/>
      <c r="P1112" s="235"/>
      <c r="Q1112" s="235"/>
    </row>
    <row r="1113" spans="2:17">
      <c r="B1113" s="241"/>
      <c r="C1113" s="241"/>
      <c r="D1113" s="241"/>
      <c r="E1113" s="241"/>
      <c r="F1113" s="259"/>
      <c r="G1113" s="259"/>
      <c r="H1113" s="259"/>
      <c r="I1113" s="259"/>
      <c r="J1113" s="259"/>
      <c r="K1113" s="259"/>
      <c r="L1113" s="259"/>
      <c r="M1113" s="259"/>
      <c r="N1113" s="259"/>
      <c r="O1113" s="235"/>
      <c r="P1113" s="235"/>
      <c r="Q1113" s="235"/>
    </row>
    <row r="1114" spans="2:17">
      <c r="B1114" s="241"/>
      <c r="C1114" s="241"/>
      <c r="D1114" s="241"/>
      <c r="E1114" s="241"/>
      <c r="F1114" s="259"/>
      <c r="G1114" s="259"/>
      <c r="H1114" s="259"/>
      <c r="I1114" s="259"/>
      <c r="J1114" s="259"/>
      <c r="K1114" s="259"/>
      <c r="L1114" s="259"/>
      <c r="M1114" s="259"/>
      <c r="N1114" s="259"/>
      <c r="O1114" s="235"/>
      <c r="P1114" s="235"/>
      <c r="Q1114" s="235"/>
    </row>
    <row r="1115" spans="2:17">
      <c r="B1115" s="241"/>
      <c r="C1115" s="241"/>
      <c r="D1115" s="241"/>
      <c r="E1115" s="241"/>
      <c r="F1115" s="259"/>
      <c r="G1115" s="259"/>
      <c r="H1115" s="259"/>
      <c r="I1115" s="259"/>
      <c r="J1115" s="259"/>
      <c r="K1115" s="259"/>
      <c r="L1115" s="259"/>
      <c r="M1115" s="259"/>
      <c r="N1115" s="259"/>
      <c r="O1115" s="235"/>
      <c r="P1115" s="235"/>
      <c r="Q1115" s="235"/>
    </row>
    <row r="1116" spans="2:17">
      <c r="B1116" s="241"/>
      <c r="C1116" s="241"/>
      <c r="D1116" s="241"/>
      <c r="E1116" s="241"/>
      <c r="F1116" s="259"/>
      <c r="G1116" s="259"/>
      <c r="H1116" s="259"/>
      <c r="I1116" s="259"/>
      <c r="J1116" s="259"/>
      <c r="K1116" s="259"/>
      <c r="L1116" s="259"/>
      <c r="M1116" s="259"/>
      <c r="N1116" s="259"/>
      <c r="O1116" s="235"/>
      <c r="P1116" s="235"/>
      <c r="Q1116" s="235"/>
    </row>
    <row r="1117" spans="2:17">
      <c r="B1117" s="241"/>
      <c r="C1117" s="241"/>
      <c r="D1117" s="241"/>
      <c r="E1117" s="241"/>
      <c r="F1117" s="259"/>
      <c r="G1117" s="259"/>
      <c r="H1117" s="259"/>
      <c r="I1117" s="259"/>
      <c r="J1117" s="259"/>
      <c r="K1117" s="259"/>
      <c r="L1117" s="259"/>
      <c r="M1117" s="259"/>
      <c r="N1117" s="259"/>
      <c r="O1117" s="235"/>
      <c r="P1117" s="235"/>
      <c r="Q1117" s="235"/>
    </row>
    <row r="1118" spans="2:17">
      <c r="B1118" s="241"/>
      <c r="C1118" s="241"/>
      <c r="D1118" s="241"/>
      <c r="E1118" s="241"/>
      <c r="F1118" s="259"/>
      <c r="G1118" s="259"/>
      <c r="H1118" s="259"/>
      <c r="I1118" s="259"/>
      <c r="J1118" s="259"/>
      <c r="K1118" s="259"/>
      <c r="L1118" s="259"/>
      <c r="M1118" s="259"/>
      <c r="N1118" s="259"/>
      <c r="O1118" s="235"/>
      <c r="P1118" s="235"/>
      <c r="Q1118" s="235"/>
    </row>
    <row r="1119" spans="2:17">
      <c r="B1119" s="241"/>
      <c r="C1119" s="241"/>
      <c r="D1119" s="241"/>
      <c r="E1119" s="241"/>
      <c r="F1119" s="259"/>
      <c r="G1119" s="259"/>
      <c r="H1119" s="259"/>
      <c r="I1119" s="259"/>
      <c r="J1119" s="259"/>
      <c r="K1119" s="259"/>
      <c r="L1119" s="259"/>
      <c r="M1119" s="259"/>
      <c r="N1119" s="259"/>
      <c r="O1119" s="235"/>
      <c r="P1119" s="235"/>
      <c r="Q1119" s="235"/>
    </row>
    <row r="1120" spans="2:17">
      <c r="B1120" s="241"/>
      <c r="C1120" s="241"/>
      <c r="D1120" s="241"/>
      <c r="E1120" s="241"/>
      <c r="F1120" s="259"/>
      <c r="G1120" s="259"/>
      <c r="H1120" s="259"/>
      <c r="I1120" s="259"/>
      <c r="J1120" s="259"/>
      <c r="K1120" s="259"/>
      <c r="L1120" s="259"/>
      <c r="M1120" s="259"/>
      <c r="N1120" s="259"/>
      <c r="O1120" s="235"/>
      <c r="P1120" s="235"/>
      <c r="Q1120" s="235"/>
    </row>
    <row r="1121" spans="2:17">
      <c r="B1121" s="241"/>
      <c r="C1121" s="241"/>
      <c r="D1121" s="241"/>
      <c r="E1121" s="241"/>
      <c r="F1121" s="259"/>
      <c r="G1121" s="259"/>
      <c r="H1121" s="259"/>
      <c r="I1121" s="259"/>
      <c r="J1121" s="259"/>
      <c r="K1121" s="259"/>
      <c r="L1121" s="259"/>
      <c r="M1121" s="259"/>
      <c r="N1121" s="259"/>
      <c r="O1121" s="235"/>
      <c r="P1121" s="235"/>
      <c r="Q1121" s="235"/>
    </row>
    <row r="1122" spans="2:17">
      <c r="B1122" s="241"/>
      <c r="C1122" s="241"/>
      <c r="D1122" s="241"/>
      <c r="E1122" s="241"/>
      <c r="F1122" s="259"/>
      <c r="G1122" s="259"/>
      <c r="H1122" s="259"/>
      <c r="I1122" s="259"/>
      <c r="J1122" s="259"/>
      <c r="K1122" s="259"/>
      <c r="L1122" s="259"/>
      <c r="M1122" s="259"/>
      <c r="N1122" s="259"/>
      <c r="O1122" s="235"/>
      <c r="P1122" s="235"/>
      <c r="Q1122" s="235"/>
    </row>
    <row r="1123" spans="2:17">
      <c r="B1123" s="241"/>
      <c r="C1123" s="241"/>
      <c r="D1123" s="241"/>
      <c r="E1123" s="241"/>
      <c r="F1123" s="259"/>
      <c r="G1123" s="259"/>
      <c r="H1123" s="259"/>
      <c r="I1123" s="259"/>
      <c r="J1123" s="259"/>
      <c r="K1123" s="259"/>
      <c r="L1123" s="259"/>
      <c r="M1123" s="259"/>
      <c r="N1123" s="259"/>
      <c r="O1123" s="235"/>
      <c r="P1123" s="235"/>
      <c r="Q1123" s="235"/>
    </row>
    <row r="1124" spans="2:17">
      <c r="B1124" s="241"/>
      <c r="C1124" s="241"/>
      <c r="D1124" s="241"/>
      <c r="E1124" s="241"/>
      <c r="F1124" s="259"/>
      <c r="G1124" s="259"/>
      <c r="H1124" s="259"/>
      <c r="I1124" s="259"/>
      <c r="J1124" s="259"/>
      <c r="K1124" s="259"/>
      <c r="L1124" s="259"/>
      <c r="M1124" s="259"/>
      <c r="N1124" s="259"/>
      <c r="O1124" s="235"/>
      <c r="P1124" s="235"/>
      <c r="Q1124" s="235"/>
    </row>
    <row r="1125" spans="2:17">
      <c r="B1125" s="241"/>
      <c r="C1125" s="241"/>
      <c r="D1125" s="241"/>
      <c r="E1125" s="241"/>
      <c r="F1125" s="259"/>
      <c r="G1125" s="259"/>
      <c r="H1125" s="259"/>
      <c r="I1125" s="259"/>
      <c r="J1125" s="259"/>
      <c r="K1125" s="259"/>
      <c r="L1125" s="259"/>
      <c r="M1125" s="259"/>
      <c r="N1125" s="259"/>
      <c r="O1125" s="235"/>
      <c r="P1125" s="235"/>
      <c r="Q1125" s="235"/>
    </row>
    <row r="1126" spans="2:17">
      <c r="B1126" s="241"/>
      <c r="C1126" s="241"/>
      <c r="D1126" s="241"/>
      <c r="E1126" s="241"/>
      <c r="F1126" s="259"/>
      <c r="G1126" s="259"/>
      <c r="H1126" s="259"/>
      <c r="I1126" s="259"/>
      <c r="J1126" s="259"/>
      <c r="K1126" s="259"/>
      <c r="L1126" s="259"/>
      <c r="M1126" s="259"/>
      <c r="N1126" s="259"/>
      <c r="O1126" s="235"/>
      <c r="P1126" s="235"/>
      <c r="Q1126" s="235"/>
    </row>
    <row r="1127" spans="2:17">
      <c r="B1127" s="241"/>
      <c r="C1127" s="241"/>
      <c r="D1127" s="241"/>
      <c r="E1127" s="241"/>
      <c r="F1127" s="259"/>
      <c r="G1127" s="259"/>
      <c r="H1127" s="259"/>
      <c r="I1127" s="259"/>
      <c r="J1127" s="259"/>
      <c r="K1127" s="259"/>
      <c r="L1127" s="259"/>
      <c r="M1127" s="259"/>
      <c r="N1127" s="259"/>
      <c r="O1127" s="235"/>
      <c r="P1127" s="235"/>
      <c r="Q1127" s="235"/>
    </row>
    <row r="1128" spans="2:17">
      <c r="B1128" s="241"/>
      <c r="C1128" s="241"/>
      <c r="D1128" s="241"/>
      <c r="E1128" s="241"/>
      <c r="F1128" s="259"/>
      <c r="G1128" s="259"/>
      <c r="H1128" s="259"/>
      <c r="I1128" s="259"/>
      <c r="J1128" s="259"/>
      <c r="K1128" s="259"/>
      <c r="L1128" s="259"/>
      <c r="M1128" s="259"/>
      <c r="N1128" s="259"/>
      <c r="O1128" s="235"/>
      <c r="P1128" s="235"/>
      <c r="Q1128" s="235"/>
    </row>
    <row r="1129" spans="2:17">
      <c r="B1129" s="241"/>
      <c r="C1129" s="241"/>
      <c r="D1129" s="241"/>
      <c r="E1129" s="241"/>
      <c r="F1129" s="259"/>
      <c r="G1129" s="259"/>
      <c r="H1129" s="259"/>
      <c r="I1129" s="259"/>
      <c r="J1129" s="259"/>
      <c r="K1129" s="259"/>
      <c r="L1129" s="259"/>
      <c r="M1129" s="259"/>
      <c r="N1129" s="259"/>
      <c r="O1129" s="235"/>
      <c r="P1129" s="235"/>
      <c r="Q1129" s="235"/>
    </row>
    <row r="1130" spans="2:17">
      <c r="B1130" s="241"/>
      <c r="C1130" s="241"/>
      <c r="D1130" s="241"/>
      <c r="E1130" s="241"/>
      <c r="F1130" s="259"/>
      <c r="G1130" s="259"/>
      <c r="H1130" s="259"/>
      <c r="I1130" s="259"/>
      <c r="J1130" s="259"/>
      <c r="K1130" s="259"/>
      <c r="L1130" s="259"/>
      <c r="M1130" s="259"/>
      <c r="N1130" s="259"/>
      <c r="O1130" s="235"/>
      <c r="P1130" s="235"/>
      <c r="Q1130" s="235"/>
    </row>
    <row r="1131" spans="2:17">
      <c r="B1131" s="241"/>
      <c r="C1131" s="241"/>
      <c r="D1131" s="241"/>
      <c r="E1131" s="241"/>
      <c r="F1131" s="259"/>
      <c r="G1131" s="259"/>
      <c r="H1131" s="259"/>
      <c r="I1131" s="259"/>
      <c r="J1131" s="259"/>
      <c r="K1131" s="259"/>
      <c r="L1131" s="259"/>
      <c r="M1131" s="259"/>
      <c r="N1131" s="259"/>
      <c r="O1131" s="235"/>
      <c r="P1131" s="235"/>
      <c r="Q1131" s="235"/>
    </row>
    <row r="1132" spans="2:17">
      <c r="B1132" s="241"/>
      <c r="C1132" s="241"/>
      <c r="D1132" s="241"/>
      <c r="E1132" s="241"/>
      <c r="F1132" s="259"/>
      <c r="G1132" s="259"/>
      <c r="H1132" s="259"/>
      <c r="I1132" s="259"/>
      <c r="J1132" s="259"/>
      <c r="K1132" s="259"/>
      <c r="L1132" s="259"/>
      <c r="M1132" s="259"/>
      <c r="N1132" s="259"/>
      <c r="O1132" s="235"/>
      <c r="P1132" s="235"/>
      <c r="Q1132" s="235"/>
    </row>
    <row r="1133" spans="2:17">
      <c r="B1133" s="241"/>
      <c r="C1133" s="241"/>
      <c r="D1133" s="241"/>
      <c r="E1133" s="241"/>
      <c r="F1133" s="259"/>
      <c r="G1133" s="259"/>
      <c r="H1133" s="259"/>
      <c r="I1133" s="259"/>
      <c r="J1133" s="259"/>
      <c r="K1133" s="259"/>
      <c r="L1133" s="259"/>
      <c r="M1133" s="259"/>
      <c r="N1133" s="259"/>
      <c r="O1133" s="235"/>
      <c r="P1133" s="235"/>
      <c r="Q1133" s="235"/>
    </row>
    <row r="1134" spans="2:17">
      <c r="B1134" s="241"/>
      <c r="C1134" s="241"/>
      <c r="D1134" s="241"/>
      <c r="E1134" s="241"/>
      <c r="F1134" s="259"/>
      <c r="G1134" s="259"/>
      <c r="H1134" s="259"/>
      <c r="I1134" s="259"/>
      <c r="J1134" s="259"/>
      <c r="K1134" s="259"/>
      <c r="L1134" s="259"/>
      <c r="M1134" s="259"/>
      <c r="N1134" s="259"/>
      <c r="O1134" s="235"/>
      <c r="P1134" s="235"/>
      <c r="Q1134" s="235"/>
    </row>
    <row r="1135" spans="2:17">
      <c r="B1135" s="241"/>
      <c r="C1135" s="241"/>
      <c r="D1135" s="241"/>
      <c r="E1135" s="241"/>
      <c r="F1135" s="259"/>
      <c r="G1135" s="259"/>
      <c r="H1135" s="259"/>
      <c r="I1135" s="259"/>
      <c r="J1135" s="259"/>
      <c r="K1135" s="259"/>
      <c r="L1135" s="259"/>
      <c r="M1135" s="259"/>
      <c r="N1135" s="259"/>
      <c r="O1135" s="235"/>
      <c r="P1135" s="235"/>
      <c r="Q1135" s="235"/>
    </row>
    <row r="1136" spans="2:17">
      <c r="B1136" s="241"/>
      <c r="C1136" s="241"/>
      <c r="D1136" s="241"/>
      <c r="E1136" s="241"/>
      <c r="F1136" s="259"/>
      <c r="G1136" s="259"/>
      <c r="H1136" s="259"/>
      <c r="I1136" s="259"/>
      <c r="J1136" s="259"/>
      <c r="K1136" s="259"/>
      <c r="L1136" s="259"/>
      <c r="M1136" s="259"/>
      <c r="N1136" s="259"/>
      <c r="O1136" s="235"/>
      <c r="P1136" s="235"/>
      <c r="Q1136" s="235"/>
    </row>
    <row r="1137" spans="2:17">
      <c r="B1137" s="241"/>
      <c r="C1137" s="241"/>
      <c r="D1137" s="241"/>
      <c r="E1137" s="241"/>
      <c r="F1137" s="259"/>
      <c r="G1137" s="259"/>
      <c r="H1137" s="259"/>
      <c r="I1137" s="259"/>
      <c r="J1137" s="259"/>
      <c r="K1137" s="259"/>
      <c r="L1137" s="259"/>
      <c r="M1137" s="259"/>
      <c r="N1137" s="259"/>
      <c r="O1137" s="235"/>
      <c r="P1137" s="235"/>
      <c r="Q1137" s="235"/>
    </row>
    <row r="1138" spans="2:17">
      <c r="B1138" s="241"/>
      <c r="C1138" s="241"/>
      <c r="D1138" s="241"/>
      <c r="E1138" s="241"/>
      <c r="F1138" s="259"/>
      <c r="G1138" s="259"/>
      <c r="H1138" s="259"/>
      <c r="I1138" s="259"/>
      <c r="J1138" s="259"/>
      <c r="K1138" s="259"/>
      <c r="L1138" s="259"/>
      <c r="M1138" s="259"/>
      <c r="N1138" s="259"/>
      <c r="O1138" s="235"/>
      <c r="P1138" s="235"/>
      <c r="Q1138" s="235"/>
    </row>
    <row r="1139" spans="2:17">
      <c r="B1139" s="241"/>
      <c r="C1139" s="241"/>
      <c r="D1139" s="241"/>
      <c r="E1139" s="241"/>
      <c r="F1139" s="259"/>
      <c r="G1139" s="259"/>
      <c r="H1139" s="259"/>
      <c r="I1139" s="259"/>
      <c r="J1139" s="259"/>
      <c r="K1139" s="259"/>
      <c r="L1139" s="259"/>
      <c r="M1139" s="259"/>
      <c r="N1139" s="259"/>
      <c r="O1139" s="235"/>
      <c r="P1139" s="235"/>
      <c r="Q1139" s="235"/>
    </row>
    <row r="1140" spans="2:17">
      <c r="B1140" s="241"/>
      <c r="C1140" s="241"/>
      <c r="D1140" s="241"/>
      <c r="E1140" s="241"/>
      <c r="F1140" s="259"/>
      <c r="G1140" s="259"/>
      <c r="H1140" s="259"/>
      <c r="I1140" s="259"/>
      <c r="J1140" s="259"/>
      <c r="K1140" s="259"/>
      <c r="L1140" s="259"/>
      <c r="M1140" s="259"/>
      <c r="N1140" s="259"/>
      <c r="O1140" s="235"/>
      <c r="P1140" s="235"/>
      <c r="Q1140" s="235"/>
    </row>
    <row r="1141" spans="2:17">
      <c r="B1141" s="241"/>
      <c r="C1141" s="241"/>
      <c r="D1141" s="241"/>
      <c r="E1141" s="241"/>
      <c r="F1141" s="259"/>
      <c r="G1141" s="259"/>
      <c r="H1141" s="259"/>
      <c r="I1141" s="259"/>
      <c r="J1141" s="259"/>
      <c r="K1141" s="259"/>
      <c r="L1141" s="259"/>
      <c r="M1141" s="259"/>
      <c r="N1141" s="259"/>
      <c r="O1141" s="235"/>
      <c r="P1141" s="235"/>
      <c r="Q1141" s="235"/>
    </row>
    <row r="1142" spans="2:17">
      <c r="B1142" s="241"/>
      <c r="C1142" s="241"/>
      <c r="D1142" s="241"/>
      <c r="E1142" s="241"/>
      <c r="F1142" s="259"/>
      <c r="G1142" s="259"/>
      <c r="H1142" s="259"/>
      <c r="I1142" s="259"/>
      <c r="J1142" s="259"/>
      <c r="K1142" s="259"/>
      <c r="L1142" s="259"/>
      <c r="M1142" s="259"/>
      <c r="N1142" s="259"/>
      <c r="O1142" s="235"/>
      <c r="P1142" s="235"/>
      <c r="Q1142" s="235"/>
    </row>
    <row r="1143" spans="2:17">
      <c r="B1143" s="241"/>
      <c r="C1143" s="241"/>
      <c r="D1143" s="241"/>
      <c r="E1143" s="241"/>
      <c r="F1143" s="259"/>
      <c r="G1143" s="259"/>
      <c r="H1143" s="259"/>
      <c r="I1143" s="259"/>
      <c r="J1143" s="259"/>
      <c r="K1143" s="259"/>
      <c r="L1143" s="259"/>
      <c r="M1143" s="259"/>
      <c r="N1143" s="259"/>
      <c r="O1143" s="235"/>
      <c r="P1143" s="235"/>
      <c r="Q1143" s="235"/>
    </row>
    <row r="1144" spans="2:17">
      <c r="B1144" s="241"/>
      <c r="C1144" s="241"/>
      <c r="D1144" s="241"/>
      <c r="E1144" s="241"/>
      <c r="F1144" s="259"/>
      <c r="G1144" s="259"/>
      <c r="H1144" s="259"/>
      <c r="I1144" s="259"/>
      <c r="J1144" s="259"/>
      <c r="K1144" s="259"/>
      <c r="L1144" s="259"/>
      <c r="M1144" s="259"/>
      <c r="N1144" s="259"/>
      <c r="O1144" s="235"/>
      <c r="P1144" s="235"/>
      <c r="Q1144" s="235"/>
    </row>
    <row r="1145" spans="2:17">
      <c r="B1145" s="241"/>
      <c r="C1145" s="241"/>
      <c r="D1145" s="241"/>
      <c r="E1145" s="241"/>
      <c r="F1145" s="259"/>
      <c r="G1145" s="259"/>
      <c r="H1145" s="259"/>
      <c r="I1145" s="259"/>
      <c r="J1145" s="259"/>
      <c r="K1145" s="259"/>
      <c r="L1145" s="259"/>
      <c r="M1145" s="259"/>
      <c r="N1145" s="259"/>
      <c r="O1145" s="235"/>
      <c r="P1145" s="235"/>
      <c r="Q1145" s="235"/>
    </row>
    <row r="1146" spans="2:17">
      <c r="B1146" s="241"/>
      <c r="C1146" s="241"/>
      <c r="D1146" s="241"/>
      <c r="E1146" s="241"/>
      <c r="F1146" s="259"/>
      <c r="G1146" s="259"/>
      <c r="H1146" s="259"/>
      <c r="I1146" s="259"/>
      <c r="J1146" s="259"/>
      <c r="K1146" s="259"/>
      <c r="L1146" s="259"/>
      <c r="M1146" s="259"/>
      <c r="N1146" s="259"/>
      <c r="O1146" s="235"/>
      <c r="P1146" s="235"/>
      <c r="Q1146" s="235"/>
    </row>
    <row r="1147" spans="2:17">
      <c r="B1147" s="241"/>
      <c r="C1147" s="241"/>
      <c r="D1147" s="241"/>
      <c r="E1147" s="241"/>
      <c r="F1147" s="259"/>
      <c r="G1147" s="259"/>
      <c r="H1147" s="259"/>
      <c r="I1147" s="259"/>
      <c r="J1147" s="259"/>
      <c r="K1147" s="259"/>
      <c r="L1147" s="259"/>
      <c r="M1147" s="259"/>
      <c r="N1147" s="259"/>
      <c r="O1147" s="235"/>
      <c r="P1147" s="235"/>
      <c r="Q1147" s="235"/>
    </row>
    <row r="1148" spans="2:17">
      <c r="B1148" s="241"/>
      <c r="C1148" s="241"/>
      <c r="D1148" s="241"/>
      <c r="E1148" s="241"/>
      <c r="F1148" s="259"/>
      <c r="G1148" s="259"/>
      <c r="H1148" s="259"/>
      <c r="I1148" s="259"/>
      <c r="J1148" s="259"/>
      <c r="K1148" s="259"/>
      <c r="L1148" s="259"/>
      <c r="M1148" s="259"/>
      <c r="N1148" s="259"/>
      <c r="O1148" s="235"/>
      <c r="P1148" s="235"/>
      <c r="Q1148" s="235"/>
    </row>
    <row r="1149" spans="2:17">
      <c r="B1149" s="241"/>
      <c r="C1149" s="241"/>
      <c r="D1149" s="241"/>
      <c r="E1149" s="241"/>
      <c r="F1149" s="259"/>
      <c r="G1149" s="259"/>
      <c r="H1149" s="259"/>
      <c r="I1149" s="259"/>
      <c r="J1149" s="259"/>
      <c r="K1149" s="259"/>
      <c r="L1149" s="259"/>
      <c r="M1149" s="259"/>
      <c r="N1149" s="259"/>
      <c r="O1149" s="235"/>
      <c r="P1149" s="235"/>
      <c r="Q1149" s="235"/>
    </row>
    <row r="1150" spans="2:17">
      <c r="B1150" s="241"/>
      <c r="C1150" s="241"/>
      <c r="D1150" s="241"/>
      <c r="E1150" s="241"/>
      <c r="F1150" s="259"/>
      <c r="G1150" s="259"/>
      <c r="H1150" s="259"/>
      <c r="I1150" s="259"/>
      <c r="J1150" s="259"/>
      <c r="K1150" s="259"/>
      <c r="L1150" s="259"/>
      <c r="M1150" s="259"/>
      <c r="N1150" s="259"/>
      <c r="O1150" s="235"/>
      <c r="P1150" s="235"/>
      <c r="Q1150" s="235"/>
    </row>
    <row r="1151" spans="2:17">
      <c r="B1151" s="241"/>
      <c r="C1151" s="241"/>
      <c r="D1151" s="241"/>
      <c r="E1151" s="241"/>
      <c r="F1151" s="259"/>
      <c r="G1151" s="259"/>
      <c r="H1151" s="259"/>
      <c r="I1151" s="259"/>
      <c r="J1151" s="259"/>
      <c r="K1151" s="259"/>
      <c r="L1151" s="259"/>
      <c r="M1151" s="259"/>
      <c r="N1151" s="259"/>
      <c r="O1151" s="235"/>
      <c r="P1151" s="235"/>
      <c r="Q1151" s="235"/>
    </row>
    <row r="1152" spans="2:17">
      <c r="B1152" s="241"/>
      <c r="C1152" s="241"/>
      <c r="D1152" s="241"/>
      <c r="E1152" s="241"/>
      <c r="F1152" s="259"/>
      <c r="G1152" s="259"/>
      <c r="H1152" s="259"/>
      <c r="I1152" s="259"/>
      <c r="J1152" s="259"/>
      <c r="K1152" s="259"/>
      <c r="L1152" s="259"/>
      <c r="M1152" s="259"/>
      <c r="N1152" s="259"/>
      <c r="O1152" s="235"/>
      <c r="P1152" s="235"/>
      <c r="Q1152" s="235"/>
    </row>
    <row r="1153" spans="2:17">
      <c r="B1153" s="241"/>
      <c r="C1153" s="241"/>
      <c r="D1153" s="241"/>
      <c r="E1153" s="241"/>
      <c r="F1153" s="259"/>
      <c r="G1153" s="259"/>
      <c r="H1153" s="259"/>
      <c r="I1153" s="259"/>
      <c r="J1153" s="259"/>
      <c r="K1153" s="259"/>
      <c r="L1153" s="259"/>
      <c r="M1153" s="259"/>
      <c r="N1153" s="259"/>
      <c r="O1153" s="235"/>
      <c r="P1153" s="235"/>
      <c r="Q1153" s="235"/>
    </row>
    <row r="1154" spans="2:17">
      <c r="B1154" s="241"/>
      <c r="C1154" s="241"/>
      <c r="D1154" s="241"/>
      <c r="E1154" s="241"/>
      <c r="F1154" s="259"/>
      <c r="G1154" s="259"/>
      <c r="H1154" s="259"/>
      <c r="I1154" s="259"/>
      <c r="J1154" s="259"/>
      <c r="K1154" s="259"/>
      <c r="L1154" s="259"/>
      <c r="M1154" s="259"/>
      <c r="N1154" s="259"/>
      <c r="O1154" s="235"/>
      <c r="P1154" s="235"/>
      <c r="Q1154" s="235"/>
    </row>
    <row r="1155" spans="2:17">
      <c r="B1155" s="241"/>
      <c r="C1155" s="241"/>
      <c r="D1155" s="241"/>
      <c r="E1155" s="241"/>
      <c r="F1155" s="259"/>
      <c r="G1155" s="259"/>
      <c r="H1155" s="259"/>
      <c r="I1155" s="259"/>
      <c r="J1155" s="259"/>
      <c r="K1155" s="259"/>
      <c r="L1155" s="259"/>
      <c r="M1155" s="259"/>
      <c r="N1155" s="259"/>
      <c r="O1155" s="235"/>
      <c r="P1155" s="235"/>
      <c r="Q1155" s="235"/>
    </row>
    <row r="1156" spans="2:17">
      <c r="B1156" s="241"/>
      <c r="C1156" s="241"/>
      <c r="D1156" s="241"/>
      <c r="E1156" s="241"/>
      <c r="F1156" s="259"/>
      <c r="G1156" s="259"/>
      <c r="H1156" s="259"/>
      <c r="I1156" s="259"/>
      <c r="J1156" s="259"/>
      <c r="K1156" s="259"/>
      <c r="L1156" s="259"/>
      <c r="M1156" s="259"/>
      <c r="N1156" s="259"/>
      <c r="O1156" s="235"/>
      <c r="P1156" s="235"/>
      <c r="Q1156" s="235"/>
    </row>
    <row r="1157" spans="2:17">
      <c r="B1157" s="241"/>
      <c r="C1157" s="241"/>
      <c r="D1157" s="241"/>
      <c r="E1157" s="241"/>
      <c r="F1157" s="259"/>
      <c r="G1157" s="259"/>
      <c r="H1157" s="259"/>
      <c r="I1157" s="259"/>
      <c r="J1157" s="259"/>
      <c r="K1157" s="259"/>
      <c r="L1157" s="259"/>
      <c r="M1157" s="259"/>
      <c r="N1157" s="259"/>
      <c r="O1157" s="235"/>
      <c r="P1157" s="235"/>
      <c r="Q1157" s="235"/>
    </row>
    <row r="1158" spans="2:17">
      <c r="B1158" s="241"/>
      <c r="C1158" s="241"/>
      <c r="D1158" s="241"/>
      <c r="E1158" s="241"/>
      <c r="F1158" s="259"/>
      <c r="G1158" s="259"/>
      <c r="H1158" s="259"/>
      <c r="I1158" s="259"/>
      <c r="J1158" s="259"/>
      <c r="K1158" s="259"/>
      <c r="L1158" s="259"/>
      <c r="M1158" s="259"/>
      <c r="N1158" s="259"/>
      <c r="O1158" s="235"/>
      <c r="P1158" s="235"/>
      <c r="Q1158" s="235"/>
    </row>
    <row r="1159" spans="2:17">
      <c r="B1159" s="241"/>
      <c r="C1159" s="241"/>
      <c r="D1159" s="241"/>
      <c r="E1159" s="241"/>
      <c r="F1159" s="259"/>
      <c r="G1159" s="259"/>
      <c r="H1159" s="259"/>
      <c r="I1159" s="259"/>
      <c r="J1159" s="259"/>
      <c r="K1159" s="259"/>
      <c r="L1159" s="259"/>
      <c r="M1159" s="259"/>
      <c r="N1159" s="259"/>
      <c r="O1159" s="235"/>
      <c r="P1159" s="235"/>
      <c r="Q1159" s="235"/>
    </row>
    <row r="1160" spans="2:17">
      <c r="B1160" s="241"/>
      <c r="C1160" s="241"/>
      <c r="D1160" s="241"/>
      <c r="E1160" s="241"/>
      <c r="F1160" s="259"/>
      <c r="G1160" s="259"/>
      <c r="H1160" s="259"/>
      <c r="I1160" s="259"/>
      <c r="J1160" s="259"/>
      <c r="K1160" s="259"/>
      <c r="L1160" s="259"/>
      <c r="M1160" s="259"/>
      <c r="N1160" s="259"/>
      <c r="O1160" s="235"/>
      <c r="P1160" s="235"/>
      <c r="Q1160" s="235"/>
    </row>
    <row r="1161" spans="2:17">
      <c r="B1161" s="241"/>
      <c r="C1161" s="241"/>
      <c r="D1161" s="241"/>
      <c r="E1161" s="241"/>
      <c r="F1161" s="259"/>
      <c r="G1161" s="259"/>
      <c r="H1161" s="259"/>
      <c r="I1161" s="259"/>
      <c r="J1161" s="259"/>
      <c r="K1161" s="259"/>
      <c r="L1161" s="259"/>
      <c r="M1161" s="259"/>
      <c r="N1161" s="259"/>
      <c r="O1161" s="235"/>
      <c r="P1161" s="235"/>
      <c r="Q1161" s="235"/>
    </row>
    <row r="1162" spans="2:17">
      <c r="B1162" s="241"/>
      <c r="C1162" s="241"/>
      <c r="D1162" s="241"/>
      <c r="E1162" s="241"/>
      <c r="F1162" s="259"/>
      <c r="G1162" s="259"/>
      <c r="H1162" s="259"/>
      <c r="I1162" s="259"/>
      <c r="J1162" s="259"/>
      <c r="K1162" s="259"/>
      <c r="L1162" s="259"/>
      <c r="M1162" s="259"/>
      <c r="N1162" s="259"/>
      <c r="O1162" s="235"/>
      <c r="P1162" s="235"/>
      <c r="Q1162" s="235"/>
    </row>
    <row r="1163" spans="2:17">
      <c r="B1163" s="241"/>
      <c r="C1163" s="241"/>
      <c r="D1163" s="241"/>
      <c r="E1163" s="241"/>
      <c r="F1163" s="259"/>
      <c r="G1163" s="259"/>
      <c r="H1163" s="259"/>
      <c r="I1163" s="259"/>
      <c r="J1163" s="259"/>
      <c r="K1163" s="259"/>
      <c r="L1163" s="259"/>
      <c r="M1163" s="259"/>
      <c r="N1163" s="259"/>
      <c r="O1163" s="235"/>
      <c r="P1163" s="235"/>
      <c r="Q1163" s="235"/>
    </row>
    <row r="1164" spans="2:17">
      <c r="B1164" s="241"/>
      <c r="C1164" s="241"/>
      <c r="D1164" s="241"/>
      <c r="E1164" s="241"/>
      <c r="F1164" s="259"/>
      <c r="G1164" s="259"/>
      <c r="H1164" s="259"/>
      <c r="I1164" s="259"/>
      <c r="J1164" s="259"/>
      <c r="K1164" s="259"/>
      <c r="L1164" s="259"/>
      <c r="M1164" s="259"/>
      <c r="N1164" s="259"/>
      <c r="O1164" s="235"/>
      <c r="P1164" s="235"/>
      <c r="Q1164" s="235"/>
    </row>
    <row r="1165" spans="2:17">
      <c r="B1165" s="241"/>
      <c r="C1165" s="241"/>
      <c r="D1165" s="241"/>
      <c r="E1165" s="241"/>
      <c r="F1165" s="259"/>
      <c r="G1165" s="259"/>
      <c r="H1165" s="259"/>
      <c r="I1165" s="259"/>
      <c r="J1165" s="259"/>
      <c r="K1165" s="259"/>
      <c r="L1165" s="259"/>
      <c r="M1165" s="259"/>
      <c r="N1165" s="259"/>
      <c r="O1165" s="235"/>
      <c r="P1165" s="235"/>
      <c r="Q1165" s="235"/>
    </row>
    <row r="1166" spans="2:17">
      <c r="B1166" s="241"/>
      <c r="C1166" s="241"/>
      <c r="D1166" s="241"/>
      <c r="E1166" s="241"/>
      <c r="F1166" s="259"/>
      <c r="G1166" s="259"/>
      <c r="H1166" s="259"/>
      <c r="I1166" s="259"/>
      <c r="J1166" s="259"/>
      <c r="K1166" s="259"/>
      <c r="L1166" s="259"/>
      <c r="M1166" s="259"/>
      <c r="N1166" s="259"/>
      <c r="O1166" s="235"/>
      <c r="P1166" s="235"/>
      <c r="Q1166" s="235"/>
    </row>
    <row r="1167" spans="2:17">
      <c r="B1167" s="241"/>
      <c r="C1167" s="241"/>
      <c r="D1167" s="241"/>
      <c r="E1167" s="241"/>
      <c r="F1167" s="259"/>
      <c r="G1167" s="259"/>
      <c r="H1167" s="259"/>
      <c r="I1167" s="259"/>
      <c r="J1167" s="259"/>
      <c r="K1167" s="259"/>
      <c r="L1167" s="259"/>
      <c r="M1167" s="259"/>
      <c r="N1167" s="259"/>
      <c r="O1167" s="235"/>
      <c r="P1167" s="235"/>
      <c r="Q1167" s="235"/>
    </row>
    <row r="1168" spans="2:17">
      <c r="B1168" s="241"/>
      <c r="C1168" s="241"/>
      <c r="D1168" s="241"/>
      <c r="E1168" s="241"/>
      <c r="F1168" s="259"/>
      <c r="G1168" s="259"/>
      <c r="H1168" s="259"/>
      <c r="I1168" s="259"/>
      <c r="J1168" s="259"/>
      <c r="K1168" s="259"/>
      <c r="L1168" s="259"/>
      <c r="M1168" s="259"/>
      <c r="N1168" s="259"/>
      <c r="O1168" s="235"/>
      <c r="P1168" s="235"/>
      <c r="Q1168" s="235"/>
    </row>
    <row r="1169" spans="2:17">
      <c r="B1169" s="241"/>
      <c r="C1169" s="241"/>
      <c r="D1169" s="241"/>
      <c r="E1169" s="241"/>
      <c r="F1169" s="259"/>
      <c r="G1169" s="259"/>
      <c r="H1169" s="259"/>
      <c r="I1169" s="259"/>
      <c r="J1169" s="259"/>
      <c r="K1169" s="259"/>
      <c r="L1169" s="259"/>
      <c r="M1169" s="259"/>
      <c r="N1169" s="259"/>
      <c r="O1169" s="235"/>
      <c r="P1169" s="235"/>
      <c r="Q1169" s="235"/>
    </row>
    <row r="1170" spans="2:17">
      <c r="B1170" s="241"/>
      <c r="C1170" s="241"/>
      <c r="D1170" s="241"/>
      <c r="E1170" s="241"/>
      <c r="F1170" s="259"/>
      <c r="G1170" s="259"/>
      <c r="H1170" s="259"/>
      <c r="I1170" s="259"/>
      <c r="J1170" s="259"/>
      <c r="K1170" s="259"/>
      <c r="L1170" s="259"/>
      <c r="M1170" s="259"/>
      <c r="N1170" s="259"/>
      <c r="O1170" s="235"/>
      <c r="P1170" s="235"/>
      <c r="Q1170" s="235"/>
    </row>
    <row r="1171" spans="2:17">
      <c r="B1171" s="241"/>
      <c r="C1171" s="241"/>
      <c r="D1171" s="241"/>
      <c r="E1171" s="241"/>
      <c r="F1171" s="259"/>
      <c r="G1171" s="259"/>
      <c r="H1171" s="259"/>
      <c r="I1171" s="259"/>
      <c r="J1171" s="259"/>
      <c r="K1171" s="259"/>
      <c r="L1171" s="259"/>
      <c r="M1171" s="259"/>
      <c r="N1171" s="259"/>
      <c r="O1171" s="235"/>
      <c r="P1171" s="235"/>
      <c r="Q1171" s="235"/>
    </row>
    <row r="1172" spans="2:17">
      <c r="B1172" s="241"/>
      <c r="C1172" s="241"/>
      <c r="D1172" s="241"/>
      <c r="E1172" s="241"/>
      <c r="F1172" s="259"/>
      <c r="G1172" s="259"/>
      <c r="H1172" s="259"/>
      <c r="I1172" s="259"/>
      <c r="J1172" s="259"/>
      <c r="K1172" s="259"/>
      <c r="L1172" s="259"/>
      <c r="M1172" s="259"/>
      <c r="N1172" s="259"/>
      <c r="O1172" s="235"/>
      <c r="P1172" s="235"/>
      <c r="Q1172" s="235"/>
    </row>
    <row r="1173" spans="2:17">
      <c r="B1173" s="241"/>
      <c r="C1173" s="241"/>
      <c r="D1173" s="241"/>
      <c r="E1173" s="241"/>
      <c r="F1173" s="259"/>
      <c r="G1173" s="259"/>
      <c r="H1173" s="259"/>
      <c r="I1173" s="259"/>
      <c r="J1173" s="259"/>
      <c r="K1173" s="259"/>
      <c r="L1173" s="259"/>
      <c r="M1173" s="259"/>
      <c r="N1173" s="259"/>
      <c r="O1173" s="235"/>
      <c r="P1173" s="235"/>
      <c r="Q1173" s="235"/>
    </row>
    <row r="1174" spans="2:17">
      <c r="B1174" s="241"/>
      <c r="C1174" s="241"/>
      <c r="D1174" s="241"/>
      <c r="E1174" s="241"/>
      <c r="F1174" s="259"/>
      <c r="G1174" s="259"/>
      <c r="H1174" s="259"/>
      <c r="I1174" s="259"/>
      <c r="J1174" s="259"/>
      <c r="K1174" s="259"/>
      <c r="L1174" s="259"/>
      <c r="M1174" s="259"/>
      <c r="N1174" s="259"/>
      <c r="O1174" s="235"/>
      <c r="P1174" s="235"/>
      <c r="Q1174" s="235"/>
    </row>
    <row r="1175" spans="2:17">
      <c r="B1175" s="241"/>
      <c r="C1175" s="241"/>
      <c r="D1175" s="241"/>
      <c r="E1175" s="241"/>
      <c r="F1175" s="259"/>
      <c r="G1175" s="259"/>
      <c r="H1175" s="259"/>
      <c r="I1175" s="259"/>
      <c r="J1175" s="259"/>
      <c r="K1175" s="259"/>
      <c r="L1175" s="259"/>
      <c r="M1175" s="259"/>
      <c r="N1175" s="259"/>
      <c r="O1175" s="235"/>
      <c r="P1175" s="235"/>
      <c r="Q1175" s="235"/>
    </row>
    <row r="1176" spans="2:17">
      <c r="B1176" s="241"/>
      <c r="C1176" s="241"/>
      <c r="D1176" s="241"/>
      <c r="E1176" s="241"/>
      <c r="F1176" s="259"/>
      <c r="G1176" s="259"/>
      <c r="H1176" s="259"/>
      <c r="I1176" s="259"/>
      <c r="J1176" s="259"/>
      <c r="K1176" s="259"/>
      <c r="L1176" s="259"/>
      <c r="M1176" s="259"/>
      <c r="N1176" s="259"/>
      <c r="O1176" s="235"/>
      <c r="P1176" s="235"/>
      <c r="Q1176" s="235"/>
    </row>
    <row r="1177" spans="2:17">
      <c r="B1177" s="241"/>
      <c r="C1177" s="241"/>
      <c r="D1177" s="241"/>
      <c r="E1177" s="241"/>
      <c r="F1177" s="259"/>
      <c r="G1177" s="259"/>
      <c r="H1177" s="259"/>
      <c r="I1177" s="259"/>
      <c r="J1177" s="259"/>
      <c r="K1177" s="259"/>
      <c r="L1177" s="259"/>
      <c r="M1177" s="259"/>
      <c r="N1177" s="259"/>
      <c r="O1177" s="235"/>
      <c r="P1177" s="235"/>
      <c r="Q1177" s="235"/>
    </row>
    <row r="1178" spans="2:17">
      <c r="B1178" s="241"/>
      <c r="C1178" s="241"/>
      <c r="D1178" s="241"/>
      <c r="E1178" s="241"/>
      <c r="F1178" s="259"/>
      <c r="G1178" s="259"/>
      <c r="H1178" s="259"/>
      <c r="I1178" s="259"/>
      <c r="J1178" s="259"/>
      <c r="K1178" s="259"/>
      <c r="L1178" s="259"/>
      <c r="M1178" s="259"/>
      <c r="N1178" s="259"/>
      <c r="O1178" s="235"/>
      <c r="P1178" s="235"/>
      <c r="Q1178" s="235"/>
    </row>
    <row r="1179" spans="2:17">
      <c r="B1179" s="241"/>
      <c r="C1179" s="241"/>
      <c r="D1179" s="241"/>
      <c r="E1179" s="241"/>
      <c r="F1179" s="259"/>
      <c r="G1179" s="259"/>
      <c r="H1179" s="259"/>
      <c r="I1179" s="259"/>
      <c r="J1179" s="259"/>
      <c r="K1179" s="259"/>
      <c r="L1179" s="259"/>
      <c r="M1179" s="259"/>
      <c r="N1179" s="259"/>
      <c r="O1179" s="235"/>
      <c r="P1179" s="235"/>
      <c r="Q1179" s="235"/>
    </row>
    <row r="1180" spans="2:17">
      <c r="B1180" s="241"/>
      <c r="C1180" s="241"/>
      <c r="D1180" s="241"/>
      <c r="E1180" s="241"/>
      <c r="F1180" s="259"/>
      <c r="G1180" s="259"/>
      <c r="H1180" s="259"/>
      <c r="I1180" s="259"/>
      <c r="J1180" s="259"/>
      <c r="K1180" s="259"/>
      <c r="L1180" s="259"/>
      <c r="M1180" s="259"/>
      <c r="N1180" s="259"/>
      <c r="O1180" s="235"/>
      <c r="P1180" s="235"/>
      <c r="Q1180" s="235"/>
    </row>
    <row r="1181" spans="2:17">
      <c r="B1181" s="241"/>
      <c r="C1181" s="241"/>
      <c r="D1181" s="241"/>
      <c r="E1181" s="241"/>
      <c r="F1181" s="259"/>
      <c r="G1181" s="259"/>
      <c r="H1181" s="259"/>
      <c r="I1181" s="259"/>
      <c r="J1181" s="259"/>
      <c r="K1181" s="259"/>
      <c r="L1181" s="259"/>
      <c r="M1181" s="259"/>
      <c r="N1181" s="259"/>
      <c r="O1181" s="235"/>
      <c r="P1181" s="235"/>
      <c r="Q1181" s="235"/>
    </row>
    <row r="1182" spans="2:17">
      <c r="B1182" s="241"/>
      <c r="C1182" s="241"/>
      <c r="D1182" s="241"/>
      <c r="E1182" s="241"/>
      <c r="F1182" s="259"/>
      <c r="G1182" s="259"/>
      <c r="H1182" s="259"/>
      <c r="I1182" s="259"/>
      <c r="J1182" s="259"/>
      <c r="K1182" s="259"/>
      <c r="L1182" s="259"/>
      <c r="M1182" s="259"/>
      <c r="N1182" s="259"/>
      <c r="O1182" s="235"/>
      <c r="P1182" s="235"/>
      <c r="Q1182" s="235"/>
    </row>
    <row r="1183" spans="2:17">
      <c r="B1183" s="241"/>
      <c r="C1183" s="241"/>
      <c r="D1183" s="241"/>
      <c r="E1183" s="241"/>
      <c r="F1183" s="259"/>
      <c r="G1183" s="259"/>
      <c r="H1183" s="259"/>
      <c r="I1183" s="259"/>
      <c r="J1183" s="259"/>
      <c r="K1183" s="259"/>
      <c r="L1183" s="259"/>
      <c r="M1183" s="259"/>
      <c r="N1183" s="259"/>
      <c r="O1183" s="235"/>
      <c r="P1183" s="235"/>
      <c r="Q1183" s="235"/>
    </row>
    <row r="1184" spans="2:17">
      <c r="B1184" s="241"/>
      <c r="C1184" s="241"/>
      <c r="D1184" s="241"/>
      <c r="E1184" s="241"/>
      <c r="F1184" s="259"/>
      <c r="G1184" s="259"/>
      <c r="H1184" s="259"/>
      <c r="I1184" s="259"/>
      <c r="J1184" s="259"/>
      <c r="K1184" s="259"/>
      <c r="L1184" s="259"/>
      <c r="M1184" s="259"/>
      <c r="N1184" s="259"/>
      <c r="O1184" s="235"/>
      <c r="P1184" s="235"/>
      <c r="Q1184" s="235"/>
    </row>
    <row r="1185" spans="2:17">
      <c r="B1185" s="241"/>
      <c r="C1185" s="241"/>
      <c r="D1185" s="241"/>
      <c r="E1185" s="241"/>
      <c r="F1185" s="259"/>
      <c r="G1185" s="259"/>
      <c r="H1185" s="259"/>
      <c r="I1185" s="259"/>
      <c r="J1185" s="259"/>
      <c r="K1185" s="259"/>
      <c r="L1185" s="259"/>
      <c r="M1185" s="259"/>
      <c r="N1185" s="259"/>
      <c r="O1185" s="235"/>
      <c r="P1185" s="235"/>
      <c r="Q1185" s="235"/>
    </row>
    <row r="1186" spans="2:17">
      <c r="B1186" s="241"/>
      <c r="C1186" s="241"/>
      <c r="D1186" s="241"/>
      <c r="E1186" s="241"/>
      <c r="F1186" s="259"/>
      <c r="G1186" s="259"/>
      <c r="H1186" s="259"/>
      <c r="I1186" s="259"/>
      <c r="J1186" s="259"/>
      <c r="K1186" s="259"/>
      <c r="L1186" s="259"/>
      <c r="M1186" s="259"/>
      <c r="N1186" s="259"/>
      <c r="O1186" s="235"/>
      <c r="P1186" s="235"/>
      <c r="Q1186" s="235"/>
    </row>
    <row r="1187" spans="2:17">
      <c r="B1187" s="241"/>
      <c r="C1187" s="241"/>
      <c r="D1187" s="241"/>
      <c r="E1187" s="241"/>
      <c r="F1187" s="259"/>
      <c r="G1187" s="259"/>
      <c r="H1187" s="259"/>
      <c r="I1187" s="259"/>
      <c r="J1187" s="259"/>
      <c r="K1187" s="259"/>
      <c r="L1187" s="259"/>
      <c r="M1187" s="259"/>
      <c r="N1187" s="259"/>
      <c r="O1187" s="235"/>
      <c r="P1187" s="235"/>
      <c r="Q1187" s="235"/>
    </row>
    <row r="1188" spans="2:17">
      <c r="B1188" s="241"/>
      <c r="C1188" s="241"/>
      <c r="D1188" s="241"/>
      <c r="E1188" s="241"/>
      <c r="F1188" s="259"/>
      <c r="G1188" s="259"/>
      <c r="H1188" s="259"/>
      <c r="I1188" s="259"/>
      <c r="J1188" s="259"/>
      <c r="K1188" s="259"/>
      <c r="L1188" s="259"/>
      <c r="M1188" s="259"/>
      <c r="N1188" s="259"/>
      <c r="O1188" s="235"/>
      <c r="P1188" s="235"/>
      <c r="Q1188" s="235"/>
    </row>
    <row r="1189" spans="2:17">
      <c r="B1189" s="241"/>
      <c r="C1189" s="241"/>
      <c r="D1189" s="241"/>
      <c r="E1189" s="241"/>
      <c r="F1189" s="259"/>
      <c r="G1189" s="259"/>
      <c r="H1189" s="259"/>
      <c r="I1189" s="259"/>
      <c r="J1189" s="259"/>
      <c r="K1189" s="259"/>
      <c r="L1189" s="259"/>
      <c r="M1189" s="259"/>
      <c r="N1189" s="259"/>
      <c r="O1189" s="235"/>
      <c r="P1189" s="235"/>
      <c r="Q1189" s="235"/>
    </row>
    <row r="1190" spans="2:17">
      <c r="B1190" s="241"/>
      <c r="C1190" s="241"/>
      <c r="D1190" s="241"/>
      <c r="E1190" s="241"/>
      <c r="F1190" s="259"/>
      <c r="G1190" s="259"/>
      <c r="H1190" s="259"/>
      <c r="I1190" s="259"/>
      <c r="J1190" s="259"/>
      <c r="K1190" s="259"/>
      <c r="L1190" s="259"/>
      <c r="M1190" s="259"/>
      <c r="N1190" s="259"/>
      <c r="O1190" s="235"/>
      <c r="P1190" s="235"/>
      <c r="Q1190" s="235"/>
    </row>
    <row r="1191" spans="2:17">
      <c r="B1191" s="241"/>
      <c r="C1191" s="241"/>
      <c r="D1191" s="241"/>
      <c r="E1191" s="241"/>
      <c r="F1191" s="259"/>
      <c r="G1191" s="259"/>
      <c r="H1191" s="259"/>
      <c r="I1191" s="259"/>
      <c r="J1191" s="259"/>
      <c r="K1191" s="259"/>
      <c r="L1191" s="259"/>
      <c r="M1191" s="259"/>
      <c r="N1191" s="259"/>
      <c r="O1191" s="235"/>
      <c r="P1191" s="235"/>
      <c r="Q1191" s="235"/>
    </row>
    <row r="1192" spans="2:17">
      <c r="B1192" s="241"/>
      <c r="C1192" s="241"/>
      <c r="D1192" s="241"/>
      <c r="E1192" s="241"/>
      <c r="F1192" s="259"/>
      <c r="G1192" s="259"/>
      <c r="H1192" s="259"/>
      <c r="I1192" s="259"/>
      <c r="J1192" s="259"/>
      <c r="K1192" s="259"/>
      <c r="L1192" s="259"/>
      <c r="M1192" s="259"/>
      <c r="N1192" s="259"/>
      <c r="O1192" s="235"/>
      <c r="P1192" s="235"/>
      <c r="Q1192" s="235"/>
    </row>
    <row r="1193" spans="2:17">
      <c r="B1193" s="241"/>
      <c r="C1193" s="241"/>
      <c r="D1193" s="241"/>
      <c r="E1193" s="241"/>
      <c r="F1193" s="259"/>
      <c r="G1193" s="259"/>
      <c r="H1193" s="259"/>
      <c r="I1193" s="259"/>
      <c r="J1193" s="259"/>
      <c r="K1193" s="259"/>
      <c r="L1193" s="259"/>
      <c r="M1193" s="259"/>
      <c r="N1193" s="259"/>
      <c r="O1193" s="235"/>
      <c r="P1193" s="235"/>
      <c r="Q1193" s="235"/>
    </row>
    <row r="1194" spans="2:17">
      <c r="B1194" s="241"/>
      <c r="C1194" s="241"/>
      <c r="D1194" s="241"/>
      <c r="E1194" s="241"/>
      <c r="F1194" s="259"/>
      <c r="G1194" s="259"/>
      <c r="H1194" s="259"/>
      <c r="I1194" s="259"/>
      <c r="J1194" s="259"/>
      <c r="K1194" s="259"/>
      <c r="L1194" s="259"/>
      <c r="M1194" s="259"/>
      <c r="N1194" s="259"/>
      <c r="O1194" s="235"/>
      <c r="P1194" s="235"/>
      <c r="Q1194" s="235"/>
    </row>
    <row r="1195" spans="2:17">
      <c r="B1195" s="241"/>
      <c r="C1195" s="241"/>
      <c r="D1195" s="241"/>
      <c r="E1195" s="241"/>
      <c r="F1195" s="259"/>
      <c r="G1195" s="259"/>
      <c r="H1195" s="259"/>
      <c r="I1195" s="259"/>
      <c r="J1195" s="259"/>
      <c r="K1195" s="259"/>
      <c r="L1195" s="259"/>
      <c r="M1195" s="259"/>
      <c r="N1195" s="259"/>
      <c r="O1195" s="235"/>
      <c r="P1195" s="235"/>
      <c r="Q1195" s="235"/>
    </row>
    <row r="1196" spans="2:17">
      <c r="B1196" s="241"/>
      <c r="C1196" s="241"/>
      <c r="D1196" s="241"/>
      <c r="E1196" s="241"/>
      <c r="F1196" s="259"/>
      <c r="G1196" s="259"/>
      <c r="H1196" s="259"/>
      <c r="I1196" s="259"/>
      <c r="J1196" s="259"/>
      <c r="K1196" s="259"/>
      <c r="L1196" s="259"/>
      <c r="M1196" s="259"/>
      <c r="N1196" s="259"/>
      <c r="O1196" s="235"/>
      <c r="P1196" s="235"/>
      <c r="Q1196" s="235"/>
    </row>
    <row r="1197" spans="2:17">
      <c r="B1197" s="241"/>
      <c r="C1197" s="241"/>
      <c r="D1197" s="241"/>
      <c r="E1197" s="241"/>
      <c r="F1197" s="259"/>
      <c r="G1197" s="259"/>
      <c r="H1197" s="259"/>
      <c r="I1197" s="259"/>
      <c r="J1197" s="259"/>
      <c r="K1197" s="259"/>
      <c r="L1197" s="259"/>
      <c r="M1197" s="259"/>
      <c r="N1197" s="259"/>
      <c r="O1197" s="235"/>
      <c r="P1197" s="235"/>
      <c r="Q1197" s="235"/>
    </row>
    <row r="1198" spans="2:17">
      <c r="B1198" s="241"/>
      <c r="C1198" s="241"/>
      <c r="D1198" s="241"/>
      <c r="E1198" s="241"/>
      <c r="F1198" s="259"/>
      <c r="G1198" s="259"/>
      <c r="H1198" s="259"/>
      <c r="I1198" s="259"/>
      <c r="J1198" s="259"/>
      <c r="K1198" s="259"/>
      <c r="L1198" s="259"/>
      <c r="M1198" s="259"/>
      <c r="N1198" s="259"/>
      <c r="O1198" s="235"/>
      <c r="P1198" s="235"/>
      <c r="Q1198" s="235"/>
    </row>
    <row r="1199" spans="2:17">
      <c r="B1199" s="241"/>
      <c r="C1199" s="241"/>
      <c r="D1199" s="241"/>
      <c r="E1199" s="241"/>
      <c r="F1199" s="259"/>
      <c r="G1199" s="259"/>
      <c r="H1199" s="259"/>
      <c r="I1199" s="259"/>
      <c r="J1199" s="259"/>
      <c r="K1199" s="259"/>
      <c r="L1199" s="259"/>
      <c r="M1199" s="259"/>
      <c r="N1199" s="259"/>
      <c r="O1199" s="235"/>
      <c r="P1199" s="235"/>
      <c r="Q1199" s="235"/>
    </row>
    <row r="1200" spans="2:17">
      <c r="B1200" s="241"/>
      <c r="C1200" s="241"/>
      <c r="D1200" s="241"/>
      <c r="E1200" s="241"/>
      <c r="F1200" s="259"/>
      <c r="G1200" s="259"/>
      <c r="H1200" s="259"/>
      <c r="I1200" s="259"/>
      <c r="J1200" s="259"/>
      <c r="K1200" s="259"/>
      <c r="L1200" s="259"/>
      <c r="M1200" s="259"/>
      <c r="N1200" s="259"/>
      <c r="O1200" s="235"/>
      <c r="P1200" s="235"/>
      <c r="Q1200" s="235"/>
    </row>
    <row r="1201" spans="2:17">
      <c r="B1201" s="241"/>
      <c r="C1201" s="241"/>
      <c r="D1201" s="241"/>
      <c r="E1201" s="241"/>
      <c r="F1201" s="259"/>
      <c r="G1201" s="259"/>
      <c r="H1201" s="259"/>
      <c r="I1201" s="259"/>
      <c r="J1201" s="259"/>
      <c r="K1201" s="259"/>
      <c r="L1201" s="259"/>
      <c r="M1201" s="259"/>
      <c r="N1201" s="259"/>
      <c r="O1201" s="235"/>
      <c r="P1201" s="235"/>
      <c r="Q1201" s="235"/>
    </row>
    <row r="1202" spans="2:17">
      <c r="B1202" s="241"/>
      <c r="C1202" s="241"/>
      <c r="D1202" s="241"/>
      <c r="E1202" s="241"/>
      <c r="F1202" s="259"/>
      <c r="G1202" s="259"/>
      <c r="H1202" s="259"/>
      <c r="I1202" s="259"/>
      <c r="J1202" s="259"/>
      <c r="K1202" s="259"/>
      <c r="L1202" s="259"/>
      <c r="M1202" s="259"/>
      <c r="N1202" s="259"/>
      <c r="O1202" s="235"/>
      <c r="P1202" s="235"/>
      <c r="Q1202" s="235"/>
    </row>
    <row r="1203" spans="2:17">
      <c r="B1203" s="241"/>
      <c r="C1203" s="241"/>
      <c r="D1203" s="241"/>
      <c r="E1203" s="241"/>
      <c r="F1203" s="259"/>
      <c r="G1203" s="259"/>
      <c r="H1203" s="259"/>
      <c r="I1203" s="259"/>
      <c r="J1203" s="259"/>
      <c r="K1203" s="259"/>
      <c r="L1203" s="259"/>
      <c r="M1203" s="259"/>
      <c r="N1203" s="259"/>
      <c r="O1203" s="235"/>
      <c r="P1203" s="235"/>
      <c r="Q1203" s="235"/>
    </row>
    <row r="1204" spans="2:17">
      <c r="B1204" s="241"/>
      <c r="C1204" s="241"/>
      <c r="D1204" s="241"/>
      <c r="E1204" s="241"/>
      <c r="F1204" s="259"/>
      <c r="G1204" s="259"/>
      <c r="H1204" s="259"/>
      <c r="I1204" s="259"/>
      <c r="J1204" s="259"/>
      <c r="K1204" s="259"/>
      <c r="L1204" s="259"/>
      <c r="M1204" s="259"/>
      <c r="N1204" s="259"/>
      <c r="O1204" s="235"/>
      <c r="P1204" s="235"/>
      <c r="Q1204" s="235"/>
    </row>
    <row r="1205" spans="2:17">
      <c r="B1205" s="241"/>
      <c r="C1205" s="241"/>
      <c r="D1205" s="241"/>
      <c r="E1205" s="241"/>
      <c r="F1205" s="259"/>
      <c r="G1205" s="259"/>
      <c r="H1205" s="259"/>
      <c r="I1205" s="259"/>
      <c r="J1205" s="259"/>
      <c r="K1205" s="259"/>
      <c r="L1205" s="259"/>
      <c r="M1205" s="259"/>
      <c r="N1205" s="259"/>
      <c r="O1205" s="235"/>
      <c r="P1205" s="235"/>
      <c r="Q1205" s="235"/>
    </row>
    <row r="1206" spans="2:17">
      <c r="B1206" s="241"/>
      <c r="C1206" s="241"/>
      <c r="D1206" s="241"/>
      <c r="E1206" s="241"/>
      <c r="F1206" s="259"/>
      <c r="G1206" s="259"/>
      <c r="H1206" s="259"/>
      <c r="I1206" s="259"/>
      <c r="J1206" s="259"/>
      <c r="K1206" s="259"/>
      <c r="L1206" s="259"/>
      <c r="M1206" s="259"/>
      <c r="N1206" s="259"/>
      <c r="O1206" s="235"/>
      <c r="P1206" s="235"/>
      <c r="Q1206" s="235"/>
    </row>
    <row r="1207" spans="2:17">
      <c r="B1207" s="241"/>
      <c r="C1207" s="241"/>
      <c r="D1207" s="241"/>
      <c r="E1207" s="241"/>
      <c r="F1207" s="259"/>
      <c r="G1207" s="259"/>
      <c r="H1207" s="259"/>
      <c r="I1207" s="259"/>
      <c r="J1207" s="259"/>
      <c r="K1207" s="259"/>
      <c r="L1207" s="259"/>
      <c r="M1207" s="259"/>
      <c r="N1207" s="259"/>
      <c r="O1207" s="235"/>
      <c r="P1207" s="235"/>
      <c r="Q1207" s="235"/>
    </row>
    <row r="1208" spans="2:17">
      <c r="B1208" s="241"/>
      <c r="C1208" s="241"/>
      <c r="D1208" s="241"/>
      <c r="E1208" s="241"/>
      <c r="F1208" s="259"/>
      <c r="G1208" s="259"/>
      <c r="H1208" s="259"/>
      <c r="I1208" s="259"/>
      <c r="J1208" s="259"/>
      <c r="K1208" s="259"/>
      <c r="L1208" s="259"/>
      <c r="M1208" s="259"/>
      <c r="N1208" s="259"/>
      <c r="O1208" s="235"/>
      <c r="P1208" s="235"/>
      <c r="Q1208" s="235"/>
    </row>
    <row r="1209" spans="2:17">
      <c r="B1209" s="241"/>
      <c r="C1209" s="241"/>
      <c r="D1209" s="241"/>
      <c r="E1209" s="241"/>
      <c r="F1209" s="259"/>
      <c r="G1209" s="259"/>
      <c r="H1209" s="259"/>
      <c r="I1209" s="259"/>
      <c r="J1209" s="259"/>
      <c r="K1209" s="259"/>
      <c r="L1209" s="259"/>
      <c r="M1209" s="259"/>
      <c r="N1209" s="259"/>
      <c r="O1209" s="235"/>
      <c r="P1209" s="235"/>
      <c r="Q1209" s="235"/>
    </row>
    <row r="1210" spans="2:17">
      <c r="B1210" s="241"/>
      <c r="C1210" s="241"/>
      <c r="D1210" s="241"/>
      <c r="E1210" s="241"/>
      <c r="F1210" s="259"/>
      <c r="G1210" s="259"/>
      <c r="H1210" s="259"/>
      <c r="I1210" s="259"/>
      <c r="J1210" s="259"/>
      <c r="K1210" s="259"/>
      <c r="L1210" s="259"/>
      <c r="M1210" s="259"/>
      <c r="N1210" s="259"/>
      <c r="O1210" s="235"/>
      <c r="P1210" s="235"/>
      <c r="Q1210" s="235"/>
    </row>
    <row r="1211" spans="2:17">
      <c r="B1211" s="241"/>
      <c r="C1211" s="241"/>
      <c r="D1211" s="241"/>
      <c r="E1211" s="241"/>
      <c r="F1211" s="259"/>
      <c r="G1211" s="259"/>
      <c r="H1211" s="259"/>
      <c r="I1211" s="259"/>
      <c r="J1211" s="259"/>
      <c r="K1211" s="259"/>
      <c r="L1211" s="259"/>
      <c r="M1211" s="259"/>
      <c r="N1211" s="259"/>
      <c r="O1211" s="235"/>
      <c r="P1211" s="235"/>
      <c r="Q1211" s="235"/>
    </row>
    <row r="1212" spans="2:17">
      <c r="B1212" s="241"/>
      <c r="C1212" s="241"/>
      <c r="D1212" s="241"/>
      <c r="E1212" s="241"/>
      <c r="F1212" s="259"/>
      <c r="G1212" s="259"/>
      <c r="H1212" s="259"/>
      <c r="I1212" s="259"/>
      <c r="J1212" s="259"/>
      <c r="K1212" s="259"/>
      <c r="L1212" s="259"/>
      <c r="M1212" s="259"/>
      <c r="N1212" s="259"/>
      <c r="O1212" s="235"/>
      <c r="P1212" s="235"/>
      <c r="Q1212" s="235"/>
    </row>
    <row r="1213" spans="2:17">
      <c r="B1213" s="241"/>
      <c r="C1213" s="241"/>
      <c r="D1213" s="241"/>
      <c r="E1213" s="241"/>
      <c r="F1213" s="259"/>
      <c r="G1213" s="259"/>
      <c r="H1213" s="259"/>
      <c r="I1213" s="259"/>
      <c r="J1213" s="259"/>
      <c r="K1213" s="259"/>
      <c r="L1213" s="259"/>
      <c r="M1213" s="259"/>
      <c r="N1213" s="259"/>
      <c r="O1213" s="235"/>
      <c r="P1213" s="235"/>
      <c r="Q1213" s="235"/>
    </row>
    <row r="1214" spans="2:17">
      <c r="B1214" s="241"/>
      <c r="C1214" s="241"/>
      <c r="D1214" s="241"/>
      <c r="E1214" s="241"/>
      <c r="F1214" s="259"/>
      <c r="G1214" s="259"/>
      <c r="H1214" s="259"/>
      <c r="I1214" s="259"/>
      <c r="J1214" s="259"/>
      <c r="K1214" s="259"/>
      <c r="L1214" s="259"/>
      <c r="M1214" s="259"/>
      <c r="N1214" s="259"/>
      <c r="O1214" s="235"/>
      <c r="P1214" s="235"/>
      <c r="Q1214" s="235"/>
    </row>
    <row r="1215" spans="2:17">
      <c r="B1215" s="241"/>
      <c r="C1215" s="241"/>
      <c r="D1215" s="241"/>
      <c r="E1215" s="241"/>
      <c r="F1215" s="259"/>
      <c r="G1215" s="259"/>
      <c r="H1215" s="259"/>
      <c r="I1215" s="259"/>
      <c r="J1215" s="259"/>
      <c r="K1215" s="259"/>
      <c r="L1215" s="259"/>
      <c r="M1215" s="259"/>
      <c r="N1215" s="259"/>
      <c r="O1215" s="235"/>
      <c r="P1215" s="235"/>
      <c r="Q1215" s="235"/>
    </row>
    <row r="1216" spans="2:17">
      <c r="B1216" s="241"/>
      <c r="C1216" s="241"/>
      <c r="D1216" s="241"/>
      <c r="E1216" s="241"/>
      <c r="F1216" s="259"/>
      <c r="G1216" s="259"/>
      <c r="H1216" s="259"/>
      <c r="I1216" s="259"/>
      <c r="J1216" s="259"/>
      <c r="K1216" s="259"/>
      <c r="L1216" s="259"/>
      <c r="M1216" s="259"/>
      <c r="N1216" s="259"/>
      <c r="O1216" s="235"/>
      <c r="P1216" s="235"/>
      <c r="Q1216" s="235"/>
    </row>
    <row r="1217" spans="2:17">
      <c r="B1217" s="241"/>
      <c r="C1217" s="241"/>
      <c r="D1217" s="241"/>
      <c r="E1217" s="241"/>
      <c r="F1217" s="259"/>
      <c r="G1217" s="259"/>
      <c r="H1217" s="259"/>
      <c r="I1217" s="259"/>
      <c r="J1217" s="259"/>
      <c r="K1217" s="259"/>
      <c r="L1217" s="259"/>
      <c r="M1217" s="259"/>
      <c r="N1217" s="259"/>
      <c r="O1217" s="235"/>
      <c r="P1217" s="235"/>
      <c r="Q1217" s="235"/>
    </row>
    <row r="1218" spans="2:17">
      <c r="B1218" s="241"/>
      <c r="C1218" s="241"/>
      <c r="D1218" s="241"/>
      <c r="E1218" s="241"/>
      <c r="F1218" s="259"/>
      <c r="G1218" s="259"/>
      <c r="H1218" s="259"/>
      <c r="I1218" s="259"/>
      <c r="J1218" s="259"/>
      <c r="K1218" s="259"/>
      <c r="L1218" s="259"/>
      <c r="M1218" s="259"/>
      <c r="N1218" s="259"/>
      <c r="O1218" s="235"/>
      <c r="P1218" s="235"/>
      <c r="Q1218" s="235"/>
    </row>
    <row r="1219" spans="2:17">
      <c r="B1219" s="241"/>
      <c r="C1219" s="241"/>
      <c r="D1219" s="241"/>
      <c r="E1219" s="241"/>
      <c r="F1219" s="259"/>
      <c r="G1219" s="259"/>
      <c r="H1219" s="259"/>
      <c r="I1219" s="259"/>
      <c r="J1219" s="259"/>
      <c r="K1219" s="259"/>
      <c r="L1219" s="259"/>
      <c r="M1219" s="259"/>
      <c r="N1219" s="259"/>
      <c r="O1219" s="235"/>
      <c r="P1219" s="235"/>
      <c r="Q1219" s="235"/>
    </row>
    <row r="1220" spans="2:17">
      <c r="B1220" s="241"/>
      <c r="C1220" s="241"/>
      <c r="D1220" s="241"/>
      <c r="E1220" s="241"/>
      <c r="F1220" s="259"/>
      <c r="G1220" s="259"/>
      <c r="H1220" s="259"/>
      <c r="I1220" s="259"/>
      <c r="J1220" s="259"/>
      <c r="K1220" s="259"/>
      <c r="L1220" s="259"/>
      <c r="M1220" s="259"/>
      <c r="N1220" s="259"/>
      <c r="O1220" s="235"/>
      <c r="P1220" s="235"/>
      <c r="Q1220" s="235"/>
    </row>
    <row r="1221" spans="2:17">
      <c r="B1221" s="241"/>
      <c r="C1221" s="241"/>
      <c r="D1221" s="241"/>
      <c r="E1221" s="241"/>
      <c r="F1221" s="259"/>
      <c r="G1221" s="259"/>
      <c r="H1221" s="259"/>
      <c r="I1221" s="259"/>
      <c r="J1221" s="259"/>
      <c r="K1221" s="259"/>
      <c r="L1221" s="259"/>
      <c r="M1221" s="259"/>
      <c r="N1221" s="259"/>
      <c r="O1221" s="235"/>
      <c r="P1221" s="235"/>
      <c r="Q1221" s="235"/>
    </row>
    <row r="1222" spans="2:17">
      <c r="B1222" s="241"/>
      <c r="C1222" s="241"/>
      <c r="D1222" s="241"/>
      <c r="E1222" s="241"/>
      <c r="F1222" s="259"/>
      <c r="G1222" s="259"/>
      <c r="H1222" s="259"/>
      <c r="I1222" s="259"/>
      <c r="J1222" s="259"/>
      <c r="K1222" s="259"/>
      <c r="L1222" s="259"/>
      <c r="M1222" s="259"/>
      <c r="N1222" s="259"/>
      <c r="O1222" s="235"/>
      <c r="P1222" s="235"/>
      <c r="Q1222" s="235"/>
    </row>
    <row r="1223" spans="2:17">
      <c r="B1223" s="241"/>
      <c r="C1223" s="241"/>
      <c r="D1223" s="241"/>
      <c r="E1223" s="241"/>
      <c r="F1223" s="259"/>
      <c r="G1223" s="259"/>
      <c r="H1223" s="259"/>
      <c r="I1223" s="259"/>
      <c r="J1223" s="259"/>
      <c r="K1223" s="259"/>
      <c r="L1223" s="259"/>
      <c r="M1223" s="259"/>
      <c r="N1223" s="259"/>
      <c r="O1223" s="235"/>
      <c r="P1223" s="235"/>
      <c r="Q1223" s="235"/>
    </row>
    <row r="1224" spans="2:17">
      <c r="B1224" s="241"/>
      <c r="C1224" s="241"/>
      <c r="D1224" s="241"/>
      <c r="E1224" s="241"/>
      <c r="F1224" s="259"/>
      <c r="G1224" s="259"/>
      <c r="H1224" s="259"/>
      <c r="I1224" s="259"/>
      <c r="J1224" s="259"/>
      <c r="K1224" s="259"/>
      <c r="L1224" s="259"/>
      <c r="M1224" s="259"/>
      <c r="N1224" s="259"/>
      <c r="O1224" s="235"/>
      <c r="P1224" s="235"/>
      <c r="Q1224" s="235"/>
    </row>
    <row r="1225" spans="2:17">
      <c r="B1225" s="241"/>
      <c r="C1225" s="241"/>
      <c r="D1225" s="241"/>
      <c r="E1225" s="241"/>
      <c r="F1225" s="259"/>
      <c r="G1225" s="259"/>
      <c r="H1225" s="259"/>
      <c r="I1225" s="259"/>
      <c r="J1225" s="259"/>
      <c r="K1225" s="259"/>
      <c r="L1225" s="259"/>
      <c r="M1225" s="259"/>
      <c r="N1225" s="259"/>
      <c r="O1225" s="235"/>
      <c r="P1225" s="235"/>
      <c r="Q1225" s="235"/>
    </row>
    <row r="1226" spans="2:17">
      <c r="B1226" s="241"/>
      <c r="C1226" s="241"/>
      <c r="D1226" s="241"/>
      <c r="E1226" s="241"/>
      <c r="F1226" s="259"/>
      <c r="G1226" s="259"/>
      <c r="H1226" s="259"/>
      <c r="I1226" s="259"/>
      <c r="J1226" s="259"/>
      <c r="K1226" s="259"/>
      <c r="L1226" s="259"/>
      <c r="M1226" s="259"/>
      <c r="N1226" s="259"/>
      <c r="O1226" s="235"/>
      <c r="P1226" s="235"/>
      <c r="Q1226" s="235"/>
    </row>
    <row r="1227" spans="2:17">
      <c r="B1227" s="241"/>
      <c r="C1227" s="241"/>
      <c r="D1227" s="241"/>
      <c r="E1227" s="241"/>
      <c r="F1227" s="259"/>
      <c r="G1227" s="259"/>
      <c r="H1227" s="259"/>
      <c r="I1227" s="259"/>
      <c r="J1227" s="259"/>
      <c r="K1227" s="259"/>
      <c r="L1227" s="259"/>
      <c r="M1227" s="259"/>
      <c r="N1227" s="259"/>
      <c r="O1227" s="235"/>
      <c r="P1227" s="235"/>
      <c r="Q1227" s="235"/>
    </row>
    <row r="1228" spans="2:17">
      <c r="B1228" s="241"/>
      <c r="C1228" s="241"/>
      <c r="D1228" s="241"/>
      <c r="E1228" s="241"/>
      <c r="F1228" s="259"/>
      <c r="G1228" s="259"/>
      <c r="H1228" s="259"/>
      <c r="I1228" s="259"/>
      <c r="J1228" s="259"/>
      <c r="K1228" s="259"/>
      <c r="L1228" s="259"/>
      <c r="M1228" s="259"/>
      <c r="N1228" s="259"/>
      <c r="O1228" s="235"/>
      <c r="P1228" s="235"/>
      <c r="Q1228" s="235"/>
    </row>
    <row r="1229" spans="2:17">
      <c r="B1229" s="241"/>
      <c r="C1229" s="241"/>
      <c r="D1229" s="241"/>
      <c r="E1229" s="241"/>
      <c r="F1229" s="259"/>
      <c r="G1229" s="259"/>
      <c r="H1229" s="259"/>
      <c r="I1229" s="259"/>
      <c r="J1229" s="259"/>
      <c r="K1229" s="259"/>
      <c r="L1229" s="259"/>
      <c r="M1229" s="259"/>
      <c r="N1229" s="259"/>
      <c r="O1229" s="235"/>
      <c r="P1229" s="235"/>
      <c r="Q1229" s="235"/>
    </row>
    <row r="1230" spans="2:17">
      <c r="B1230" s="241"/>
      <c r="C1230" s="241"/>
      <c r="D1230" s="241"/>
      <c r="E1230" s="241"/>
      <c r="F1230" s="259"/>
      <c r="G1230" s="259"/>
      <c r="H1230" s="259"/>
      <c r="I1230" s="259"/>
      <c r="J1230" s="259"/>
      <c r="K1230" s="259"/>
      <c r="L1230" s="259"/>
      <c r="M1230" s="259"/>
      <c r="N1230" s="259"/>
      <c r="O1230" s="235"/>
      <c r="P1230" s="235"/>
      <c r="Q1230" s="235"/>
    </row>
    <row r="1231" spans="2:17">
      <c r="B1231" s="241"/>
      <c r="C1231" s="241"/>
      <c r="D1231" s="241"/>
      <c r="E1231" s="241"/>
      <c r="F1231" s="259"/>
      <c r="G1231" s="259"/>
      <c r="H1231" s="259"/>
      <c r="I1231" s="259"/>
      <c r="J1231" s="259"/>
      <c r="K1231" s="259"/>
      <c r="L1231" s="259"/>
      <c r="M1231" s="259"/>
      <c r="N1231" s="259"/>
      <c r="O1231" s="235"/>
      <c r="P1231" s="235"/>
      <c r="Q1231" s="235"/>
    </row>
    <row r="1232" spans="2:17">
      <c r="B1232" s="241"/>
      <c r="C1232" s="241"/>
      <c r="D1232" s="241"/>
      <c r="E1232" s="241"/>
      <c r="F1232" s="259"/>
      <c r="G1232" s="259"/>
      <c r="H1232" s="259"/>
      <c r="I1232" s="259"/>
      <c r="J1232" s="259"/>
      <c r="K1232" s="259"/>
      <c r="L1232" s="259"/>
      <c r="M1232" s="259"/>
      <c r="N1232" s="259"/>
      <c r="O1232" s="235"/>
      <c r="P1232" s="235"/>
      <c r="Q1232" s="235"/>
    </row>
    <row r="1233" spans="2:17">
      <c r="B1233" s="241"/>
      <c r="C1233" s="241"/>
      <c r="D1233" s="241"/>
      <c r="E1233" s="241"/>
      <c r="F1233" s="259"/>
      <c r="G1233" s="259"/>
      <c r="H1233" s="259"/>
      <c r="I1233" s="259"/>
      <c r="J1233" s="259"/>
      <c r="K1233" s="259"/>
      <c r="L1233" s="259"/>
      <c r="M1233" s="259"/>
      <c r="N1233" s="259"/>
      <c r="O1233" s="235"/>
      <c r="P1233" s="235"/>
      <c r="Q1233" s="235"/>
    </row>
    <row r="1234" spans="2:17">
      <c r="B1234" s="241"/>
      <c r="C1234" s="241"/>
      <c r="D1234" s="241"/>
      <c r="E1234" s="241"/>
      <c r="F1234" s="259"/>
      <c r="G1234" s="259"/>
      <c r="H1234" s="259"/>
      <c r="I1234" s="259"/>
      <c r="J1234" s="259"/>
      <c r="K1234" s="259"/>
      <c r="L1234" s="259"/>
      <c r="M1234" s="259"/>
      <c r="N1234" s="259"/>
      <c r="O1234" s="235"/>
      <c r="P1234" s="235"/>
      <c r="Q1234" s="235"/>
    </row>
    <row r="1235" spans="2:17">
      <c r="B1235" s="241"/>
      <c r="C1235" s="241"/>
      <c r="D1235" s="241"/>
      <c r="E1235" s="241"/>
      <c r="F1235" s="259"/>
      <c r="G1235" s="259"/>
      <c r="H1235" s="259"/>
      <c r="I1235" s="259"/>
      <c r="J1235" s="259"/>
      <c r="K1235" s="259"/>
      <c r="L1235" s="259"/>
      <c r="M1235" s="259"/>
      <c r="N1235" s="259"/>
      <c r="O1235" s="235"/>
      <c r="P1235" s="235"/>
      <c r="Q1235" s="235"/>
    </row>
    <row r="1236" spans="2:17">
      <c r="B1236" s="241"/>
      <c r="C1236" s="241"/>
      <c r="D1236" s="241"/>
      <c r="E1236" s="241"/>
      <c r="F1236" s="259"/>
      <c r="G1236" s="259"/>
      <c r="H1236" s="259"/>
      <c r="I1236" s="259"/>
      <c r="J1236" s="259"/>
      <c r="K1236" s="259"/>
      <c r="L1236" s="259"/>
      <c r="M1236" s="259"/>
      <c r="N1236" s="259"/>
      <c r="O1236" s="235"/>
      <c r="P1236" s="235"/>
      <c r="Q1236" s="235"/>
    </row>
    <row r="1237" spans="2:17">
      <c r="B1237" s="241"/>
      <c r="C1237" s="241"/>
      <c r="D1237" s="241"/>
      <c r="E1237" s="241"/>
      <c r="F1237" s="259"/>
      <c r="G1237" s="259"/>
      <c r="H1237" s="259"/>
      <c r="I1237" s="259"/>
      <c r="J1237" s="259"/>
      <c r="K1237" s="259"/>
      <c r="L1237" s="259"/>
      <c r="M1237" s="259"/>
      <c r="N1237" s="259"/>
      <c r="O1237" s="235"/>
      <c r="P1237" s="235"/>
      <c r="Q1237" s="235"/>
    </row>
    <row r="1238" spans="2:17">
      <c r="B1238" s="241"/>
      <c r="C1238" s="241"/>
      <c r="D1238" s="241"/>
      <c r="E1238" s="241"/>
      <c r="F1238" s="259"/>
      <c r="G1238" s="259"/>
      <c r="H1238" s="259"/>
      <c r="I1238" s="259"/>
      <c r="J1238" s="259"/>
      <c r="K1238" s="259"/>
      <c r="L1238" s="259"/>
      <c r="M1238" s="259"/>
      <c r="N1238" s="259"/>
      <c r="O1238" s="235"/>
      <c r="P1238" s="235"/>
      <c r="Q1238" s="235"/>
    </row>
    <row r="1239" spans="2:17">
      <c r="B1239" s="241"/>
      <c r="C1239" s="241"/>
      <c r="D1239" s="241"/>
      <c r="E1239" s="241"/>
      <c r="F1239" s="259"/>
      <c r="G1239" s="259"/>
      <c r="H1239" s="259"/>
      <c r="I1239" s="259"/>
      <c r="J1239" s="259"/>
      <c r="K1239" s="259"/>
      <c r="L1239" s="259"/>
      <c r="M1239" s="259"/>
      <c r="N1239" s="259"/>
      <c r="O1239" s="235"/>
      <c r="P1239" s="235"/>
      <c r="Q1239" s="235"/>
    </row>
    <row r="1240" spans="2:17">
      <c r="B1240" s="241"/>
      <c r="C1240" s="241"/>
      <c r="D1240" s="241"/>
      <c r="E1240" s="241"/>
      <c r="F1240" s="259"/>
      <c r="G1240" s="259"/>
      <c r="H1240" s="259"/>
      <c r="I1240" s="259"/>
      <c r="J1240" s="259"/>
      <c r="K1240" s="259"/>
      <c r="L1240" s="259"/>
      <c r="M1240" s="259"/>
      <c r="N1240" s="259"/>
      <c r="O1240" s="235"/>
      <c r="P1240" s="235"/>
      <c r="Q1240" s="235"/>
    </row>
    <row r="1241" spans="2:17">
      <c r="B1241" s="241"/>
      <c r="C1241" s="241"/>
      <c r="D1241" s="241"/>
      <c r="E1241" s="241"/>
      <c r="F1241" s="259"/>
      <c r="G1241" s="259"/>
      <c r="H1241" s="259"/>
      <c r="I1241" s="259"/>
      <c r="J1241" s="259"/>
      <c r="K1241" s="259"/>
      <c r="L1241" s="259"/>
      <c r="M1241" s="259"/>
      <c r="N1241" s="259"/>
      <c r="O1241" s="235"/>
      <c r="P1241" s="235"/>
      <c r="Q1241" s="235"/>
    </row>
    <row r="1242" spans="2:17">
      <c r="B1242" s="241"/>
      <c r="C1242" s="241"/>
      <c r="D1242" s="241"/>
      <c r="E1242" s="241"/>
      <c r="F1242" s="259"/>
      <c r="G1242" s="259"/>
      <c r="H1242" s="259"/>
      <c r="I1242" s="259"/>
      <c r="J1242" s="259"/>
      <c r="K1242" s="259"/>
      <c r="L1242" s="259"/>
      <c r="M1242" s="259"/>
      <c r="N1242" s="259"/>
      <c r="O1242" s="235"/>
      <c r="P1242" s="235"/>
      <c r="Q1242" s="235"/>
    </row>
    <row r="1243" spans="2:17">
      <c r="B1243" s="241"/>
      <c r="C1243" s="241"/>
      <c r="D1243" s="241"/>
      <c r="E1243" s="241"/>
      <c r="F1243" s="259"/>
      <c r="G1243" s="259"/>
      <c r="H1243" s="259"/>
      <c r="I1243" s="259"/>
      <c r="J1243" s="259"/>
      <c r="K1243" s="259"/>
      <c r="L1243" s="259"/>
      <c r="M1243" s="259"/>
      <c r="N1243" s="259"/>
      <c r="O1243" s="235"/>
      <c r="P1243" s="235"/>
      <c r="Q1243" s="235"/>
    </row>
    <row r="1244" spans="2:17">
      <c r="B1244" s="241"/>
      <c r="C1244" s="241"/>
      <c r="D1244" s="241"/>
      <c r="E1244" s="241"/>
      <c r="F1244" s="259"/>
      <c r="G1244" s="259"/>
      <c r="H1244" s="259"/>
      <c r="I1244" s="259"/>
      <c r="J1244" s="259"/>
      <c r="K1244" s="259"/>
      <c r="L1244" s="259"/>
      <c r="M1244" s="259"/>
      <c r="N1244" s="259"/>
      <c r="O1244" s="235"/>
      <c r="P1244" s="235"/>
      <c r="Q1244" s="235"/>
    </row>
    <row r="1245" spans="2:17">
      <c r="B1245" s="241"/>
      <c r="C1245" s="241"/>
      <c r="D1245" s="241"/>
      <c r="E1245" s="241"/>
      <c r="F1245" s="259"/>
      <c r="G1245" s="259"/>
      <c r="H1245" s="259"/>
      <c r="I1245" s="259"/>
      <c r="J1245" s="259"/>
      <c r="K1245" s="259"/>
      <c r="L1245" s="259"/>
      <c r="M1245" s="259"/>
      <c r="N1245" s="259"/>
      <c r="O1245" s="235"/>
      <c r="P1245" s="235"/>
      <c r="Q1245" s="235"/>
    </row>
    <row r="1246" spans="2:17">
      <c r="B1246" s="241"/>
      <c r="C1246" s="241"/>
      <c r="D1246" s="241"/>
      <c r="E1246" s="241"/>
      <c r="F1246" s="259"/>
      <c r="G1246" s="259"/>
      <c r="H1246" s="259"/>
      <c r="I1246" s="259"/>
      <c r="J1246" s="259"/>
      <c r="K1246" s="259"/>
      <c r="L1246" s="259"/>
      <c r="M1246" s="259"/>
      <c r="N1246" s="259"/>
      <c r="O1246" s="235"/>
      <c r="P1246" s="235"/>
      <c r="Q1246" s="235"/>
    </row>
    <row r="1247" spans="2:17">
      <c r="B1247" s="241"/>
      <c r="C1247" s="241"/>
      <c r="D1247" s="241"/>
      <c r="E1247" s="241"/>
      <c r="F1247" s="259"/>
      <c r="G1247" s="259"/>
      <c r="H1247" s="259"/>
      <c r="I1247" s="259"/>
      <c r="J1247" s="259"/>
      <c r="K1247" s="259"/>
      <c r="L1247" s="259"/>
      <c r="M1247" s="259"/>
      <c r="N1247" s="259"/>
      <c r="O1247" s="235"/>
      <c r="P1247" s="235"/>
      <c r="Q1247" s="235"/>
    </row>
    <row r="1248" spans="2:17">
      <c r="B1248" s="241"/>
      <c r="C1248" s="241"/>
      <c r="D1248" s="241"/>
      <c r="E1248" s="241"/>
      <c r="F1248" s="259"/>
      <c r="G1248" s="259"/>
      <c r="H1248" s="259"/>
      <c r="I1248" s="259"/>
      <c r="J1248" s="259"/>
      <c r="K1248" s="259"/>
      <c r="L1248" s="259"/>
      <c r="M1248" s="259"/>
      <c r="N1248" s="259"/>
      <c r="O1248" s="235"/>
      <c r="P1248" s="235"/>
      <c r="Q1248" s="235"/>
    </row>
    <row r="1249" spans="2:17">
      <c r="B1249" s="241"/>
      <c r="C1249" s="241"/>
      <c r="D1249" s="241"/>
      <c r="E1249" s="241"/>
      <c r="F1249" s="259"/>
      <c r="G1249" s="259"/>
      <c r="H1249" s="259"/>
      <c r="I1249" s="259"/>
      <c r="J1249" s="259"/>
      <c r="K1249" s="259"/>
      <c r="L1249" s="259"/>
      <c r="M1249" s="259"/>
      <c r="N1249" s="259"/>
      <c r="O1249" s="235"/>
      <c r="P1249" s="235"/>
      <c r="Q1249" s="235"/>
    </row>
    <row r="1250" spans="2:17">
      <c r="B1250" s="241"/>
      <c r="C1250" s="241"/>
      <c r="D1250" s="241"/>
      <c r="E1250" s="241"/>
      <c r="F1250" s="259"/>
      <c r="G1250" s="259"/>
      <c r="H1250" s="259"/>
      <c r="I1250" s="259"/>
      <c r="J1250" s="259"/>
      <c r="K1250" s="259"/>
      <c r="L1250" s="259"/>
      <c r="M1250" s="259"/>
      <c r="N1250" s="259"/>
      <c r="O1250" s="235"/>
      <c r="P1250" s="235"/>
      <c r="Q1250" s="235"/>
    </row>
    <row r="1251" spans="2:17">
      <c r="B1251" s="241"/>
      <c r="C1251" s="241"/>
      <c r="D1251" s="241"/>
      <c r="E1251" s="241"/>
      <c r="F1251" s="259"/>
      <c r="G1251" s="259"/>
      <c r="H1251" s="259"/>
      <c r="I1251" s="259"/>
      <c r="J1251" s="259"/>
      <c r="K1251" s="259"/>
      <c r="L1251" s="259"/>
      <c r="M1251" s="259"/>
      <c r="N1251" s="259"/>
      <c r="O1251" s="235"/>
      <c r="P1251" s="235"/>
      <c r="Q1251" s="235"/>
    </row>
    <row r="1252" spans="2:17">
      <c r="B1252" s="241"/>
      <c r="C1252" s="241"/>
      <c r="D1252" s="241"/>
      <c r="E1252" s="241"/>
      <c r="F1252" s="259"/>
      <c r="G1252" s="259"/>
      <c r="H1252" s="259"/>
      <c r="I1252" s="259"/>
      <c r="J1252" s="259"/>
      <c r="K1252" s="259"/>
      <c r="L1252" s="259"/>
      <c r="M1252" s="259"/>
      <c r="N1252" s="259"/>
      <c r="O1252" s="235"/>
      <c r="P1252" s="235"/>
      <c r="Q1252" s="235"/>
    </row>
    <row r="1253" spans="2:17">
      <c r="B1253" s="241"/>
      <c r="C1253" s="241"/>
      <c r="D1253" s="241"/>
      <c r="E1253" s="241"/>
      <c r="F1253" s="259"/>
      <c r="G1253" s="259"/>
      <c r="H1253" s="259"/>
      <c r="I1253" s="259"/>
      <c r="J1253" s="259"/>
      <c r="K1253" s="259"/>
      <c r="L1253" s="259"/>
      <c r="M1253" s="259"/>
      <c r="N1253" s="259"/>
      <c r="O1253" s="235"/>
      <c r="P1253" s="235"/>
      <c r="Q1253" s="235"/>
    </row>
    <row r="1254" spans="2:17">
      <c r="B1254" s="241"/>
      <c r="C1254" s="241"/>
      <c r="D1254" s="241"/>
      <c r="E1254" s="241"/>
      <c r="F1254" s="259"/>
      <c r="G1254" s="259"/>
      <c r="H1254" s="259"/>
      <c r="I1254" s="259"/>
      <c r="J1254" s="259"/>
      <c r="K1254" s="259"/>
      <c r="L1254" s="259"/>
      <c r="M1254" s="259"/>
      <c r="N1254" s="259"/>
      <c r="O1254" s="235"/>
      <c r="P1254" s="235"/>
      <c r="Q1254" s="235"/>
    </row>
    <row r="1255" spans="2:17">
      <c r="B1255" s="241"/>
      <c r="C1255" s="241"/>
      <c r="D1255" s="241"/>
      <c r="E1255" s="241"/>
      <c r="F1255" s="259"/>
      <c r="G1255" s="259"/>
      <c r="H1255" s="259"/>
      <c r="I1255" s="259"/>
      <c r="J1255" s="259"/>
      <c r="K1255" s="259"/>
      <c r="L1255" s="259"/>
      <c r="M1255" s="259"/>
      <c r="N1255" s="259"/>
      <c r="O1255" s="235"/>
      <c r="P1255" s="235"/>
      <c r="Q1255" s="235"/>
    </row>
    <row r="1256" spans="2:17">
      <c r="B1256" s="241"/>
      <c r="C1256" s="241"/>
      <c r="D1256" s="241"/>
      <c r="E1256" s="241"/>
      <c r="F1256" s="259"/>
      <c r="G1256" s="259"/>
      <c r="H1256" s="259"/>
      <c r="I1256" s="259"/>
      <c r="J1256" s="259"/>
      <c r="K1256" s="259"/>
      <c r="L1256" s="259"/>
      <c r="M1256" s="259"/>
      <c r="N1256" s="259"/>
      <c r="O1256" s="235"/>
      <c r="P1256" s="235"/>
      <c r="Q1256" s="235"/>
    </row>
    <row r="1257" spans="2:17">
      <c r="B1257" s="241"/>
      <c r="C1257" s="241"/>
      <c r="D1257" s="241"/>
      <c r="E1257" s="241"/>
      <c r="F1257" s="259"/>
      <c r="G1257" s="259"/>
      <c r="H1257" s="259"/>
      <c r="I1257" s="259"/>
      <c r="J1257" s="259"/>
      <c r="K1257" s="259"/>
      <c r="L1257" s="259"/>
      <c r="M1257" s="259"/>
      <c r="N1257" s="259"/>
      <c r="O1257" s="235"/>
      <c r="P1257" s="235"/>
      <c r="Q1257" s="235"/>
    </row>
    <row r="1258" spans="2:17">
      <c r="B1258" s="241"/>
      <c r="C1258" s="241"/>
      <c r="D1258" s="241"/>
      <c r="E1258" s="241"/>
      <c r="F1258" s="259"/>
      <c r="G1258" s="259"/>
      <c r="H1258" s="259"/>
      <c r="I1258" s="259"/>
      <c r="J1258" s="259"/>
      <c r="K1258" s="259"/>
      <c r="L1258" s="259"/>
      <c r="M1258" s="259"/>
      <c r="N1258" s="259"/>
      <c r="O1258" s="235"/>
      <c r="P1258" s="235"/>
      <c r="Q1258" s="235"/>
    </row>
    <row r="1259" spans="2:17">
      <c r="B1259" s="241"/>
      <c r="C1259" s="241"/>
      <c r="D1259" s="241"/>
      <c r="E1259" s="241"/>
      <c r="F1259" s="259"/>
      <c r="G1259" s="259"/>
      <c r="H1259" s="259"/>
      <c r="I1259" s="259"/>
      <c r="J1259" s="259"/>
      <c r="K1259" s="259"/>
      <c r="L1259" s="259"/>
      <c r="M1259" s="259"/>
      <c r="N1259" s="259"/>
      <c r="O1259" s="235"/>
      <c r="P1259" s="235"/>
      <c r="Q1259" s="235"/>
    </row>
    <row r="1260" spans="2:17">
      <c r="B1260" s="241"/>
      <c r="C1260" s="241"/>
      <c r="D1260" s="241"/>
      <c r="E1260" s="241"/>
      <c r="F1260" s="259"/>
      <c r="G1260" s="259"/>
      <c r="H1260" s="259"/>
      <c r="I1260" s="259"/>
      <c r="J1260" s="259"/>
      <c r="K1260" s="259"/>
      <c r="L1260" s="259"/>
      <c r="M1260" s="259"/>
      <c r="N1260" s="259"/>
      <c r="O1260" s="235"/>
      <c r="P1260" s="235"/>
      <c r="Q1260" s="235"/>
    </row>
    <row r="1261" spans="2:17">
      <c r="B1261" s="241"/>
      <c r="C1261" s="241"/>
      <c r="D1261" s="241"/>
      <c r="E1261" s="241"/>
      <c r="F1261" s="259"/>
      <c r="G1261" s="259"/>
      <c r="H1261" s="259"/>
      <c r="I1261" s="259"/>
      <c r="J1261" s="259"/>
      <c r="K1261" s="259"/>
      <c r="L1261" s="259"/>
      <c r="M1261" s="259"/>
      <c r="N1261" s="259"/>
      <c r="O1261" s="235"/>
      <c r="P1261" s="235"/>
      <c r="Q1261" s="235"/>
    </row>
    <row r="1262" spans="2:17">
      <c r="B1262" s="241"/>
      <c r="C1262" s="241"/>
      <c r="D1262" s="241"/>
      <c r="E1262" s="241"/>
      <c r="F1262" s="259"/>
      <c r="G1262" s="259"/>
      <c r="H1262" s="259"/>
      <c r="I1262" s="259"/>
      <c r="J1262" s="259"/>
      <c r="K1262" s="259"/>
      <c r="L1262" s="259"/>
      <c r="M1262" s="259"/>
      <c r="N1262" s="259"/>
      <c r="O1262" s="235"/>
      <c r="P1262" s="235"/>
      <c r="Q1262" s="235"/>
    </row>
    <row r="1263" spans="2:17">
      <c r="B1263" s="241"/>
      <c r="C1263" s="241"/>
      <c r="D1263" s="241"/>
      <c r="E1263" s="241"/>
      <c r="F1263" s="259"/>
      <c r="G1263" s="259"/>
      <c r="H1263" s="259"/>
      <c r="I1263" s="259"/>
      <c r="J1263" s="259"/>
      <c r="K1263" s="259"/>
      <c r="L1263" s="259"/>
      <c r="M1263" s="259"/>
      <c r="N1263" s="259"/>
      <c r="O1263" s="235"/>
      <c r="P1263" s="235"/>
      <c r="Q1263" s="235"/>
    </row>
    <row r="1264" spans="2:17">
      <c r="B1264" s="241"/>
      <c r="C1264" s="241"/>
      <c r="D1264" s="241"/>
      <c r="E1264" s="241"/>
      <c r="F1264" s="259"/>
      <c r="G1264" s="259"/>
      <c r="H1264" s="259"/>
      <c r="I1264" s="259"/>
      <c r="J1264" s="259"/>
      <c r="K1264" s="259"/>
      <c r="L1264" s="259"/>
      <c r="M1264" s="259"/>
      <c r="N1264" s="259"/>
      <c r="O1264" s="235"/>
      <c r="P1264" s="235"/>
      <c r="Q1264" s="235"/>
    </row>
    <row r="1265" spans="2:17">
      <c r="B1265" s="241"/>
      <c r="C1265" s="241"/>
      <c r="D1265" s="241"/>
      <c r="E1265" s="241"/>
      <c r="F1265" s="259"/>
      <c r="G1265" s="259"/>
      <c r="H1265" s="259"/>
      <c r="I1265" s="259"/>
      <c r="J1265" s="259"/>
      <c r="K1265" s="259"/>
      <c r="L1265" s="259"/>
      <c r="M1265" s="259"/>
      <c r="N1265" s="259"/>
      <c r="O1265" s="235"/>
      <c r="P1265" s="235"/>
      <c r="Q1265" s="235"/>
    </row>
    <row r="1266" spans="2:17">
      <c r="B1266" s="241"/>
      <c r="C1266" s="241"/>
      <c r="D1266" s="241"/>
      <c r="E1266" s="241"/>
      <c r="F1266" s="259"/>
      <c r="G1266" s="259"/>
      <c r="H1266" s="259"/>
      <c r="I1266" s="259"/>
      <c r="J1266" s="259"/>
      <c r="K1266" s="259"/>
      <c r="L1266" s="259"/>
      <c r="M1266" s="259"/>
      <c r="N1266" s="259"/>
      <c r="O1266" s="235"/>
      <c r="P1266" s="235"/>
      <c r="Q1266" s="235"/>
    </row>
    <row r="1267" spans="2:17">
      <c r="B1267" s="241"/>
      <c r="C1267" s="241"/>
      <c r="D1267" s="241"/>
      <c r="E1267" s="241"/>
      <c r="F1267" s="259"/>
      <c r="G1267" s="259"/>
      <c r="H1267" s="259"/>
      <c r="I1267" s="259"/>
      <c r="J1267" s="259"/>
      <c r="K1267" s="259"/>
      <c r="L1267" s="259"/>
      <c r="M1267" s="259"/>
      <c r="N1267" s="259"/>
      <c r="O1267" s="235"/>
      <c r="P1267" s="235"/>
      <c r="Q1267" s="235"/>
    </row>
    <row r="1268" spans="2:17">
      <c r="B1268" s="241"/>
      <c r="C1268" s="241"/>
      <c r="D1268" s="241"/>
      <c r="E1268" s="241"/>
      <c r="F1268" s="259"/>
      <c r="G1268" s="259"/>
      <c r="H1268" s="259"/>
      <c r="I1268" s="259"/>
      <c r="J1268" s="259"/>
      <c r="K1268" s="259"/>
      <c r="L1268" s="259"/>
      <c r="M1268" s="259"/>
      <c r="N1268" s="259"/>
      <c r="O1268" s="235"/>
      <c r="P1268" s="235"/>
      <c r="Q1268" s="235"/>
    </row>
    <row r="1269" spans="2:17">
      <c r="B1269" s="241"/>
      <c r="C1269" s="241"/>
      <c r="D1269" s="241"/>
      <c r="E1269" s="241"/>
      <c r="F1269" s="259"/>
      <c r="G1269" s="259"/>
      <c r="H1269" s="259"/>
      <c r="I1269" s="259"/>
      <c r="J1269" s="259"/>
      <c r="K1269" s="259"/>
      <c r="L1269" s="259"/>
      <c r="M1269" s="259"/>
      <c r="N1269" s="259"/>
      <c r="O1269" s="235"/>
      <c r="P1269" s="235"/>
      <c r="Q1269" s="235"/>
    </row>
    <row r="1270" spans="2:17">
      <c r="B1270" s="241"/>
      <c r="C1270" s="241"/>
      <c r="D1270" s="241"/>
      <c r="E1270" s="241"/>
      <c r="F1270" s="259"/>
      <c r="G1270" s="259"/>
      <c r="H1270" s="259"/>
      <c r="I1270" s="259"/>
      <c r="J1270" s="259"/>
      <c r="K1270" s="259"/>
      <c r="L1270" s="259"/>
      <c r="M1270" s="259"/>
      <c r="N1270" s="259"/>
      <c r="O1270" s="235"/>
      <c r="P1270" s="235"/>
      <c r="Q1270" s="235"/>
    </row>
    <row r="1271" spans="2:17">
      <c r="B1271" s="241"/>
      <c r="C1271" s="241"/>
      <c r="D1271" s="241"/>
      <c r="E1271" s="241"/>
      <c r="F1271" s="259"/>
      <c r="G1271" s="259"/>
      <c r="H1271" s="259"/>
      <c r="I1271" s="259"/>
      <c r="J1271" s="259"/>
      <c r="K1271" s="259"/>
      <c r="L1271" s="259"/>
      <c r="M1271" s="259"/>
      <c r="N1271" s="259"/>
      <c r="O1271" s="235"/>
      <c r="P1271" s="235"/>
      <c r="Q1271" s="235"/>
    </row>
    <row r="1272" spans="2:17">
      <c r="B1272" s="241"/>
      <c r="C1272" s="241"/>
      <c r="D1272" s="241"/>
      <c r="E1272" s="241"/>
      <c r="F1272" s="259"/>
      <c r="G1272" s="259"/>
      <c r="H1272" s="259"/>
      <c r="I1272" s="259"/>
      <c r="J1272" s="259"/>
      <c r="K1272" s="259"/>
      <c r="L1272" s="259"/>
      <c r="M1272" s="259"/>
      <c r="N1272" s="259"/>
      <c r="O1272" s="235"/>
      <c r="P1272" s="235"/>
      <c r="Q1272" s="235"/>
    </row>
    <row r="1273" spans="2:17">
      <c r="B1273" s="241"/>
      <c r="C1273" s="241"/>
      <c r="D1273" s="241"/>
      <c r="E1273" s="241"/>
      <c r="F1273" s="259"/>
      <c r="G1273" s="259"/>
      <c r="H1273" s="259"/>
      <c r="I1273" s="259"/>
      <c r="J1273" s="259"/>
      <c r="K1273" s="259"/>
      <c r="L1273" s="259"/>
      <c r="M1273" s="259"/>
      <c r="N1273" s="259"/>
      <c r="O1273" s="235"/>
      <c r="P1273" s="235"/>
      <c r="Q1273" s="235"/>
    </row>
    <row r="1274" spans="2:17">
      <c r="B1274" s="241"/>
      <c r="C1274" s="241"/>
      <c r="D1274" s="241"/>
      <c r="E1274" s="241"/>
      <c r="F1274" s="259"/>
      <c r="G1274" s="259"/>
      <c r="H1274" s="259"/>
      <c r="I1274" s="259"/>
      <c r="J1274" s="259"/>
      <c r="K1274" s="259"/>
      <c r="L1274" s="259"/>
      <c r="M1274" s="259"/>
      <c r="N1274" s="259"/>
      <c r="O1274" s="235"/>
      <c r="P1274" s="235"/>
      <c r="Q1274" s="235"/>
    </row>
    <row r="1275" spans="2:17">
      <c r="B1275" s="241"/>
      <c r="C1275" s="241"/>
      <c r="D1275" s="241"/>
      <c r="E1275" s="241"/>
      <c r="F1275" s="259"/>
      <c r="G1275" s="259"/>
      <c r="H1275" s="259"/>
      <c r="I1275" s="259"/>
      <c r="J1275" s="259"/>
      <c r="K1275" s="259"/>
      <c r="L1275" s="259"/>
      <c r="M1275" s="259"/>
      <c r="N1275" s="259"/>
      <c r="O1275" s="235"/>
      <c r="P1275" s="235"/>
      <c r="Q1275" s="235"/>
    </row>
    <row r="1276" spans="2:17">
      <c r="B1276" s="241"/>
      <c r="C1276" s="241"/>
      <c r="D1276" s="241"/>
      <c r="E1276" s="241"/>
      <c r="F1276" s="259"/>
      <c r="G1276" s="259"/>
      <c r="H1276" s="259"/>
      <c r="I1276" s="259"/>
      <c r="J1276" s="259"/>
      <c r="K1276" s="259"/>
      <c r="L1276" s="259"/>
      <c r="M1276" s="259"/>
      <c r="N1276" s="259"/>
      <c r="O1276" s="235"/>
      <c r="P1276" s="235"/>
      <c r="Q1276" s="235"/>
    </row>
    <row r="1277" spans="2:17">
      <c r="B1277" s="241"/>
      <c r="C1277" s="241"/>
      <c r="D1277" s="241"/>
      <c r="E1277" s="241"/>
      <c r="F1277" s="259"/>
      <c r="G1277" s="259"/>
      <c r="H1277" s="259"/>
      <c r="I1277" s="259"/>
      <c r="J1277" s="259"/>
      <c r="K1277" s="259"/>
      <c r="L1277" s="259"/>
      <c r="M1277" s="259"/>
      <c r="N1277" s="259"/>
      <c r="O1277" s="235"/>
      <c r="P1277" s="235"/>
      <c r="Q1277" s="235"/>
    </row>
    <row r="1278" spans="2:17">
      <c r="B1278" s="241"/>
      <c r="C1278" s="241"/>
      <c r="D1278" s="241"/>
      <c r="E1278" s="241"/>
      <c r="F1278" s="259"/>
      <c r="G1278" s="259"/>
      <c r="H1278" s="259"/>
      <c r="I1278" s="259"/>
      <c r="J1278" s="259"/>
      <c r="K1278" s="259"/>
      <c r="L1278" s="259"/>
      <c r="M1278" s="259"/>
      <c r="N1278" s="259"/>
      <c r="O1278" s="235"/>
      <c r="P1278" s="235"/>
      <c r="Q1278" s="235"/>
    </row>
    <row r="1279" spans="2:17">
      <c r="B1279" s="241"/>
      <c r="C1279" s="241"/>
      <c r="D1279" s="241"/>
      <c r="E1279" s="241"/>
      <c r="F1279" s="259"/>
      <c r="G1279" s="259"/>
      <c r="H1279" s="259"/>
      <c r="I1279" s="259"/>
      <c r="J1279" s="259"/>
      <c r="K1279" s="259"/>
      <c r="L1279" s="259"/>
      <c r="M1279" s="259"/>
      <c r="N1279" s="259"/>
      <c r="O1279" s="235"/>
      <c r="P1279" s="235"/>
      <c r="Q1279" s="235"/>
    </row>
    <row r="1280" spans="2:17">
      <c r="B1280" s="241"/>
      <c r="C1280" s="241"/>
      <c r="D1280" s="241"/>
      <c r="E1280" s="241"/>
      <c r="F1280" s="259"/>
      <c r="G1280" s="259"/>
      <c r="H1280" s="259"/>
      <c r="I1280" s="259"/>
      <c r="J1280" s="259"/>
      <c r="K1280" s="259"/>
      <c r="L1280" s="259"/>
      <c r="M1280" s="259"/>
      <c r="N1280" s="259"/>
      <c r="O1280" s="235"/>
      <c r="P1280" s="235"/>
      <c r="Q1280" s="235"/>
    </row>
    <row r="1281" spans="2:17">
      <c r="B1281" s="241"/>
      <c r="C1281" s="241"/>
      <c r="D1281" s="241"/>
      <c r="E1281" s="241"/>
      <c r="F1281" s="259"/>
      <c r="G1281" s="259"/>
      <c r="H1281" s="259"/>
      <c r="I1281" s="259"/>
      <c r="J1281" s="259"/>
      <c r="K1281" s="259"/>
      <c r="L1281" s="259"/>
      <c r="M1281" s="259"/>
      <c r="N1281" s="259"/>
      <c r="O1281" s="235"/>
      <c r="P1281" s="235"/>
      <c r="Q1281" s="235"/>
    </row>
    <row r="1282" spans="2:17">
      <c r="B1282" s="241"/>
      <c r="C1282" s="241"/>
      <c r="D1282" s="241"/>
      <c r="E1282" s="241"/>
      <c r="F1282" s="259"/>
      <c r="G1282" s="259"/>
      <c r="H1282" s="259"/>
      <c r="I1282" s="259"/>
      <c r="J1282" s="259"/>
      <c r="K1282" s="259"/>
      <c r="L1282" s="259"/>
      <c r="M1282" s="259"/>
      <c r="N1282" s="259"/>
      <c r="O1282" s="235"/>
      <c r="P1282" s="235"/>
      <c r="Q1282" s="235"/>
    </row>
    <row r="1283" spans="2:17">
      <c r="B1283" s="241"/>
      <c r="C1283" s="241"/>
      <c r="D1283" s="241"/>
      <c r="E1283" s="241"/>
      <c r="F1283" s="259"/>
      <c r="G1283" s="259"/>
      <c r="H1283" s="259"/>
      <c r="I1283" s="259"/>
      <c r="J1283" s="259"/>
      <c r="K1283" s="259"/>
      <c r="L1283" s="259"/>
      <c r="M1283" s="259"/>
      <c r="N1283" s="259"/>
      <c r="O1283" s="235"/>
      <c r="P1283" s="235"/>
      <c r="Q1283" s="235"/>
    </row>
    <row r="1284" spans="2:17">
      <c r="B1284" s="241"/>
      <c r="C1284" s="241"/>
      <c r="D1284" s="241"/>
      <c r="E1284" s="241"/>
      <c r="F1284" s="259"/>
      <c r="G1284" s="259"/>
      <c r="H1284" s="259"/>
      <c r="I1284" s="259"/>
      <c r="J1284" s="259"/>
      <c r="K1284" s="259"/>
      <c r="L1284" s="259"/>
      <c r="M1284" s="259"/>
      <c r="N1284" s="259"/>
      <c r="O1284" s="235"/>
      <c r="P1284" s="235"/>
      <c r="Q1284" s="235"/>
    </row>
    <row r="1285" spans="2:17">
      <c r="B1285" s="241"/>
      <c r="C1285" s="241"/>
      <c r="D1285" s="241"/>
      <c r="E1285" s="241"/>
      <c r="F1285" s="259"/>
      <c r="G1285" s="259"/>
      <c r="H1285" s="259"/>
      <c r="I1285" s="259"/>
      <c r="J1285" s="259"/>
      <c r="K1285" s="259"/>
      <c r="L1285" s="259"/>
      <c r="M1285" s="259"/>
      <c r="N1285" s="259"/>
      <c r="O1285" s="235"/>
      <c r="P1285" s="235"/>
      <c r="Q1285" s="235"/>
    </row>
    <row r="1286" spans="2:17">
      <c r="B1286" s="241"/>
      <c r="C1286" s="241"/>
      <c r="D1286" s="241"/>
      <c r="E1286" s="241"/>
      <c r="F1286" s="259"/>
      <c r="G1286" s="259"/>
      <c r="H1286" s="259"/>
      <c r="I1286" s="259"/>
      <c r="J1286" s="259"/>
      <c r="K1286" s="259"/>
      <c r="L1286" s="259"/>
      <c r="M1286" s="259"/>
      <c r="N1286" s="259"/>
      <c r="O1286" s="235"/>
      <c r="P1286" s="235"/>
      <c r="Q1286" s="235"/>
    </row>
    <row r="1287" spans="2:17">
      <c r="B1287" s="241"/>
      <c r="C1287" s="241"/>
      <c r="D1287" s="241"/>
      <c r="E1287" s="241"/>
      <c r="F1287" s="259"/>
      <c r="G1287" s="259"/>
      <c r="H1287" s="259"/>
      <c r="I1287" s="259"/>
      <c r="J1287" s="259"/>
      <c r="K1287" s="259"/>
      <c r="L1287" s="259"/>
      <c r="M1287" s="259"/>
      <c r="N1287" s="259"/>
      <c r="O1287" s="235"/>
      <c r="P1287" s="235"/>
      <c r="Q1287" s="235"/>
    </row>
    <row r="1288" spans="2:17">
      <c r="B1288" s="241"/>
      <c r="C1288" s="241"/>
      <c r="D1288" s="241"/>
      <c r="E1288" s="241"/>
      <c r="F1288" s="259"/>
      <c r="G1288" s="259"/>
      <c r="H1288" s="259"/>
      <c r="I1288" s="259"/>
      <c r="J1288" s="259"/>
      <c r="K1288" s="259"/>
      <c r="L1288" s="259"/>
      <c r="M1288" s="259"/>
      <c r="N1288" s="259"/>
      <c r="O1288" s="235"/>
      <c r="P1288" s="235"/>
      <c r="Q1288" s="235"/>
    </row>
    <row r="1289" spans="2:17">
      <c r="B1289" s="241"/>
      <c r="C1289" s="241"/>
      <c r="D1289" s="241"/>
      <c r="E1289" s="241"/>
      <c r="F1289" s="259"/>
      <c r="G1289" s="259"/>
      <c r="H1289" s="259"/>
      <c r="I1289" s="259"/>
      <c r="J1289" s="259"/>
      <c r="K1289" s="259"/>
      <c r="L1289" s="259"/>
      <c r="M1289" s="259"/>
      <c r="N1289" s="259"/>
      <c r="O1289" s="235"/>
      <c r="P1289" s="235"/>
      <c r="Q1289" s="235"/>
    </row>
    <row r="1290" spans="2:17">
      <c r="B1290" s="241"/>
      <c r="C1290" s="241"/>
      <c r="D1290" s="241"/>
      <c r="E1290" s="241"/>
      <c r="F1290" s="259"/>
      <c r="G1290" s="259"/>
      <c r="H1290" s="259"/>
      <c r="I1290" s="259"/>
      <c r="J1290" s="259"/>
      <c r="K1290" s="259"/>
      <c r="L1290" s="259"/>
      <c r="M1290" s="259"/>
      <c r="N1290" s="259"/>
      <c r="O1290" s="235"/>
      <c r="P1290" s="235"/>
      <c r="Q1290" s="235"/>
    </row>
    <row r="1291" spans="2:17">
      <c r="B1291" s="241"/>
      <c r="C1291" s="241"/>
      <c r="D1291" s="241"/>
      <c r="E1291" s="241"/>
      <c r="F1291" s="259"/>
      <c r="G1291" s="259"/>
      <c r="H1291" s="259"/>
      <c r="I1291" s="259"/>
      <c r="J1291" s="259"/>
      <c r="K1291" s="259"/>
      <c r="L1291" s="259"/>
      <c r="M1291" s="259"/>
      <c r="N1291" s="259"/>
      <c r="O1291" s="235"/>
      <c r="P1291" s="235"/>
      <c r="Q1291" s="235"/>
    </row>
    <row r="1292" spans="2:17">
      <c r="B1292" s="241"/>
      <c r="C1292" s="241"/>
      <c r="D1292" s="241"/>
      <c r="E1292" s="241"/>
      <c r="F1292" s="259"/>
      <c r="G1292" s="259"/>
      <c r="H1292" s="259"/>
      <c r="I1292" s="259"/>
      <c r="J1292" s="259"/>
      <c r="K1292" s="259"/>
      <c r="L1292" s="259"/>
      <c r="M1292" s="259"/>
      <c r="N1292" s="259"/>
      <c r="O1292" s="235"/>
      <c r="P1292" s="235"/>
      <c r="Q1292" s="235"/>
    </row>
    <row r="1293" spans="2:17">
      <c r="B1293" s="241"/>
      <c r="C1293" s="241"/>
      <c r="D1293" s="241"/>
      <c r="E1293" s="241"/>
      <c r="F1293" s="259"/>
      <c r="G1293" s="259"/>
      <c r="H1293" s="259"/>
      <c r="I1293" s="259"/>
      <c r="J1293" s="259"/>
      <c r="K1293" s="259"/>
      <c r="L1293" s="259"/>
      <c r="M1293" s="259"/>
      <c r="N1293" s="259"/>
      <c r="O1293" s="235"/>
      <c r="P1293" s="235"/>
      <c r="Q1293" s="235"/>
    </row>
    <row r="1294" spans="2:17">
      <c r="B1294" s="241"/>
      <c r="C1294" s="241"/>
      <c r="D1294" s="241"/>
      <c r="E1294" s="241"/>
      <c r="F1294" s="259"/>
      <c r="G1294" s="259"/>
      <c r="H1294" s="259"/>
      <c r="I1294" s="259"/>
      <c r="J1294" s="259"/>
      <c r="K1294" s="259"/>
      <c r="L1294" s="259"/>
      <c r="M1294" s="259"/>
      <c r="N1294" s="259"/>
      <c r="O1294" s="235"/>
      <c r="P1294" s="235"/>
      <c r="Q1294" s="235"/>
    </row>
    <row r="1295" spans="2:17">
      <c r="B1295" s="241"/>
      <c r="C1295" s="241"/>
      <c r="D1295" s="241"/>
      <c r="E1295" s="241"/>
      <c r="F1295" s="259"/>
      <c r="G1295" s="259"/>
      <c r="H1295" s="259"/>
      <c r="I1295" s="259"/>
      <c r="J1295" s="259"/>
      <c r="K1295" s="259"/>
      <c r="L1295" s="259"/>
      <c r="M1295" s="259"/>
      <c r="N1295" s="259"/>
      <c r="O1295" s="235"/>
      <c r="P1295" s="235"/>
      <c r="Q1295" s="235"/>
    </row>
    <row r="1296" spans="2:17">
      <c r="B1296" s="241"/>
      <c r="C1296" s="241"/>
      <c r="D1296" s="241"/>
      <c r="E1296" s="241"/>
      <c r="F1296" s="259"/>
      <c r="G1296" s="259"/>
      <c r="H1296" s="259"/>
      <c r="I1296" s="259"/>
      <c r="J1296" s="259"/>
      <c r="K1296" s="259"/>
      <c r="L1296" s="259"/>
      <c r="M1296" s="259"/>
      <c r="N1296" s="259"/>
      <c r="O1296" s="235"/>
      <c r="P1296" s="235"/>
      <c r="Q1296" s="235"/>
    </row>
    <row r="1297" spans="2:17">
      <c r="B1297" s="241"/>
      <c r="C1297" s="241"/>
      <c r="D1297" s="241"/>
      <c r="E1297" s="241"/>
      <c r="F1297" s="259"/>
      <c r="G1297" s="259"/>
      <c r="H1297" s="259"/>
      <c r="I1297" s="259"/>
      <c r="J1297" s="259"/>
      <c r="K1297" s="259"/>
      <c r="L1297" s="259"/>
      <c r="M1297" s="259"/>
      <c r="N1297" s="259"/>
      <c r="O1297" s="235"/>
      <c r="P1297" s="235"/>
      <c r="Q1297" s="235"/>
    </row>
    <row r="1298" spans="2:17">
      <c r="B1298" s="241"/>
      <c r="C1298" s="241"/>
      <c r="D1298" s="241"/>
      <c r="E1298" s="241"/>
      <c r="F1298" s="259"/>
      <c r="G1298" s="259"/>
      <c r="H1298" s="259"/>
      <c r="I1298" s="259"/>
      <c r="J1298" s="259"/>
      <c r="K1298" s="259"/>
      <c r="L1298" s="259"/>
      <c r="M1298" s="259"/>
      <c r="N1298" s="259"/>
      <c r="O1298" s="235"/>
      <c r="P1298" s="235"/>
      <c r="Q1298" s="235"/>
    </row>
    <row r="1299" spans="2:17">
      <c r="B1299" s="241"/>
      <c r="C1299" s="241"/>
      <c r="D1299" s="241"/>
      <c r="E1299" s="241"/>
      <c r="F1299" s="259"/>
      <c r="G1299" s="259"/>
      <c r="H1299" s="259"/>
      <c r="I1299" s="259"/>
      <c r="J1299" s="259"/>
      <c r="K1299" s="259"/>
      <c r="L1299" s="259"/>
      <c r="M1299" s="259"/>
      <c r="N1299" s="259"/>
      <c r="O1299" s="235"/>
      <c r="P1299" s="235"/>
      <c r="Q1299" s="235"/>
    </row>
    <row r="1300" spans="2:17">
      <c r="B1300" s="241"/>
      <c r="C1300" s="241"/>
      <c r="D1300" s="241"/>
      <c r="E1300" s="241"/>
      <c r="F1300" s="259"/>
      <c r="G1300" s="259"/>
      <c r="H1300" s="259"/>
      <c r="I1300" s="259"/>
      <c r="J1300" s="259"/>
      <c r="K1300" s="259"/>
      <c r="L1300" s="259"/>
      <c r="M1300" s="259"/>
      <c r="N1300" s="259"/>
      <c r="O1300" s="235"/>
      <c r="P1300" s="235"/>
      <c r="Q1300" s="235"/>
    </row>
    <row r="1301" spans="2:17">
      <c r="B1301" s="241"/>
      <c r="C1301" s="241"/>
      <c r="D1301" s="241"/>
      <c r="E1301" s="241"/>
      <c r="F1301" s="259"/>
      <c r="G1301" s="259"/>
      <c r="H1301" s="259"/>
      <c r="I1301" s="259"/>
      <c r="J1301" s="259"/>
      <c r="K1301" s="259"/>
      <c r="L1301" s="259"/>
      <c r="M1301" s="259"/>
      <c r="N1301" s="259"/>
      <c r="O1301" s="235"/>
      <c r="P1301" s="235"/>
      <c r="Q1301" s="235"/>
    </row>
    <row r="1302" spans="2:17">
      <c r="B1302" s="241"/>
      <c r="C1302" s="241"/>
      <c r="D1302" s="241"/>
      <c r="E1302" s="241"/>
      <c r="F1302" s="259"/>
      <c r="G1302" s="259"/>
      <c r="H1302" s="259"/>
      <c r="I1302" s="259"/>
      <c r="J1302" s="259"/>
      <c r="K1302" s="259"/>
      <c r="L1302" s="259"/>
      <c r="M1302" s="259"/>
      <c r="N1302" s="259"/>
      <c r="O1302" s="235"/>
      <c r="P1302" s="235"/>
      <c r="Q1302" s="235"/>
    </row>
    <row r="1303" spans="2:17">
      <c r="B1303" s="241"/>
      <c r="C1303" s="241"/>
      <c r="D1303" s="241"/>
      <c r="E1303" s="241"/>
      <c r="F1303" s="259"/>
      <c r="G1303" s="259"/>
      <c r="H1303" s="259"/>
      <c r="I1303" s="259"/>
      <c r="J1303" s="259"/>
      <c r="K1303" s="259"/>
      <c r="L1303" s="259"/>
      <c r="M1303" s="259"/>
      <c r="N1303" s="259"/>
      <c r="O1303" s="235"/>
      <c r="P1303" s="235"/>
      <c r="Q1303" s="235"/>
    </row>
    <row r="1304" spans="2:17">
      <c r="B1304" s="241"/>
      <c r="C1304" s="241"/>
      <c r="D1304" s="241"/>
      <c r="E1304" s="241"/>
      <c r="F1304" s="259"/>
      <c r="G1304" s="259"/>
      <c r="H1304" s="259"/>
      <c r="I1304" s="259"/>
      <c r="J1304" s="259"/>
      <c r="K1304" s="259"/>
      <c r="L1304" s="259"/>
      <c r="M1304" s="259"/>
      <c r="N1304" s="259"/>
      <c r="O1304" s="235"/>
      <c r="P1304" s="235"/>
      <c r="Q1304" s="235"/>
    </row>
    <row r="1305" spans="2:17">
      <c r="B1305" s="241"/>
      <c r="C1305" s="241"/>
      <c r="D1305" s="241"/>
      <c r="E1305" s="241"/>
      <c r="F1305" s="259"/>
      <c r="G1305" s="259"/>
      <c r="H1305" s="259"/>
      <c r="I1305" s="259"/>
      <c r="J1305" s="259"/>
      <c r="K1305" s="259"/>
      <c r="L1305" s="259"/>
      <c r="M1305" s="259"/>
      <c r="N1305" s="259"/>
      <c r="O1305" s="235"/>
      <c r="P1305" s="235"/>
      <c r="Q1305" s="235"/>
    </row>
    <row r="1306" spans="2:17">
      <c r="B1306" s="241"/>
      <c r="C1306" s="241"/>
      <c r="D1306" s="241"/>
      <c r="E1306" s="241"/>
      <c r="F1306" s="259"/>
      <c r="G1306" s="259"/>
      <c r="H1306" s="259"/>
      <c r="I1306" s="259"/>
      <c r="J1306" s="259"/>
      <c r="K1306" s="259"/>
      <c r="L1306" s="259"/>
      <c r="M1306" s="259"/>
      <c r="N1306" s="259"/>
      <c r="O1306" s="235"/>
      <c r="P1306" s="235"/>
      <c r="Q1306" s="235"/>
    </row>
    <row r="1307" spans="2:17">
      <c r="B1307" s="241"/>
      <c r="C1307" s="241"/>
      <c r="D1307" s="241"/>
      <c r="E1307" s="241"/>
      <c r="F1307" s="259"/>
      <c r="G1307" s="259"/>
      <c r="H1307" s="259"/>
      <c r="I1307" s="259"/>
      <c r="J1307" s="259"/>
      <c r="K1307" s="259"/>
      <c r="L1307" s="259"/>
      <c r="M1307" s="259"/>
      <c r="N1307" s="259"/>
      <c r="O1307" s="235"/>
      <c r="P1307" s="235"/>
      <c r="Q1307" s="235"/>
    </row>
    <row r="1308" spans="2:17">
      <c r="B1308" s="241"/>
      <c r="C1308" s="241"/>
      <c r="D1308" s="241"/>
      <c r="E1308" s="241"/>
      <c r="F1308" s="259"/>
      <c r="G1308" s="259"/>
      <c r="H1308" s="259"/>
      <c r="I1308" s="259"/>
      <c r="J1308" s="259"/>
      <c r="K1308" s="259"/>
      <c r="L1308" s="259"/>
      <c r="M1308" s="259"/>
      <c r="N1308" s="259"/>
      <c r="O1308" s="235"/>
      <c r="P1308" s="235"/>
      <c r="Q1308" s="235"/>
    </row>
    <row r="1309" spans="2:17">
      <c r="B1309" s="241"/>
      <c r="C1309" s="241"/>
      <c r="D1309" s="241"/>
      <c r="E1309" s="241"/>
      <c r="F1309" s="259"/>
      <c r="G1309" s="259"/>
      <c r="H1309" s="259"/>
      <c r="I1309" s="259"/>
      <c r="J1309" s="259"/>
      <c r="K1309" s="259"/>
      <c r="L1309" s="259"/>
      <c r="M1309" s="259"/>
      <c r="N1309" s="259"/>
      <c r="O1309" s="235"/>
      <c r="P1309" s="235"/>
      <c r="Q1309" s="235"/>
    </row>
    <row r="1310" spans="2:17">
      <c r="B1310" s="241"/>
      <c r="C1310" s="241"/>
      <c r="D1310" s="241"/>
      <c r="E1310" s="241"/>
      <c r="F1310" s="259"/>
      <c r="G1310" s="259"/>
      <c r="H1310" s="259"/>
      <c r="I1310" s="259"/>
      <c r="J1310" s="259"/>
      <c r="K1310" s="259"/>
      <c r="L1310" s="259"/>
      <c r="M1310" s="259"/>
      <c r="N1310" s="259"/>
      <c r="O1310" s="235"/>
      <c r="P1310" s="235"/>
      <c r="Q1310" s="235"/>
    </row>
    <row r="1311" spans="2:17">
      <c r="B1311" s="241"/>
      <c r="C1311" s="241"/>
      <c r="D1311" s="241"/>
      <c r="E1311" s="241"/>
      <c r="F1311" s="259"/>
      <c r="G1311" s="259"/>
      <c r="H1311" s="259"/>
      <c r="I1311" s="259"/>
      <c r="J1311" s="259"/>
      <c r="K1311" s="259"/>
      <c r="L1311" s="259"/>
      <c r="M1311" s="259"/>
      <c r="N1311" s="259"/>
      <c r="O1311" s="235"/>
      <c r="P1311" s="235"/>
      <c r="Q1311" s="235"/>
    </row>
    <row r="1312" spans="2:17">
      <c r="B1312" s="241"/>
      <c r="C1312" s="241"/>
      <c r="D1312" s="241"/>
      <c r="E1312" s="241"/>
      <c r="F1312" s="259"/>
      <c r="G1312" s="259"/>
      <c r="H1312" s="259"/>
      <c r="I1312" s="259"/>
      <c r="J1312" s="259"/>
      <c r="K1312" s="259"/>
      <c r="L1312" s="259"/>
      <c r="M1312" s="259"/>
      <c r="N1312" s="259"/>
      <c r="O1312" s="235"/>
      <c r="P1312" s="235"/>
      <c r="Q1312" s="235"/>
    </row>
    <row r="1313" spans="2:17">
      <c r="B1313" s="241"/>
      <c r="C1313" s="241"/>
      <c r="D1313" s="241"/>
      <c r="E1313" s="241"/>
      <c r="F1313" s="259"/>
      <c r="G1313" s="259"/>
      <c r="H1313" s="259"/>
      <c r="I1313" s="259"/>
      <c r="J1313" s="259"/>
      <c r="K1313" s="259"/>
      <c r="L1313" s="259"/>
      <c r="M1313" s="259"/>
      <c r="N1313" s="259"/>
      <c r="O1313" s="235"/>
      <c r="P1313" s="235"/>
      <c r="Q1313" s="235"/>
    </row>
    <row r="1314" spans="2:17">
      <c r="B1314" s="241"/>
      <c r="C1314" s="241"/>
      <c r="D1314" s="241"/>
      <c r="E1314" s="241"/>
      <c r="F1314" s="259"/>
      <c r="G1314" s="259"/>
      <c r="H1314" s="259"/>
      <c r="I1314" s="259"/>
      <c r="J1314" s="259"/>
      <c r="K1314" s="259"/>
      <c r="L1314" s="259"/>
      <c r="M1314" s="259"/>
      <c r="N1314" s="259"/>
      <c r="O1314" s="235"/>
      <c r="P1314" s="235"/>
      <c r="Q1314" s="235"/>
    </row>
    <row r="1315" spans="2:17">
      <c r="B1315" s="241"/>
      <c r="C1315" s="241"/>
      <c r="D1315" s="241"/>
      <c r="E1315" s="241"/>
      <c r="F1315" s="259"/>
      <c r="G1315" s="259"/>
      <c r="H1315" s="259"/>
      <c r="I1315" s="259"/>
      <c r="J1315" s="259"/>
      <c r="K1315" s="259"/>
      <c r="L1315" s="259"/>
      <c r="M1315" s="259"/>
      <c r="N1315" s="259"/>
      <c r="O1315" s="235"/>
      <c r="P1315" s="235"/>
      <c r="Q1315" s="235"/>
    </row>
    <row r="1316" spans="2:17">
      <c r="B1316" s="241"/>
      <c r="C1316" s="241"/>
      <c r="D1316" s="241"/>
      <c r="E1316" s="241"/>
      <c r="F1316" s="259"/>
      <c r="G1316" s="259"/>
      <c r="H1316" s="259"/>
      <c r="I1316" s="259"/>
      <c r="J1316" s="259"/>
      <c r="K1316" s="259"/>
      <c r="L1316" s="259"/>
      <c r="M1316" s="259"/>
      <c r="N1316" s="259"/>
      <c r="O1316" s="235"/>
      <c r="P1316" s="235"/>
      <c r="Q1316" s="235"/>
    </row>
    <row r="1317" spans="2:17">
      <c r="B1317" s="241"/>
      <c r="C1317" s="241"/>
      <c r="D1317" s="241"/>
      <c r="E1317" s="241"/>
      <c r="F1317" s="259"/>
      <c r="G1317" s="259"/>
      <c r="H1317" s="259"/>
      <c r="I1317" s="259"/>
      <c r="J1317" s="259"/>
      <c r="K1317" s="259"/>
      <c r="L1317" s="259"/>
      <c r="M1317" s="259"/>
      <c r="N1317" s="259"/>
      <c r="O1317" s="235"/>
      <c r="P1317" s="235"/>
      <c r="Q1317" s="235"/>
    </row>
    <row r="1318" spans="2:17">
      <c r="B1318" s="241"/>
      <c r="C1318" s="241"/>
      <c r="D1318" s="241"/>
      <c r="E1318" s="241"/>
      <c r="F1318" s="259"/>
      <c r="G1318" s="259"/>
      <c r="H1318" s="259"/>
      <c r="I1318" s="259"/>
      <c r="J1318" s="259"/>
      <c r="K1318" s="259"/>
      <c r="L1318" s="259"/>
      <c r="M1318" s="259"/>
      <c r="N1318" s="259"/>
      <c r="O1318" s="235"/>
      <c r="P1318" s="235"/>
      <c r="Q1318" s="235"/>
    </row>
    <row r="1319" spans="2:17">
      <c r="B1319" s="241"/>
      <c r="C1319" s="241"/>
      <c r="D1319" s="241"/>
      <c r="E1319" s="241"/>
      <c r="F1319" s="259"/>
      <c r="G1319" s="259"/>
      <c r="H1319" s="259"/>
      <c r="I1319" s="259"/>
      <c r="J1319" s="259"/>
      <c r="K1319" s="259"/>
      <c r="L1319" s="259"/>
      <c r="M1319" s="259"/>
      <c r="N1319" s="259"/>
      <c r="O1319" s="235"/>
      <c r="P1319" s="235"/>
      <c r="Q1319" s="235"/>
    </row>
    <row r="1320" spans="2:17">
      <c r="B1320" s="241"/>
      <c r="C1320" s="241"/>
      <c r="D1320" s="241"/>
      <c r="E1320" s="241"/>
      <c r="F1320" s="259"/>
      <c r="G1320" s="259"/>
      <c r="H1320" s="259"/>
      <c r="I1320" s="259"/>
      <c r="J1320" s="259"/>
      <c r="K1320" s="259"/>
      <c r="L1320" s="259"/>
      <c r="M1320" s="259"/>
      <c r="N1320" s="259"/>
      <c r="O1320" s="235"/>
      <c r="P1320" s="235"/>
      <c r="Q1320" s="235"/>
    </row>
    <row r="1321" spans="2:17">
      <c r="B1321" s="241"/>
      <c r="C1321" s="241"/>
      <c r="D1321" s="241"/>
      <c r="E1321" s="241"/>
      <c r="F1321" s="259"/>
      <c r="G1321" s="259"/>
      <c r="H1321" s="259"/>
      <c r="I1321" s="259"/>
      <c r="J1321" s="259"/>
      <c r="K1321" s="259"/>
      <c r="L1321" s="259"/>
      <c r="M1321" s="259"/>
      <c r="N1321" s="259"/>
      <c r="O1321" s="235"/>
      <c r="P1321" s="235"/>
      <c r="Q1321" s="235"/>
    </row>
    <row r="1322" spans="2:17">
      <c r="B1322" s="241"/>
      <c r="C1322" s="241"/>
      <c r="D1322" s="241"/>
      <c r="E1322" s="241"/>
      <c r="F1322" s="259"/>
      <c r="G1322" s="259"/>
      <c r="H1322" s="259"/>
      <c r="I1322" s="259"/>
      <c r="J1322" s="259"/>
      <c r="K1322" s="259"/>
      <c r="L1322" s="259"/>
      <c r="M1322" s="259"/>
      <c r="N1322" s="259"/>
      <c r="O1322" s="235"/>
      <c r="P1322" s="235"/>
      <c r="Q1322" s="235"/>
    </row>
    <row r="1323" spans="2:17">
      <c r="B1323" s="241"/>
      <c r="C1323" s="241"/>
      <c r="D1323" s="241"/>
      <c r="E1323" s="241"/>
      <c r="F1323" s="259"/>
      <c r="G1323" s="259"/>
      <c r="H1323" s="259"/>
      <c r="I1323" s="259"/>
      <c r="J1323" s="259"/>
      <c r="K1323" s="259"/>
      <c r="L1323" s="259"/>
      <c r="M1323" s="259"/>
      <c r="N1323" s="259"/>
      <c r="O1323" s="235"/>
      <c r="P1323" s="235"/>
      <c r="Q1323" s="235"/>
    </row>
    <row r="1324" spans="2:17">
      <c r="B1324" s="241"/>
      <c r="C1324" s="241"/>
      <c r="D1324" s="241"/>
      <c r="E1324" s="241"/>
      <c r="F1324" s="259"/>
      <c r="G1324" s="259"/>
      <c r="H1324" s="259"/>
      <c r="I1324" s="259"/>
      <c r="J1324" s="259"/>
      <c r="K1324" s="259"/>
      <c r="L1324" s="259"/>
      <c r="M1324" s="259"/>
      <c r="N1324" s="259"/>
      <c r="O1324" s="235"/>
      <c r="P1324" s="235"/>
      <c r="Q1324" s="235"/>
    </row>
    <row r="1325" spans="2:17">
      <c r="B1325" s="241"/>
      <c r="C1325" s="241"/>
      <c r="D1325" s="241"/>
      <c r="E1325" s="241"/>
      <c r="F1325" s="259"/>
      <c r="G1325" s="259"/>
      <c r="H1325" s="259"/>
      <c r="I1325" s="259"/>
      <c r="J1325" s="259"/>
      <c r="K1325" s="259"/>
      <c r="L1325" s="259"/>
      <c r="M1325" s="259"/>
      <c r="N1325" s="259"/>
      <c r="O1325" s="235"/>
      <c r="P1325" s="235"/>
      <c r="Q1325" s="235"/>
    </row>
    <row r="1326" spans="2:17">
      <c r="B1326" s="241"/>
      <c r="C1326" s="241"/>
      <c r="D1326" s="241"/>
      <c r="E1326" s="241"/>
      <c r="F1326" s="259"/>
      <c r="G1326" s="259"/>
      <c r="H1326" s="259"/>
      <c r="I1326" s="259"/>
      <c r="J1326" s="259"/>
      <c r="K1326" s="259"/>
      <c r="L1326" s="259"/>
      <c r="M1326" s="259"/>
      <c r="N1326" s="259"/>
      <c r="O1326" s="235"/>
      <c r="P1326" s="235"/>
      <c r="Q1326" s="235"/>
    </row>
    <row r="1327" spans="2:17">
      <c r="B1327" s="241"/>
      <c r="C1327" s="241"/>
      <c r="D1327" s="241"/>
      <c r="E1327" s="241"/>
      <c r="F1327" s="259"/>
      <c r="G1327" s="259"/>
      <c r="H1327" s="259"/>
      <c r="I1327" s="259"/>
      <c r="J1327" s="259"/>
      <c r="K1327" s="259"/>
      <c r="L1327" s="259"/>
      <c r="M1327" s="259"/>
      <c r="N1327" s="259"/>
      <c r="O1327" s="235"/>
      <c r="P1327" s="235"/>
      <c r="Q1327" s="235"/>
    </row>
    <row r="1328" spans="2:17">
      <c r="B1328" s="241"/>
      <c r="C1328" s="241"/>
      <c r="D1328" s="241"/>
      <c r="E1328" s="241"/>
      <c r="F1328" s="259"/>
      <c r="G1328" s="259"/>
      <c r="H1328" s="259"/>
      <c r="I1328" s="259"/>
      <c r="J1328" s="259"/>
      <c r="K1328" s="259"/>
      <c r="L1328" s="259"/>
      <c r="M1328" s="259"/>
      <c r="N1328" s="259"/>
      <c r="O1328" s="235"/>
      <c r="P1328" s="235"/>
      <c r="Q1328" s="235"/>
    </row>
    <row r="1329" spans="2:17">
      <c r="B1329" s="241"/>
      <c r="C1329" s="241"/>
      <c r="D1329" s="241"/>
      <c r="E1329" s="241"/>
      <c r="F1329" s="259"/>
      <c r="G1329" s="259"/>
      <c r="H1329" s="259"/>
      <c r="I1329" s="259"/>
      <c r="J1329" s="259"/>
      <c r="K1329" s="259"/>
      <c r="L1329" s="259"/>
      <c r="M1329" s="259"/>
      <c r="N1329" s="259"/>
      <c r="O1329" s="235"/>
      <c r="P1329" s="235"/>
      <c r="Q1329" s="235"/>
    </row>
    <row r="1330" spans="2:17">
      <c r="B1330" s="241"/>
      <c r="C1330" s="241"/>
      <c r="D1330" s="241"/>
      <c r="E1330" s="241"/>
      <c r="F1330" s="259"/>
      <c r="G1330" s="259"/>
      <c r="H1330" s="259"/>
      <c r="I1330" s="259"/>
      <c r="J1330" s="259"/>
      <c r="K1330" s="259"/>
      <c r="L1330" s="259"/>
      <c r="M1330" s="259"/>
      <c r="N1330" s="259"/>
      <c r="O1330" s="235"/>
      <c r="P1330" s="235"/>
      <c r="Q1330" s="235"/>
    </row>
    <row r="1331" spans="2:17">
      <c r="B1331" s="241"/>
      <c r="C1331" s="241"/>
      <c r="D1331" s="241"/>
      <c r="E1331" s="241"/>
      <c r="F1331" s="259"/>
      <c r="G1331" s="259"/>
      <c r="H1331" s="259"/>
      <c r="I1331" s="259"/>
      <c r="J1331" s="259"/>
      <c r="K1331" s="259"/>
      <c r="L1331" s="259"/>
      <c r="M1331" s="259"/>
      <c r="N1331" s="259"/>
      <c r="O1331" s="235"/>
      <c r="P1331" s="235"/>
      <c r="Q1331" s="235"/>
    </row>
    <row r="1332" spans="2:17">
      <c r="B1332" s="241"/>
      <c r="C1332" s="241"/>
      <c r="D1332" s="241"/>
      <c r="E1332" s="241"/>
      <c r="F1332" s="259"/>
      <c r="G1332" s="259"/>
      <c r="H1332" s="259"/>
      <c r="I1332" s="259"/>
      <c r="J1332" s="259"/>
      <c r="K1332" s="259"/>
      <c r="L1332" s="259"/>
      <c r="M1332" s="259"/>
      <c r="N1332" s="259"/>
      <c r="O1332" s="235"/>
      <c r="P1332" s="235"/>
      <c r="Q1332" s="235"/>
    </row>
    <row r="1333" spans="2:17">
      <c r="B1333" s="241"/>
      <c r="C1333" s="241"/>
      <c r="D1333" s="241"/>
      <c r="E1333" s="241"/>
      <c r="F1333" s="259"/>
      <c r="G1333" s="259"/>
      <c r="H1333" s="259"/>
      <c r="I1333" s="259"/>
      <c r="J1333" s="259"/>
      <c r="K1333" s="259"/>
      <c r="L1333" s="259"/>
      <c r="M1333" s="259"/>
      <c r="N1333" s="259"/>
      <c r="O1333" s="235"/>
      <c r="P1333" s="235"/>
      <c r="Q1333" s="235"/>
    </row>
    <row r="1334" spans="2:17">
      <c r="B1334" s="241"/>
      <c r="C1334" s="241"/>
      <c r="D1334" s="241"/>
      <c r="E1334" s="241"/>
      <c r="F1334" s="259"/>
      <c r="G1334" s="259"/>
      <c r="H1334" s="259"/>
      <c r="I1334" s="259"/>
      <c r="J1334" s="259"/>
      <c r="K1334" s="259"/>
      <c r="L1334" s="259"/>
      <c r="M1334" s="259"/>
      <c r="N1334" s="259"/>
      <c r="O1334" s="235"/>
      <c r="P1334" s="235"/>
      <c r="Q1334" s="235"/>
    </row>
    <row r="1335" spans="2:17">
      <c r="B1335" s="241"/>
      <c r="C1335" s="241"/>
      <c r="D1335" s="241"/>
      <c r="E1335" s="241"/>
      <c r="F1335" s="259"/>
      <c r="G1335" s="259"/>
      <c r="H1335" s="259"/>
      <c r="I1335" s="259"/>
      <c r="J1335" s="259"/>
      <c r="K1335" s="259"/>
      <c r="L1335" s="259"/>
      <c r="M1335" s="259"/>
      <c r="N1335" s="259"/>
      <c r="O1335" s="235"/>
      <c r="P1335" s="235"/>
      <c r="Q1335" s="235"/>
    </row>
    <row r="1336" spans="2:17">
      <c r="B1336" s="241"/>
      <c r="C1336" s="241"/>
      <c r="D1336" s="241"/>
      <c r="E1336" s="241"/>
      <c r="F1336" s="259"/>
      <c r="G1336" s="259"/>
      <c r="H1336" s="259"/>
      <c r="I1336" s="259"/>
      <c r="J1336" s="259"/>
      <c r="K1336" s="259"/>
      <c r="L1336" s="259"/>
      <c r="M1336" s="259"/>
      <c r="N1336" s="259"/>
      <c r="O1336" s="235"/>
      <c r="P1336" s="235"/>
      <c r="Q1336" s="235"/>
    </row>
    <row r="1337" spans="2:17">
      <c r="B1337" s="241"/>
      <c r="C1337" s="241"/>
      <c r="D1337" s="241"/>
      <c r="E1337" s="241"/>
      <c r="F1337" s="259"/>
      <c r="G1337" s="259"/>
      <c r="H1337" s="259"/>
      <c r="I1337" s="259"/>
      <c r="J1337" s="259"/>
      <c r="K1337" s="259"/>
      <c r="L1337" s="259"/>
      <c r="M1337" s="259"/>
      <c r="N1337" s="259"/>
      <c r="O1337" s="235"/>
      <c r="P1337" s="235"/>
      <c r="Q1337" s="235"/>
    </row>
    <row r="1338" spans="2:17">
      <c r="B1338" s="241"/>
      <c r="C1338" s="241"/>
      <c r="D1338" s="241"/>
      <c r="E1338" s="241"/>
      <c r="F1338" s="259"/>
      <c r="G1338" s="259"/>
      <c r="H1338" s="259"/>
      <c r="I1338" s="259"/>
      <c r="J1338" s="259"/>
      <c r="K1338" s="259"/>
      <c r="L1338" s="259"/>
      <c r="M1338" s="259"/>
      <c r="N1338" s="259"/>
      <c r="O1338" s="235"/>
      <c r="P1338" s="235"/>
      <c r="Q1338" s="235"/>
    </row>
    <row r="1339" spans="2:17">
      <c r="B1339" s="241"/>
      <c r="C1339" s="241"/>
      <c r="D1339" s="241"/>
      <c r="E1339" s="241"/>
      <c r="F1339" s="259"/>
      <c r="G1339" s="259"/>
      <c r="H1339" s="259"/>
      <c r="I1339" s="259"/>
      <c r="J1339" s="259"/>
      <c r="K1339" s="259"/>
      <c r="L1339" s="259"/>
      <c r="M1339" s="259"/>
      <c r="N1339" s="259"/>
      <c r="O1339" s="235"/>
      <c r="P1339" s="235"/>
      <c r="Q1339" s="235"/>
    </row>
    <row r="1340" spans="2:17">
      <c r="B1340" s="241"/>
      <c r="C1340" s="241"/>
      <c r="D1340" s="241"/>
      <c r="E1340" s="241"/>
      <c r="F1340" s="259"/>
      <c r="G1340" s="259"/>
      <c r="H1340" s="259"/>
      <c r="I1340" s="259"/>
      <c r="J1340" s="259"/>
      <c r="K1340" s="259"/>
      <c r="L1340" s="259"/>
      <c r="M1340" s="259"/>
      <c r="N1340" s="259"/>
      <c r="O1340" s="235"/>
      <c r="P1340" s="235"/>
      <c r="Q1340" s="235"/>
    </row>
    <row r="1341" spans="2:17">
      <c r="B1341" s="241"/>
      <c r="C1341" s="241"/>
      <c r="D1341" s="241"/>
      <c r="E1341" s="241"/>
      <c r="F1341" s="259"/>
      <c r="G1341" s="259"/>
      <c r="H1341" s="259"/>
      <c r="I1341" s="259"/>
      <c r="J1341" s="259"/>
      <c r="K1341" s="259"/>
      <c r="L1341" s="259"/>
      <c r="M1341" s="259"/>
      <c r="N1341" s="259"/>
      <c r="O1341" s="235"/>
      <c r="P1341" s="235"/>
      <c r="Q1341" s="235"/>
    </row>
    <row r="1342" spans="2:17">
      <c r="B1342" s="241"/>
      <c r="C1342" s="241"/>
      <c r="D1342" s="241"/>
      <c r="E1342" s="241"/>
      <c r="F1342" s="259"/>
      <c r="G1342" s="259"/>
      <c r="H1342" s="259"/>
      <c r="I1342" s="259"/>
      <c r="J1342" s="259"/>
      <c r="K1342" s="259"/>
      <c r="L1342" s="259"/>
      <c r="M1342" s="259"/>
      <c r="N1342" s="259"/>
      <c r="O1342" s="235"/>
      <c r="P1342" s="235"/>
      <c r="Q1342" s="235"/>
    </row>
    <row r="1343" spans="2:17">
      <c r="B1343" s="241"/>
      <c r="C1343" s="241"/>
      <c r="D1343" s="241"/>
      <c r="E1343" s="241"/>
      <c r="F1343" s="259"/>
      <c r="G1343" s="259"/>
      <c r="H1343" s="259"/>
      <c r="I1343" s="259"/>
      <c r="J1343" s="259"/>
      <c r="K1343" s="259"/>
      <c r="L1343" s="259"/>
      <c r="M1343" s="259"/>
      <c r="N1343" s="259"/>
      <c r="O1343" s="235"/>
      <c r="P1343" s="235"/>
      <c r="Q1343" s="235"/>
    </row>
    <row r="1344" spans="2:17">
      <c r="B1344" s="241"/>
      <c r="C1344" s="241"/>
      <c r="D1344" s="241"/>
      <c r="E1344" s="241"/>
      <c r="F1344" s="259"/>
      <c r="G1344" s="259"/>
      <c r="H1344" s="259"/>
      <c r="I1344" s="259"/>
      <c r="J1344" s="259"/>
      <c r="K1344" s="259"/>
      <c r="L1344" s="259"/>
      <c r="M1344" s="259"/>
      <c r="N1344" s="259"/>
      <c r="O1344" s="235"/>
      <c r="P1344" s="235"/>
      <c r="Q1344" s="235"/>
    </row>
    <row r="1345" spans="2:17">
      <c r="B1345" s="241"/>
      <c r="C1345" s="241"/>
      <c r="D1345" s="241"/>
      <c r="E1345" s="241"/>
      <c r="F1345" s="259"/>
      <c r="G1345" s="259"/>
      <c r="H1345" s="259"/>
      <c r="I1345" s="259"/>
      <c r="J1345" s="259"/>
      <c r="K1345" s="259"/>
      <c r="L1345" s="259"/>
      <c r="M1345" s="259"/>
      <c r="N1345" s="259"/>
      <c r="O1345" s="235"/>
      <c r="P1345" s="235"/>
      <c r="Q1345" s="235"/>
    </row>
    <row r="1346" spans="2:17">
      <c r="B1346" s="241"/>
      <c r="C1346" s="241"/>
      <c r="D1346" s="241"/>
      <c r="E1346" s="241"/>
      <c r="F1346" s="259"/>
      <c r="G1346" s="259"/>
      <c r="H1346" s="259"/>
      <c r="I1346" s="259"/>
      <c r="J1346" s="259"/>
      <c r="K1346" s="259"/>
      <c r="L1346" s="259"/>
      <c r="M1346" s="259"/>
      <c r="N1346" s="259"/>
      <c r="O1346" s="235"/>
      <c r="P1346" s="235"/>
      <c r="Q1346" s="235"/>
    </row>
    <row r="1347" spans="2:17">
      <c r="B1347" s="241"/>
      <c r="C1347" s="241"/>
      <c r="D1347" s="241"/>
      <c r="E1347" s="241"/>
      <c r="F1347" s="259"/>
      <c r="G1347" s="259"/>
      <c r="H1347" s="259"/>
      <c r="I1347" s="259"/>
      <c r="J1347" s="259"/>
      <c r="K1347" s="259"/>
      <c r="L1347" s="259"/>
      <c r="M1347" s="259"/>
      <c r="N1347" s="259"/>
      <c r="O1347" s="235"/>
      <c r="P1347" s="235"/>
      <c r="Q1347" s="235"/>
    </row>
    <row r="1348" spans="2:17">
      <c r="B1348" s="241"/>
      <c r="C1348" s="241"/>
      <c r="D1348" s="241"/>
      <c r="E1348" s="241"/>
      <c r="F1348" s="259"/>
      <c r="G1348" s="259"/>
      <c r="H1348" s="259"/>
      <c r="I1348" s="259"/>
      <c r="J1348" s="259"/>
      <c r="K1348" s="259"/>
      <c r="L1348" s="259"/>
      <c r="M1348" s="259"/>
      <c r="N1348" s="259"/>
      <c r="O1348" s="235"/>
      <c r="P1348" s="235"/>
      <c r="Q1348" s="235"/>
    </row>
    <row r="1349" spans="2:17">
      <c r="B1349" s="241"/>
      <c r="C1349" s="241"/>
      <c r="D1349" s="241"/>
      <c r="E1349" s="241"/>
      <c r="F1349" s="259"/>
      <c r="G1349" s="259"/>
      <c r="H1349" s="259"/>
      <c r="I1349" s="259"/>
      <c r="J1349" s="259"/>
      <c r="K1349" s="259"/>
      <c r="L1349" s="259"/>
      <c r="M1349" s="259"/>
      <c r="N1349" s="259"/>
      <c r="O1349" s="235"/>
      <c r="P1349" s="235"/>
      <c r="Q1349" s="235"/>
    </row>
    <row r="1350" spans="2:17">
      <c r="B1350" s="241"/>
      <c r="C1350" s="241"/>
      <c r="D1350" s="241"/>
      <c r="E1350" s="241"/>
      <c r="F1350" s="259"/>
      <c r="G1350" s="259"/>
      <c r="H1350" s="259"/>
      <c r="I1350" s="259"/>
      <c r="J1350" s="259"/>
      <c r="K1350" s="259"/>
      <c r="L1350" s="259"/>
      <c r="M1350" s="259"/>
      <c r="N1350" s="259"/>
      <c r="O1350" s="235"/>
      <c r="P1350" s="235"/>
      <c r="Q1350" s="235"/>
    </row>
    <row r="1351" spans="2:17">
      <c r="B1351" s="241"/>
      <c r="C1351" s="241"/>
      <c r="D1351" s="241"/>
      <c r="E1351" s="241"/>
      <c r="F1351" s="259"/>
      <c r="G1351" s="259"/>
      <c r="H1351" s="259"/>
      <c r="I1351" s="259"/>
      <c r="J1351" s="259"/>
      <c r="K1351" s="259"/>
      <c r="L1351" s="259"/>
      <c r="M1351" s="259"/>
      <c r="N1351" s="259"/>
      <c r="O1351" s="235"/>
      <c r="P1351" s="235"/>
      <c r="Q1351" s="235"/>
    </row>
    <row r="1352" spans="2:17">
      <c r="B1352" s="241"/>
      <c r="C1352" s="241"/>
      <c r="D1352" s="241"/>
      <c r="E1352" s="241"/>
      <c r="F1352" s="259"/>
      <c r="G1352" s="259"/>
      <c r="H1352" s="259"/>
      <c r="I1352" s="259"/>
      <c r="J1352" s="259"/>
      <c r="K1352" s="259"/>
      <c r="L1352" s="259"/>
      <c r="M1352" s="259"/>
      <c r="N1352" s="259"/>
      <c r="O1352" s="235"/>
      <c r="P1352" s="235"/>
      <c r="Q1352" s="235"/>
    </row>
    <row r="1353" spans="2:17">
      <c r="B1353" s="241"/>
      <c r="C1353" s="241"/>
      <c r="D1353" s="241"/>
      <c r="E1353" s="241"/>
      <c r="F1353" s="259"/>
      <c r="G1353" s="259"/>
      <c r="H1353" s="259"/>
      <c r="I1353" s="259"/>
      <c r="J1353" s="259"/>
      <c r="K1353" s="259"/>
      <c r="L1353" s="259"/>
      <c r="M1353" s="259"/>
      <c r="N1353" s="259"/>
      <c r="O1353" s="235"/>
      <c r="P1353" s="235"/>
      <c r="Q1353" s="235"/>
    </row>
    <row r="1354" spans="2:17">
      <c r="B1354" s="241"/>
      <c r="C1354" s="241"/>
      <c r="D1354" s="241"/>
      <c r="E1354" s="241"/>
      <c r="F1354" s="259"/>
      <c r="G1354" s="259"/>
      <c r="H1354" s="259"/>
      <c r="I1354" s="259"/>
      <c r="J1354" s="259"/>
      <c r="K1354" s="259"/>
      <c r="L1354" s="259"/>
      <c r="M1354" s="259"/>
      <c r="N1354" s="259"/>
      <c r="O1354" s="235"/>
      <c r="P1354" s="235"/>
      <c r="Q1354" s="235"/>
    </row>
    <row r="1355" spans="2:17">
      <c r="B1355" s="241"/>
      <c r="C1355" s="241"/>
      <c r="D1355" s="241"/>
      <c r="E1355" s="241"/>
      <c r="F1355" s="259"/>
      <c r="G1355" s="259"/>
      <c r="H1355" s="259"/>
      <c r="I1355" s="259"/>
      <c r="J1355" s="259"/>
      <c r="K1355" s="259"/>
      <c r="L1355" s="259"/>
      <c r="M1355" s="259"/>
      <c r="N1355" s="259"/>
      <c r="O1355" s="235"/>
      <c r="P1355" s="235"/>
      <c r="Q1355" s="235"/>
    </row>
    <row r="1356" spans="2:17">
      <c r="B1356" s="241"/>
      <c r="C1356" s="241"/>
      <c r="D1356" s="241"/>
      <c r="E1356" s="241"/>
      <c r="F1356" s="259"/>
      <c r="G1356" s="259"/>
      <c r="H1356" s="259"/>
      <c r="I1356" s="259"/>
      <c r="J1356" s="259"/>
      <c r="K1356" s="259"/>
      <c r="L1356" s="259"/>
      <c r="M1356" s="259"/>
      <c r="N1356" s="259"/>
      <c r="O1356" s="235"/>
      <c r="P1356" s="235"/>
      <c r="Q1356" s="235"/>
    </row>
    <row r="1357" spans="2:17">
      <c r="B1357" s="241"/>
      <c r="C1357" s="241"/>
      <c r="D1357" s="241"/>
      <c r="E1357" s="241"/>
      <c r="F1357" s="259"/>
      <c r="G1357" s="259"/>
      <c r="H1357" s="259"/>
      <c r="I1357" s="259"/>
      <c r="J1357" s="259"/>
      <c r="K1357" s="259"/>
      <c r="L1357" s="259"/>
      <c r="M1357" s="259"/>
      <c r="N1357" s="259"/>
      <c r="O1357" s="235"/>
      <c r="P1357" s="235"/>
      <c r="Q1357" s="235"/>
    </row>
    <row r="1358" spans="2:17">
      <c r="B1358" s="241"/>
      <c r="C1358" s="241"/>
      <c r="D1358" s="241"/>
      <c r="E1358" s="241"/>
      <c r="F1358" s="259"/>
      <c r="G1358" s="259"/>
      <c r="H1358" s="259"/>
      <c r="I1358" s="259"/>
      <c r="J1358" s="259"/>
      <c r="K1358" s="259"/>
      <c r="L1358" s="259"/>
      <c r="M1358" s="259"/>
      <c r="N1358" s="259"/>
      <c r="O1358" s="235"/>
      <c r="P1358" s="235"/>
      <c r="Q1358" s="235"/>
    </row>
    <row r="1359" spans="2:17">
      <c r="B1359" s="241"/>
      <c r="C1359" s="241"/>
      <c r="D1359" s="241"/>
      <c r="E1359" s="241"/>
      <c r="F1359" s="259"/>
      <c r="G1359" s="259"/>
      <c r="H1359" s="259"/>
      <c r="I1359" s="259"/>
      <c r="J1359" s="259"/>
      <c r="K1359" s="259"/>
      <c r="L1359" s="259"/>
      <c r="M1359" s="259"/>
      <c r="N1359" s="259"/>
      <c r="O1359" s="235"/>
      <c r="P1359" s="235"/>
      <c r="Q1359" s="235"/>
    </row>
    <row r="1360" spans="2:17">
      <c r="B1360" s="241"/>
      <c r="C1360" s="241"/>
      <c r="D1360" s="241"/>
      <c r="E1360" s="241"/>
      <c r="F1360" s="259"/>
      <c r="G1360" s="259"/>
      <c r="H1360" s="259"/>
      <c r="I1360" s="259"/>
      <c r="J1360" s="259"/>
      <c r="K1360" s="259"/>
      <c r="L1360" s="259"/>
      <c r="M1360" s="259"/>
      <c r="N1360" s="259"/>
      <c r="O1360" s="235"/>
      <c r="P1360" s="235"/>
      <c r="Q1360" s="235"/>
    </row>
    <row r="1361" spans="2:17">
      <c r="B1361" s="241"/>
      <c r="C1361" s="241"/>
      <c r="D1361" s="241"/>
      <c r="E1361" s="241"/>
      <c r="F1361" s="259"/>
      <c r="G1361" s="259"/>
      <c r="H1361" s="259"/>
      <c r="I1361" s="259"/>
      <c r="J1361" s="259"/>
      <c r="K1361" s="259"/>
      <c r="L1361" s="259"/>
      <c r="M1361" s="259"/>
      <c r="N1361" s="259"/>
      <c r="O1361" s="235"/>
      <c r="P1361" s="235"/>
      <c r="Q1361" s="235"/>
    </row>
    <row r="1362" spans="2:17">
      <c r="B1362" s="241"/>
      <c r="C1362" s="241"/>
      <c r="D1362" s="241"/>
      <c r="E1362" s="241"/>
      <c r="F1362" s="259"/>
      <c r="G1362" s="259"/>
      <c r="H1362" s="259"/>
      <c r="I1362" s="259"/>
      <c r="J1362" s="259"/>
      <c r="K1362" s="259"/>
      <c r="L1362" s="259"/>
      <c r="M1362" s="259"/>
      <c r="N1362" s="259"/>
      <c r="O1362" s="235"/>
      <c r="P1362" s="235"/>
      <c r="Q1362" s="235"/>
    </row>
    <row r="1363" spans="2:17">
      <c r="B1363" s="241"/>
      <c r="C1363" s="241"/>
      <c r="D1363" s="241"/>
      <c r="E1363" s="241"/>
      <c r="F1363" s="259"/>
      <c r="G1363" s="259"/>
      <c r="H1363" s="259"/>
      <c r="I1363" s="259"/>
      <c r="J1363" s="259"/>
      <c r="K1363" s="259"/>
      <c r="L1363" s="259"/>
      <c r="M1363" s="259"/>
      <c r="N1363" s="259"/>
      <c r="O1363" s="235"/>
      <c r="P1363" s="235"/>
      <c r="Q1363" s="235"/>
    </row>
    <row r="1364" spans="2:17">
      <c r="B1364" s="241"/>
      <c r="C1364" s="241"/>
      <c r="D1364" s="241"/>
      <c r="E1364" s="241"/>
      <c r="F1364" s="259"/>
      <c r="G1364" s="259"/>
      <c r="H1364" s="259"/>
      <c r="I1364" s="259"/>
      <c r="J1364" s="259"/>
      <c r="K1364" s="259"/>
      <c r="L1364" s="259"/>
      <c r="M1364" s="259"/>
      <c r="N1364" s="259"/>
      <c r="O1364" s="235"/>
      <c r="P1364" s="235"/>
      <c r="Q1364" s="235"/>
    </row>
    <row r="1365" spans="2:17">
      <c r="B1365" s="241"/>
      <c r="C1365" s="241"/>
      <c r="D1365" s="241"/>
      <c r="E1365" s="241"/>
      <c r="F1365" s="259"/>
      <c r="G1365" s="259"/>
      <c r="H1365" s="259"/>
      <c r="I1365" s="259"/>
      <c r="J1365" s="259"/>
      <c r="K1365" s="259"/>
      <c r="L1365" s="259"/>
      <c r="M1365" s="259"/>
      <c r="N1365" s="259"/>
      <c r="O1365" s="235"/>
      <c r="P1365" s="235"/>
      <c r="Q1365" s="235"/>
    </row>
    <row r="1366" spans="2:17">
      <c r="B1366" s="241"/>
      <c r="C1366" s="241"/>
      <c r="D1366" s="241"/>
      <c r="E1366" s="241"/>
      <c r="F1366" s="259"/>
      <c r="G1366" s="259"/>
      <c r="H1366" s="259"/>
      <c r="I1366" s="259"/>
      <c r="J1366" s="259"/>
      <c r="K1366" s="259"/>
      <c r="L1366" s="259"/>
      <c r="M1366" s="259"/>
      <c r="N1366" s="259"/>
      <c r="O1366" s="235"/>
      <c r="P1366" s="235"/>
      <c r="Q1366" s="235"/>
    </row>
    <row r="1367" spans="2:17">
      <c r="B1367" s="241"/>
      <c r="C1367" s="241"/>
      <c r="D1367" s="241"/>
      <c r="E1367" s="241"/>
      <c r="F1367" s="259"/>
      <c r="G1367" s="259"/>
      <c r="H1367" s="259"/>
      <c r="I1367" s="259"/>
      <c r="J1367" s="259"/>
      <c r="K1367" s="259"/>
      <c r="L1367" s="259"/>
      <c r="M1367" s="259"/>
      <c r="N1367" s="259"/>
      <c r="O1367" s="235"/>
      <c r="P1367" s="235"/>
      <c r="Q1367" s="235"/>
    </row>
    <row r="1368" spans="2:17">
      <c r="B1368" s="241"/>
      <c r="C1368" s="241"/>
      <c r="D1368" s="241"/>
      <c r="E1368" s="241"/>
      <c r="F1368" s="259"/>
      <c r="G1368" s="259"/>
      <c r="H1368" s="259"/>
      <c r="I1368" s="259"/>
      <c r="J1368" s="259"/>
      <c r="K1368" s="259"/>
      <c r="L1368" s="259"/>
      <c r="M1368" s="259"/>
      <c r="N1368" s="259"/>
      <c r="O1368" s="235"/>
      <c r="P1368" s="235"/>
      <c r="Q1368" s="235"/>
    </row>
    <row r="1369" spans="2:17">
      <c r="B1369" s="241"/>
      <c r="C1369" s="241"/>
      <c r="D1369" s="241"/>
      <c r="E1369" s="241"/>
      <c r="F1369" s="259"/>
      <c r="G1369" s="259"/>
      <c r="H1369" s="259"/>
      <c r="I1369" s="259"/>
      <c r="J1369" s="259"/>
      <c r="K1369" s="259"/>
      <c r="L1369" s="259"/>
      <c r="M1369" s="259"/>
      <c r="N1369" s="259"/>
      <c r="O1369" s="235"/>
      <c r="P1369" s="235"/>
      <c r="Q1369" s="235"/>
    </row>
    <row r="1370" spans="2:17">
      <c r="B1370" s="241"/>
      <c r="C1370" s="241"/>
      <c r="D1370" s="241"/>
      <c r="E1370" s="241"/>
      <c r="F1370" s="259"/>
      <c r="G1370" s="259"/>
      <c r="H1370" s="259"/>
      <c r="I1370" s="259"/>
      <c r="J1370" s="259"/>
      <c r="K1370" s="259"/>
      <c r="L1370" s="259"/>
      <c r="M1370" s="259"/>
      <c r="N1370" s="259"/>
      <c r="O1370" s="235"/>
      <c r="P1370" s="235"/>
      <c r="Q1370" s="235"/>
    </row>
    <row r="1371" spans="2:17">
      <c r="B1371" s="241"/>
      <c r="C1371" s="241"/>
      <c r="D1371" s="241"/>
      <c r="E1371" s="241"/>
      <c r="F1371" s="259"/>
      <c r="G1371" s="259"/>
      <c r="H1371" s="259"/>
      <c r="I1371" s="259"/>
      <c r="J1371" s="259"/>
      <c r="K1371" s="259"/>
      <c r="L1371" s="259"/>
      <c r="M1371" s="259"/>
      <c r="N1371" s="259"/>
      <c r="O1371" s="235"/>
      <c r="P1371" s="235"/>
      <c r="Q1371" s="235"/>
    </row>
    <row r="1372" spans="2:17">
      <c r="B1372" s="241"/>
      <c r="C1372" s="241"/>
      <c r="D1372" s="241"/>
      <c r="E1372" s="241"/>
      <c r="F1372" s="259"/>
      <c r="G1372" s="259"/>
      <c r="H1372" s="259"/>
      <c r="I1372" s="259"/>
      <c r="J1372" s="259"/>
      <c r="K1372" s="259"/>
      <c r="L1372" s="259"/>
      <c r="M1372" s="259"/>
      <c r="N1372" s="259"/>
      <c r="O1372" s="235"/>
      <c r="P1372" s="235"/>
      <c r="Q1372" s="235"/>
    </row>
    <row r="1373" spans="2:17">
      <c r="B1373" s="241"/>
      <c r="C1373" s="241"/>
      <c r="D1373" s="241"/>
      <c r="E1373" s="241"/>
      <c r="F1373" s="259"/>
      <c r="G1373" s="259"/>
      <c r="H1373" s="259"/>
      <c r="I1373" s="259"/>
      <c r="J1373" s="259"/>
      <c r="K1373" s="259"/>
      <c r="L1373" s="259"/>
      <c r="M1373" s="259"/>
      <c r="N1373" s="259"/>
      <c r="O1373" s="235"/>
      <c r="P1373" s="235"/>
      <c r="Q1373" s="235"/>
    </row>
    <row r="1374" spans="2:17">
      <c r="B1374" s="241"/>
      <c r="C1374" s="241"/>
      <c r="D1374" s="241"/>
      <c r="E1374" s="241"/>
      <c r="F1374" s="259"/>
      <c r="G1374" s="259"/>
      <c r="H1374" s="259"/>
      <c r="I1374" s="259"/>
      <c r="J1374" s="259"/>
      <c r="K1374" s="259"/>
      <c r="L1374" s="259"/>
      <c r="M1374" s="259"/>
      <c r="N1374" s="259"/>
      <c r="O1374" s="235"/>
      <c r="P1374" s="235"/>
      <c r="Q1374" s="235"/>
    </row>
    <row r="1375" spans="2:17">
      <c r="B1375" s="241"/>
      <c r="C1375" s="241"/>
      <c r="D1375" s="241"/>
      <c r="E1375" s="241"/>
      <c r="F1375" s="259"/>
      <c r="G1375" s="259"/>
      <c r="H1375" s="259"/>
      <c r="I1375" s="259"/>
      <c r="J1375" s="259"/>
      <c r="K1375" s="259"/>
      <c r="L1375" s="259"/>
      <c r="M1375" s="259"/>
      <c r="N1375" s="259"/>
      <c r="O1375" s="235"/>
      <c r="P1375" s="235"/>
      <c r="Q1375" s="235"/>
    </row>
    <row r="1376" spans="2:17">
      <c r="B1376" s="241"/>
      <c r="C1376" s="241"/>
      <c r="D1376" s="241"/>
      <c r="E1376" s="241"/>
      <c r="F1376" s="259"/>
      <c r="G1376" s="259"/>
      <c r="H1376" s="259"/>
      <c r="I1376" s="259"/>
      <c r="J1376" s="259"/>
      <c r="K1376" s="259"/>
      <c r="L1376" s="259"/>
      <c r="M1376" s="259"/>
      <c r="N1376" s="259"/>
      <c r="O1376" s="235"/>
      <c r="P1376" s="235"/>
      <c r="Q1376" s="235"/>
    </row>
    <row r="1377" spans="2:17">
      <c r="B1377" s="241"/>
      <c r="C1377" s="241"/>
      <c r="D1377" s="241"/>
      <c r="E1377" s="241"/>
      <c r="F1377" s="259"/>
      <c r="G1377" s="259"/>
      <c r="H1377" s="259"/>
      <c r="I1377" s="259"/>
      <c r="J1377" s="259"/>
      <c r="K1377" s="259"/>
      <c r="L1377" s="259"/>
      <c r="M1377" s="259"/>
      <c r="N1377" s="259"/>
      <c r="O1377" s="235"/>
      <c r="P1377" s="235"/>
      <c r="Q1377" s="235"/>
    </row>
    <row r="1378" spans="2:17">
      <c r="B1378" s="241"/>
      <c r="C1378" s="241"/>
      <c r="D1378" s="241"/>
      <c r="E1378" s="241"/>
      <c r="F1378" s="259"/>
      <c r="G1378" s="259"/>
      <c r="H1378" s="259"/>
      <c r="I1378" s="259"/>
      <c r="J1378" s="259"/>
      <c r="K1378" s="259"/>
      <c r="L1378" s="259"/>
      <c r="M1378" s="259"/>
      <c r="N1378" s="259"/>
      <c r="O1378" s="235"/>
      <c r="P1378" s="235"/>
      <c r="Q1378" s="235"/>
    </row>
    <row r="1379" spans="2:17">
      <c r="B1379" s="241"/>
      <c r="C1379" s="241"/>
      <c r="D1379" s="241"/>
      <c r="E1379" s="241"/>
      <c r="F1379" s="259"/>
      <c r="G1379" s="259"/>
      <c r="H1379" s="259"/>
      <c r="I1379" s="259"/>
      <c r="J1379" s="259"/>
      <c r="K1379" s="259"/>
      <c r="L1379" s="259"/>
      <c r="M1379" s="259"/>
      <c r="N1379" s="259"/>
      <c r="O1379" s="235"/>
      <c r="P1379" s="235"/>
      <c r="Q1379" s="235"/>
    </row>
    <row r="1380" spans="2:17">
      <c r="B1380" s="241"/>
      <c r="C1380" s="241"/>
      <c r="D1380" s="241"/>
      <c r="E1380" s="241"/>
      <c r="F1380" s="259"/>
      <c r="G1380" s="259"/>
      <c r="H1380" s="259"/>
      <c r="I1380" s="259"/>
      <c r="J1380" s="259"/>
      <c r="K1380" s="259"/>
      <c r="L1380" s="259"/>
      <c r="M1380" s="259"/>
      <c r="N1380" s="259"/>
      <c r="O1380" s="235"/>
      <c r="P1380" s="235"/>
      <c r="Q1380" s="235"/>
    </row>
    <row r="1381" spans="2:17">
      <c r="B1381" s="241"/>
      <c r="C1381" s="241"/>
      <c r="D1381" s="241"/>
      <c r="E1381" s="241"/>
      <c r="F1381" s="259"/>
      <c r="G1381" s="259"/>
      <c r="H1381" s="259"/>
      <c r="I1381" s="259"/>
      <c r="J1381" s="259"/>
      <c r="K1381" s="259"/>
      <c r="L1381" s="259"/>
      <c r="M1381" s="259"/>
      <c r="N1381" s="259"/>
      <c r="O1381" s="235"/>
      <c r="P1381" s="235"/>
      <c r="Q1381" s="235"/>
    </row>
    <row r="1382" spans="2:17">
      <c r="B1382" s="241"/>
      <c r="C1382" s="241"/>
      <c r="D1382" s="241"/>
      <c r="E1382" s="241"/>
      <c r="F1382" s="259"/>
      <c r="G1382" s="259"/>
      <c r="H1382" s="259"/>
      <c r="I1382" s="259"/>
      <c r="J1382" s="259"/>
      <c r="K1382" s="259"/>
      <c r="L1382" s="259"/>
      <c r="M1382" s="259"/>
      <c r="N1382" s="259"/>
      <c r="O1382" s="235"/>
      <c r="P1382" s="235"/>
      <c r="Q1382" s="235"/>
    </row>
    <row r="1383" spans="2:17">
      <c r="B1383" s="241"/>
      <c r="C1383" s="241"/>
      <c r="D1383" s="241"/>
      <c r="E1383" s="241"/>
      <c r="F1383" s="259"/>
      <c r="G1383" s="259"/>
      <c r="H1383" s="259"/>
      <c r="I1383" s="259"/>
      <c r="J1383" s="259"/>
      <c r="K1383" s="259"/>
      <c r="L1383" s="259"/>
      <c r="M1383" s="259"/>
      <c r="N1383" s="259"/>
      <c r="O1383" s="235"/>
      <c r="P1383" s="235"/>
      <c r="Q1383" s="235"/>
    </row>
    <row r="1384" spans="2:17">
      <c r="B1384" s="241"/>
      <c r="C1384" s="241"/>
      <c r="D1384" s="241"/>
      <c r="E1384" s="241"/>
      <c r="F1384" s="259"/>
      <c r="G1384" s="259"/>
      <c r="H1384" s="259"/>
      <c r="I1384" s="259"/>
      <c r="J1384" s="259"/>
      <c r="K1384" s="259"/>
      <c r="L1384" s="259"/>
      <c r="M1384" s="259"/>
      <c r="N1384" s="259"/>
      <c r="O1384" s="235"/>
      <c r="P1384" s="235"/>
      <c r="Q1384" s="235"/>
    </row>
    <row r="1385" spans="2:17">
      <c r="B1385" s="241"/>
      <c r="C1385" s="241"/>
      <c r="D1385" s="241"/>
      <c r="E1385" s="241"/>
      <c r="F1385" s="259"/>
      <c r="G1385" s="259"/>
      <c r="H1385" s="259"/>
      <c r="I1385" s="259"/>
      <c r="J1385" s="259"/>
      <c r="K1385" s="259"/>
      <c r="L1385" s="259"/>
      <c r="M1385" s="259"/>
      <c r="N1385" s="259"/>
      <c r="O1385" s="235"/>
      <c r="P1385" s="235"/>
      <c r="Q1385" s="235"/>
    </row>
    <row r="1386" spans="2:17">
      <c r="B1386" s="241"/>
      <c r="C1386" s="241"/>
      <c r="D1386" s="241"/>
      <c r="E1386" s="241"/>
      <c r="F1386" s="259"/>
      <c r="G1386" s="259"/>
      <c r="H1386" s="259"/>
      <c r="I1386" s="259"/>
      <c r="J1386" s="259"/>
      <c r="K1386" s="259"/>
      <c r="L1386" s="259"/>
      <c r="M1386" s="259"/>
      <c r="N1386" s="259"/>
      <c r="O1386" s="235"/>
      <c r="P1386" s="235"/>
      <c r="Q1386" s="235"/>
    </row>
    <row r="1387" spans="2:17">
      <c r="B1387" s="241"/>
      <c r="C1387" s="241"/>
      <c r="D1387" s="241"/>
      <c r="E1387" s="241"/>
      <c r="F1387" s="259"/>
      <c r="G1387" s="259"/>
      <c r="H1387" s="259"/>
      <c r="I1387" s="259"/>
      <c r="J1387" s="259"/>
      <c r="K1387" s="259"/>
      <c r="L1387" s="259"/>
      <c r="M1387" s="259"/>
      <c r="N1387" s="259"/>
      <c r="O1387" s="235"/>
      <c r="P1387" s="235"/>
      <c r="Q1387" s="235"/>
    </row>
    <row r="1388" spans="2:17">
      <c r="B1388" s="241"/>
      <c r="C1388" s="241"/>
      <c r="D1388" s="241"/>
      <c r="E1388" s="241"/>
      <c r="F1388" s="259"/>
      <c r="G1388" s="259"/>
      <c r="H1388" s="259"/>
      <c r="I1388" s="259"/>
      <c r="J1388" s="259"/>
      <c r="K1388" s="259"/>
      <c r="L1388" s="259"/>
      <c r="M1388" s="259"/>
      <c r="N1388" s="259"/>
      <c r="O1388" s="235"/>
      <c r="P1388" s="235"/>
      <c r="Q1388" s="235"/>
    </row>
    <row r="1389" spans="2:17">
      <c r="B1389" s="241"/>
      <c r="C1389" s="241"/>
      <c r="D1389" s="241"/>
      <c r="E1389" s="241"/>
      <c r="F1389" s="259"/>
      <c r="G1389" s="259"/>
      <c r="H1389" s="259"/>
      <c r="I1389" s="259"/>
      <c r="J1389" s="259"/>
      <c r="K1389" s="259"/>
      <c r="L1389" s="259"/>
      <c r="M1389" s="259"/>
      <c r="N1389" s="259"/>
      <c r="O1389" s="235"/>
      <c r="P1389" s="235"/>
      <c r="Q1389" s="235"/>
    </row>
    <row r="1390" spans="2:17">
      <c r="B1390" s="241"/>
      <c r="C1390" s="241"/>
      <c r="D1390" s="241"/>
      <c r="E1390" s="241"/>
      <c r="F1390" s="259"/>
      <c r="G1390" s="259"/>
      <c r="H1390" s="259"/>
      <c r="I1390" s="259"/>
      <c r="J1390" s="259"/>
      <c r="K1390" s="259"/>
      <c r="L1390" s="259"/>
      <c r="M1390" s="259"/>
      <c r="N1390" s="259"/>
      <c r="O1390" s="235"/>
      <c r="P1390" s="235"/>
      <c r="Q1390" s="235"/>
    </row>
    <row r="1391" spans="2:17">
      <c r="B1391" s="241"/>
      <c r="C1391" s="241"/>
      <c r="D1391" s="241"/>
      <c r="E1391" s="241"/>
      <c r="F1391" s="259"/>
      <c r="G1391" s="259"/>
      <c r="H1391" s="259"/>
      <c r="I1391" s="259"/>
      <c r="J1391" s="259"/>
      <c r="K1391" s="259"/>
      <c r="L1391" s="259"/>
      <c r="M1391" s="259"/>
      <c r="N1391" s="259"/>
      <c r="O1391" s="235"/>
      <c r="P1391" s="235"/>
      <c r="Q1391" s="235"/>
    </row>
    <row r="1392" spans="2:17">
      <c r="B1392" s="241"/>
      <c r="C1392" s="241"/>
      <c r="D1392" s="241"/>
      <c r="E1392" s="241"/>
      <c r="F1392" s="259"/>
      <c r="G1392" s="259"/>
      <c r="H1392" s="259"/>
      <c r="I1392" s="259"/>
      <c r="J1392" s="259"/>
      <c r="K1392" s="259"/>
      <c r="L1392" s="259"/>
      <c r="M1392" s="259"/>
      <c r="N1392" s="259"/>
      <c r="O1392" s="235"/>
      <c r="P1392" s="235"/>
      <c r="Q1392" s="235"/>
    </row>
    <row r="1393" spans="2:17">
      <c r="B1393" s="241"/>
      <c r="C1393" s="241"/>
      <c r="D1393" s="241"/>
      <c r="E1393" s="241"/>
      <c r="F1393" s="259"/>
      <c r="G1393" s="259"/>
      <c r="H1393" s="259"/>
      <c r="I1393" s="259"/>
      <c r="J1393" s="259"/>
      <c r="K1393" s="259"/>
      <c r="L1393" s="259"/>
      <c r="M1393" s="259"/>
      <c r="N1393" s="259"/>
      <c r="O1393" s="235"/>
      <c r="P1393" s="235"/>
      <c r="Q1393" s="235"/>
    </row>
    <row r="1394" spans="2:17">
      <c r="B1394" s="241"/>
      <c r="C1394" s="241"/>
      <c r="D1394" s="241"/>
      <c r="E1394" s="241"/>
      <c r="F1394" s="259"/>
      <c r="G1394" s="259"/>
      <c r="H1394" s="259"/>
      <c r="I1394" s="259"/>
      <c r="J1394" s="259"/>
      <c r="K1394" s="259"/>
      <c r="L1394" s="259"/>
      <c r="M1394" s="259"/>
      <c r="N1394" s="259"/>
      <c r="O1394" s="235"/>
      <c r="P1394" s="235"/>
      <c r="Q1394" s="235"/>
    </row>
    <row r="1395" spans="2:17">
      <c r="B1395" s="241"/>
      <c r="C1395" s="241"/>
      <c r="D1395" s="241"/>
      <c r="E1395" s="241"/>
      <c r="F1395" s="259"/>
      <c r="G1395" s="259"/>
      <c r="H1395" s="259"/>
      <c r="I1395" s="259"/>
      <c r="J1395" s="259"/>
      <c r="K1395" s="259"/>
      <c r="L1395" s="259"/>
      <c r="M1395" s="259"/>
      <c r="N1395" s="259"/>
      <c r="O1395" s="235"/>
      <c r="P1395" s="235"/>
      <c r="Q1395" s="235"/>
    </row>
    <row r="1396" spans="2:17">
      <c r="B1396" s="241"/>
      <c r="C1396" s="241"/>
      <c r="D1396" s="241"/>
      <c r="E1396" s="241"/>
      <c r="F1396" s="259"/>
      <c r="G1396" s="259"/>
      <c r="H1396" s="259"/>
      <c r="I1396" s="259"/>
      <c r="J1396" s="259"/>
      <c r="K1396" s="259"/>
      <c r="L1396" s="259"/>
      <c r="M1396" s="259"/>
      <c r="N1396" s="259"/>
      <c r="O1396" s="235"/>
      <c r="P1396" s="235"/>
      <c r="Q1396" s="235"/>
    </row>
    <row r="1397" spans="2:17">
      <c r="B1397" s="241"/>
      <c r="C1397" s="241"/>
      <c r="D1397" s="241"/>
      <c r="E1397" s="241"/>
      <c r="F1397" s="259"/>
      <c r="G1397" s="259"/>
      <c r="H1397" s="259"/>
      <c r="I1397" s="259"/>
      <c r="J1397" s="259"/>
      <c r="K1397" s="259"/>
      <c r="L1397" s="259"/>
      <c r="M1397" s="259"/>
      <c r="N1397" s="259"/>
      <c r="O1397" s="235"/>
      <c r="P1397" s="235"/>
      <c r="Q1397" s="235"/>
    </row>
    <row r="1398" spans="2:17">
      <c r="B1398" s="241"/>
      <c r="C1398" s="241"/>
      <c r="D1398" s="241"/>
      <c r="E1398" s="241"/>
      <c r="F1398" s="259"/>
      <c r="G1398" s="259"/>
      <c r="H1398" s="259"/>
      <c r="I1398" s="259"/>
      <c r="J1398" s="259"/>
      <c r="K1398" s="259"/>
      <c r="L1398" s="259"/>
      <c r="M1398" s="259"/>
      <c r="N1398" s="259"/>
      <c r="O1398" s="235"/>
      <c r="P1398" s="235"/>
      <c r="Q1398" s="235"/>
    </row>
    <row r="1399" spans="2:17">
      <c r="B1399" s="241"/>
      <c r="C1399" s="241"/>
      <c r="D1399" s="241"/>
      <c r="E1399" s="241"/>
      <c r="F1399" s="259"/>
      <c r="G1399" s="259"/>
      <c r="H1399" s="259"/>
      <c r="I1399" s="259"/>
      <c r="J1399" s="259"/>
      <c r="K1399" s="259"/>
      <c r="L1399" s="259"/>
      <c r="M1399" s="259"/>
      <c r="N1399" s="259"/>
      <c r="O1399" s="235"/>
      <c r="P1399" s="235"/>
      <c r="Q1399" s="235"/>
    </row>
    <row r="1400" spans="2:17">
      <c r="B1400" s="241"/>
      <c r="C1400" s="241"/>
      <c r="D1400" s="241"/>
      <c r="E1400" s="241"/>
      <c r="F1400" s="259"/>
      <c r="G1400" s="259"/>
      <c r="H1400" s="259"/>
      <c r="I1400" s="259"/>
      <c r="J1400" s="259"/>
      <c r="K1400" s="259"/>
      <c r="L1400" s="259"/>
      <c r="M1400" s="259"/>
      <c r="N1400" s="259"/>
      <c r="O1400" s="235"/>
      <c r="P1400" s="235"/>
      <c r="Q1400" s="235"/>
    </row>
    <row r="1401" spans="2:17">
      <c r="B1401" s="241"/>
      <c r="C1401" s="241"/>
      <c r="D1401" s="241"/>
      <c r="E1401" s="241"/>
      <c r="F1401" s="259"/>
      <c r="G1401" s="259"/>
      <c r="H1401" s="259"/>
      <c r="I1401" s="259"/>
      <c r="J1401" s="259"/>
      <c r="K1401" s="259"/>
      <c r="L1401" s="259"/>
      <c r="M1401" s="259"/>
      <c r="N1401" s="259"/>
      <c r="O1401" s="235"/>
      <c r="P1401" s="235"/>
      <c r="Q1401" s="235"/>
    </row>
    <row r="1402" spans="2:17">
      <c r="B1402" s="241"/>
      <c r="C1402" s="241"/>
      <c r="D1402" s="241"/>
      <c r="E1402" s="241"/>
      <c r="F1402" s="259"/>
      <c r="G1402" s="259"/>
      <c r="H1402" s="259"/>
      <c r="I1402" s="259"/>
      <c r="J1402" s="259"/>
      <c r="K1402" s="259"/>
      <c r="L1402" s="259"/>
      <c r="M1402" s="259"/>
      <c r="N1402" s="259"/>
      <c r="O1402" s="235"/>
      <c r="P1402" s="235"/>
      <c r="Q1402" s="235"/>
    </row>
    <row r="1403" spans="2:17">
      <c r="B1403" s="241"/>
      <c r="C1403" s="241"/>
      <c r="D1403" s="241"/>
      <c r="E1403" s="241"/>
      <c r="F1403" s="259"/>
      <c r="G1403" s="259"/>
      <c r="H1403" s="259"/>
      <c r="I1403" s="259"/>
      <c r="J1403" s="259"/>
      <c r="K1403" s="259"/>
      <c r="L1403" s="259"/>
      <c r="M1403" s="259"/>
      <c r="N1403" s="259"/>
      <c r="O1403" s="235"/>
      <c r="P1403" s="235"/>
      <c r="Q1403" s="235"/>
    </row>
    <row r="1404" spans="2:17">
      <c r="B1404" s="241"/>
      <c r="C1404" s="241"/>
      <c r="D1404" s="241"/>
      <c r="E1404" s="241"/>
      <c r="F1404" s="259"/>
      <c r="G1404" s="259"/>
      <c r="H1404" s="259"/>
      <c r="I1404" s="259"/>
      <c r="J1404" s="259"/>
      <c r="K1404" s="259"/>
      <c r="L1404" s="259"/>
      <c r="M1404" s="259"/>
      <c r="N1404" s="259"/>
      <c r="O1404" s="235"/>
      <c r="P1404" s="235"/>
      <c r="Q1404" s="235"/>
    </row>
    <row r="1405" spans="2:17">
      <c r="B1405" s="241"/>
      <c r="C1405" s="241"/>
      <c r="D1405" s="241"/>
      <c r="E1405" s="241"/>
      <c r="F1405" s="259"/>
      <c r="G1405" s="259"/>
      <c r="H1405" s="259"/>
      <c r="I1405" s="259"/>
      <c r="J1405" s="259"/>
      <c r="K1405" s="259"/>
      <c r="L1405" s="259"/>
      <c r="M1405" s="259"/>
      <c r="N1405" s="259"/>
      <c r="O1405" s="235"/>
      <c r="P1405" s="235"/>
      <c r="Q1405" s="235"/>
    </row>
    <row r="1406" spans="2:17">
      <c r="B1406" s="241"/>
      <c r="C1406" s="241"/>
      <c r="D1406" s="241"/>
      <c r="E1406" s="241"/>
      <c r="F1406" s="259"/>
      <c r="G1406" s="259"/>
      <c r="H1406" s="259"/>
      <c r="I1406" s="259"/>
      <c r="J1406" s="259"/>
      <c r="K1406" s="259"/>
      <c r="L1406" s="259"/>
      <c r="M1406" s="259"/>
      <c r="N1406" s="259"/>
      <c r="O1406" s="235"/>
      <c r="P1406" s="235"/>
      <c r="Q1406" s="235"/>
    </row>
    <row r="1407" spans="2:17">
      <c r="B1407" s="241"/>
      <c r="C1407" s="241"/>
      <c r="D1407" s="241"/>
      <c r="E1407" s="241"/>
      <c r="F1407" s="259"/>
      <c r="G1407" s="259"/>
      <c r="H1407" s="259"/>
      <c r="I1407" s="259"/>
      <c r="J1407" s="259"/>
      <c r="K1407" s="259"/>
      <c r="L1407" s="259"/>
      <c r="M1407" s="259"/>
      <c r="N1407" s="259"/>
      <c r="O1407" s="235"/>
      <c r="P1407" s="235"/>
      <c r="Q1407" s="235"/>
    </row>
    <row r="1408" spans="2:17">
      <c r="B1408" s="241"/>
      <c r="C1408" s="241"/>
      <c r="D1408" s="241"/>
      <c r="E1408" s="241"/>
      <c r="F1408" s="259"/>
      <c r="G1408" s="259"/>
      <c r="H1408" s="259"/>
      <c r="I1408" s="259"/>
      <c r="J1408" s="259"/>
      <c r="K1408" s="259"/>
      <c r="L1408" s="259"/>
      <c r="M1408" s="259"/>
      <c r="N1408" s="259"/>
      <c r="O1408" s="235"/>
      <c r="P1408" s="235"/>
      <c r="Q1408" s="235"/>
    </row>
    <row r="1409" spans="2:17">
      <c r="B1409" s="241"/>
      <c r="C1409" s="241"/>
      <c r="D1409" s="241"/>
      <c r="E1409" s="241"/>
      <c r="F1409" s="259"/>
      <c r="G1409" s="259"/>
      <c r="H1409" s="259"/>
      <c r="I1409" s="259"/>
      <c r="J1409" s="259"/>
      <c r="K1409" s="259"/>
      <c r="L1409" s="259"/>
      <c r="M1409" s="259"/>
      <c r="N1409" s="259"/>
      <c r="O1409" s="235"/>
      <c r="P1409" s="235"/>
      <c r="Q1409" s="235"/>
    </row>
    <row r="1410" spans="2:17">
      <c r="B1410" s="241"/>
      <c r="C1410" s="241"/>
      <c r="D1410" s="241"/>
      <c r="E1410" s="241"/>
      <c r="F1410" s="259"/>
      <c r="G1410" s="259"/>
      <c r="H1410" s="259"/>
      <c r="I1410" s="259"/>
      <c r="J1410" s="259"/>
      <c r="K1410" s="259"/>
      <c r="L1410" s="259"/>
      <c r="M1410" s="259"/>
      <c r="N1410" s="259"/>
      <c r="O1410" s="235"/>
      <c r="P1410" s="235"/>
      <c r="Q1410" s="235"/>
    </row>
    <row r="1411" spans="2:17">
      <c r="B1411" s="241"/>
      <c r="C1411" s="241"/>
      <c r="D1411" s="241"/>
      <c r="E1411" s="241"/>
      <c r="F1411" s="259"/>
      <c r="G1411" s="259"/>
      <c r="H1411" s="259"/>
      <c r="I1411" s="259"/>
      <c r="J1411" s="259"/>
      <c r="K1411" s="259"/>
      <c r="L1411" s="259"/>
      <c r="M1411" s="259"/>
      <c r="N1411" s="259"/>
      <c r="O1411" s="235"/>
      <c r="P1411" s="235"/>
      <c r="Q1411" s="235"/>
    </row>
    <row r="1412" spans="2:17">
      <c r="B1412" s="241"/>
      <c r="C1412" s="241"/>
      <c r="D1412" s="241"/>
      <c r="E1412" s="241"/>
      <c r="F1412" s="259"/>
      <c r="G1412" s="259"/>
      <c r="H1412" s="259"/>
      <c r="I1412" s="259"/>
      <c r="J1412" s="259"/>
      <c r="K1412" s="259"/>
      <c r="L1412" s="259"/>
      <c r="M1412" s="259"/>
      <c r="N1412" s="259"/>
      <c r="O1412" s="235"/>
      <c r="P1412" s="235"/>
      <c r="Q1412" s="235"/>
    </row>
    <row r="1413" spans="2:17">
      <c r="B1413" s="241"/>
      <c r="C1413" s="241"/>
      <c r="D1413" s="241"/>
      <c r="E1413" s="241"/>
      <c r="F1413" s="259"/>
      <c r="G1413" s="259"/>
      <c r="H1413" s="259"/>
      <c r="I1413" s="259"/>
      <c r="J1413" s="259"/>
      <c r="K1413" s="259"/>
      <c r="L1413" s="259"/>
      <c r="M1413" s="259"/>
      <c r="N1413" s="259"/>
      <c r="O1413" s="235"/>
      <c r="P1413" s="235"/>
      <c r="Q1413" s="235"/>
    </row>
    <row r="1414" spans="2:17">
      <c r="B1414" s="241"/>
      <c r="C1414" s="241"/>
      <c r="D1414" s="241"/>
      <c r="E1414" s="241"/>
      <c r="F1414" s="259"/>
      <c r="G1414" s="259"/>
      <c r="H1414" s="259"/>
      <c r="I1414" s="259"/>
      <c r="J1414" s="259"/>
      <c r="K1414" s="259"/>
      <c r="L1414" s="259"/>
      <c r="M1414" s="259"/>
      <c r="N1414" s="259"/>
      <c r="O1414" s="235"/>
      <c r="P1414" s="235"/>
      <c r="Q1414" s="235"/>
    </row>
    <row r="1415" spans="2:17">
      <c r="B1415" s="241"/>
      <c r="C1415" s="241"/>
      <c r="D1415" s="241"/>
      <c r="E1415" s="241"/>
      <c r="F1415" s="259"/>
      <c r="G1415" s="259"/>
      <c r="H1415" s="259"/>
      <c r="I1415" s="259"/>
      <c r="J1415" s="259"/>
      <c r="K1415" s="259"/>
      <c r="L1415" s="259"/>
      <c r="M1415" s="259"/>
      <c r="N1415" s="259"/>
      <c r="O1415" s="235"/>
      <c r="P1415" s="235"/>
      <c r="Q1415" s="235"/>
    </row>
    <row r="1416" spans="2:17">
      <c r="B1416" s="241"/>
      <c r="C1416" s="241"/>
      <c r="D1416" s="241"/>
      <c r="E1416" s="241"/>
      <c r="F1416" s="259"/>
      <c r="G1416" s="259"/>
      <c r="H1416" s="259"/>
      <c r="I1416" s="259"/>
      <c r="J1416" s="259"/>
      <c r="K1416" s="259"/>
      <c r="L1416" s="259"/>
      <c r="M1416" s="259"/>
      <c r="N1416" s="259"/>
      <c r="O1416" s="235"/>
      <c r="P1416" s="235"/>
      <c r="Q1416" s="235"/>
    </row>
    <row r="1417" spans="2:17">
      <c r="B1417" s="241"/>
      <c r="C1417" s="241"/>
      <c r="D1417" s="241"/>
      <c r="E1417" s="241"/>
      <c r="F1417" s="259"/>
      <c r="G1417" s="259"/>
      <c r="H1417" s="259"/>
      <c r="I1417" s="259"/>
      <c r="J1417" s="259"/>
      <c r="K1417" s="259"/>
      <c r="L1417" s="259"/>
      <c r="M1417" s="259"/>
      <c r="N1417" s="259"/>
      <c r="O1417" s="235"/>
      <c r="P1417" s="235"/>
      <c r="Q1417" s="235"/>
    </row>
    <row r="1418" spans="2:17">
      <c r="B1418" s="241"/>
      <c r="C1418" s="241"/>
      <c r="D1418" s="241"/>
      <c r="E1418" s="241"/>
      <c r="F1418" s="259"/>
      <c r="G1418" s="259"/>
      <c r="H1418" s="259"/>
      <c r="I1418" s="259"/>
      <c r="J1418" s="259"/>
      <c r="K1418" s="259"/>
      <c r="L1418" s="259"/>
      <c r="M1418" s="259"/>
      <c r="N1418" s="259"/>
      <c r="O1418" s="235"/>
      <c r="P1418" s="235"/>
      <c r="Q1418" s="235"/>
    </row>
    <row r="1419" spans="2:17">
      <c r="B1419" s="241"/>
      <c r="C1419" s="241"/>
      <c r="D1419" s="241"/>
      <c r="E1419" s="241"/>
      <c r="F1419" s="259"/>
      <c r="G1419" s="259"/>
      <c r="H1419" s="259"/>
      <c r="I1419" s="259"/>
      <c r="J1419" s="259"/>
      <c r="K1419" s="259"/>
      <c r="L1419" s="259"/>
      <c r="M1419" s="259"/>
      <c r="N1419" s="259"/>
      <c r="O1419" s="235"/>
      <c r="P1419" s="235"/>
      <c r="Q1419" s="235"/>
    </row>
    <row r="1420" spans="2:17">
      <c r="B1420" s="241"/>
      <c r="C1420" s="241"/>
      <c r="D1420" s="241"/>
      <c r="E1420" s="241"/>
      <c r="F1420" s="259"/>
      <c r="G1420" s="259"/>
      <c r="H1420" s="259"/>
      <c r="I1420" s="259"/>
      <c r="J1420" s="259"/>
      <c r="K1420" s="259"/>
      <c r="L1420" s="259"/>
      <c r="M1420" s="259"/>
      <c r="N1420" s="259"/>
      <c r="O1420" s="235"/>
      <c r="P1420" s="235"/>
      <c r="Q1420" s="235"/>
    </row>
    <row r="1421" spans="2:17">
      <c r="B1421" s="241"/>
      <c r="C1421" s="241"/>
      <c r="D1421" s="241"/>
      <c r="E1421" s="241"/>
      <c r="F1421" s="259"/>
      <c r="G1421" s="259"/>
      <c r="H1421" s="259"/>
      <c r="I1421" s="259"/>
      <c r="J1421" s="259"/>
      <c r="K1421" s="259"/>
      <c r="L1421" s="259"/>
      <c r="M1421" s="259"/>
      <c r="N1421" s="259"/>
      <c r="O1421" s="235"/>
      <c r="P1421" s="235"/>
      <c r="Q1421" s="235"/>
    </row>
    <row r="1422" spans="2:17">
      <c r="B1422" s="241"/>
      <c r="C1422" s="241"/>
      <c r="D1422" s="241"/>
      <c r="E1422" s="241"/>
      <c r="F1422" s="259"/>
      <c r="G1422" s="259"/>
      <c r="H1422" s="259"/>
      <c r="I1422" s="259"/>
      <c r="J1422" s="259"/>
      <c r="K1422" s="259"/>
      <c r="L1422" s="259"/>
      <c r="M1422" s="259"/>
      <c r="N1422" s="259"/>
      <c r="O1422" s="235"/>
      <c r="P1422" s="235"/>
      <c r="Q1422" s="235"/>
    </row>
    <row r="1423" spans="2:17">
      <c r="B1423" s="241"/>
      <c r="C1423" s="241"/>
      <c r="D1423" s="241"/>
      <c r="E1423" s="241"/>
      <c r="F1423" s="259"/>
      <c r="G1423" s="259"/>
      <c r="H1423" s="259"/>
      <c r="I1423" s="259"/>
      <c r="J1423" s="259"/>
      <c r="K1423" s="259"/>
      <c r="L1423" s="259"/>
      <c r="M1423" s="259"/>
      <c r="N1423" s="259"/>
      <c r="O1423" s="235"/>
      <c r="P1423" s="235"/>
      <c r="Q1423" s="235"/>
    </row>
    <row r="1424" spans="2:17">
      <c r="B1424" s="241"/>
      <c r="C1424" s="241"/>
      <c r="D1424" s="241"/>
      <c r="E1424" s="241"/>
      <c r="F1424" s="259"/>
      <c r="G1424" s="259"/>
      <c r="H1424" s="259"/>
      <c r="I1424" s="259"/>
      <c r="J1424" s="259"/>
      <c r="K1424" s="259"/>
      <c r="L1424" s="259"/>
      <c r="M1424" s="259"/>
      <c r="N1424" s="259"/>
      <c r="O1424" s="235"/>
      <c r="P1424" s="235"/>
      <c r="Q1424" s="235"/>
    </row>
    <row r="1425" spans="2:17">
      <c r="B1425" s="241"/>
      <c r="C1425" s="241"/>
      <c r="D1425" s="241"/>
      <c r="E1425" s="241"/>
      <c r="F1425" s="259"/>
      <c r="G1425" s="259"/>
      <c r="H1425" s="259"/>
      <c r="I1425" s="259"/>
      <c r="J1425" s="259"/>
      <c r="K1425" s="259"/>
      <c r="L1425" s="259"/>
      <c r="M1425" s="259"/>
      <c r="N1425" s="259"/>
      <c r="O1425" s="235"/>
      <c r="P1425" s="235"/>
      <c r="Q1425" s="235"/>
    </row>
    <row r="1426" spans="2:17">
      <c r="B1426" s="241"/>
      <c r="C1426" s="241"/>
      <c r="D1426" s="241"/>
      <c r="E1426" s="241"/>
      <c r="F1426" s="259"/>
      <c r="G1426" s="259"/>
      <c r="H1426" s="259"/>
      <c r="I1426" s="259"/>
      <c r="J1426" s="259"/>
      <c r="K1426" s="259"/>
      <c r="L1426" s="259"/>
      <c r="M1426" s="259"/>
      <c r="N1426" s="259"/>
      <c r="O1426" s="235"/>
      <c r="P1426" s="235"/>
      <c r="Q1426" s="235"/>
    </row>
    <row r="1427" spans="2:17">
      <c r="B1427" s="241"/>
      <c r="C1427" s="241"/>
      <c r="D1427" s="241"/>
      <c r="E1427" s="241"/>
      <c r="F1427" s="259"/>
      <c r="G1427" s="259"/>
      <c r="H1427" s="259"/>
      <c r="I1427" s="259"/>
      <c r="J1427" s="259"/>
      <c r="K1427" s="259"/>
      <c r="L1427" s="259"/>
      <c r="M1427" s="259"/>
      <c r="N1427" s="259"/>
      <c r="O1427" s="235"/>
      <c r="P1427" s="235"/>
      <c r="Q1427" s="235"/>
    </row>
    <row r="1428" spans="2:17">
      <c r="B1428" s="241"/>
      <c r="C1428" s="241"/>
      <c r="D1428" s="241"/>
      <c r="E1428" s="241"/>
      <c r="F1428" s="259"/>
      <c r="G1428" s="259"/>
      <c r="H1428" s="259"/>
      <c r="I1428" s="259"/>
      <c r="J1428" s="259"/>
      <c r="K1428" s="259"/>
      <c r="L1428" s="259"/>
      <c r="M1428" s="259"/>
      <c r="N1428" s="259"/>
      <c r="O1428" s="235"/>
      <c r="P1428" s="235"/>
      <c r="Q1428" s="235"/>
    </row>
    <row r="1429" spans="2:17">
      <c r="B1429" s="241"/>
      <c r="C1429" s="241"/>
      <c r="D1429" s="241"/>
      <c r="E1429" s="241"/>
      <c r="F1429" s="259"/>
      <c r="G1429" s="259"/>
      <c r="H1429" s="259"/>
      <c r="I1429" s="259"/>
      <c r="J1429" s="259"/>
      <c r="K1429" s="259"/>
      <c r="L1429" s="259"/>
      <c r="M1429" s="259"/>
      <c r="N1429" s="259"/>
      <c r="O1429" s="235"/>
      <c r="P1429" s="235"/>
      <c r="Q1429" s="235"/>
    </row>
    <row r="1430" spans="2:17">
      <c r="B1430" s="241"/>
      <c r="C1430" s="241"/>
      <c r="D1430" s="241"/>
      <c r="E1430" s="241"/>
      <c r="F1430" s="259"/>
      <c r="G1430" s="259"/>
      <c r="H1430" s="259"/>
      <c r="I1430" s="259"/>
      <c r="J1430" s="259"/>
      <c r="K1430" s="259"/>
      <c r="L1430" s="259"/>
      <c r="M1430" s="259"/>
      <c r="N1430" s="259"/>
      <c r="O1430" s="235"/>
      <c r="P1430" s="235"/>
      <c r="Q1430" s="235"/>
    </row>
    <row r="1431" spans="2:17">
      <c r="B1431" s="241"/>
      <c r="C1431" s="241"/>
      <c r="D1431" s="241"/>
      <c r="E1431" s="241"/>
      <c r="F1431" s="259"/>
      <c r="G1431" s="259"/>
      <c r="H1431" s="259"/>
      <c r="I1431" s="259"/>
      <c r="J1431" s="259"/>
      <c r="K1431" s="259"/>
      <c r="L1431" s="259"/>
      <c r="M1431" s="259"/>
      <c r="N1431" s="259"/>
      <c r="O1431" s="235"/>
      <c r="P1431" s="235"/>
      <c r="Q1431" s="235"/>
    </row>
    <row r="1432" spans="2:17">
      <c r="B1432" s="241"/>
      <c r="C1432" s="241"/>
      <c r="D1432" s="241"/>
      <c r="E1432" s="241"/>
      <c r="F1432" s="259"/>
      <c r="G1432" s="259"/>
      <c r="H1432" s="259"/>
      <c r="I1432" s="259"/>
      <c r="J1432" s="259"/>
      <c r="K1432" s="259"/>
      <c r="L1432" s="259"/>
      <c r="M1432" s="259"/>
      <c r="N1432" s="259"/>
      <c r="O1432" s="235"/>
      <c r="P1432" s="235"/>
      <c r="Q1432" s="235"/>
    </row>
    <row r="1433" spans="2:17">
      <c r="B1433" s="241"/>
      <c r="C1433" s="241"/>
      <c r="D1433" s="241"/>
      <c r="E1433" s="241"/>
      <c r="F1433" s="259"/>
      <c r="G1433" s="259"/>
      <c r="H1433" s="259"/>
      <c r="I1433" s="259"/>
      <c r="J1433" s="259"/>
      <c r="K1433" s="259"/>
      <c r="L1433" s="259"/>
      <c r="M1433" s="259"/>
      <c r="N1433" s="259"/>
      <c r="O1433" s="235"/>
      <c r="P1433" s="235"/>
      <c r="Q1433" s="235"/>
    </row>
    <row r="1434" spans="2:17">
      <c r="B1434" s="241"/>
      <c r="C1434" s="241"/>
      <c r="D1434" s="241"/>
      <c r="E1434" s="241"/>
      <c r="F1434" s="259"/>
      <c r="G1434" s="259"/>
      <c r="H1434" s="259"/>
      <c r="I1434" s="259"/>
      <c r="J1434" s="259"/>
      <c r="K1434" s="259"/>
      <c r="L1434" s="259"/>
      <c r="M1434" s="259"/>
      <c r="N1434" s="259"/>
      <c r="O1434" s="235"/>
      <c r="P1434" s="235"/>
      <c r="Q1434" s="235"/>
    </row>
    <row r="1435" spans="2:17">
      <c r="B1435" s="241"/>
      <c r="C1435" s="241"/>
      <c r="D1435" s="241"/>
      <c r="E1435" s="241"/>
      <c r="F1435" s="259"/>
      <c r="G1435" s="259"/>
      <c r="H1435" s="259"/>
      <c r="I1435" s="259"/>
      <c r="J1435" s="259"/>
      <c r="K1435" s="259"/>
      <c r="L1435" s="259"/>
      <c r="M1435" s="259"/>
      <c r="N1435" s="259"/>
      <c r="O1435" s="235"/>
      <c r="P1435" s="235"/>
      <c r="Q1435" s="235"/>
    </row>
    <row r="1436" spans="2:17">
      <c r="B1436" s="241"/>
      <c r="C1436" s="241"/>
      <c r="D1436" s="241"/>
      <c r="E1436" s="241"/>
      <c r="F1436" s="259"/>
      <c r="G1436" s="259"/>
      <c r="H1436" s="259"/>
      <c r="I1436" s="259"/>
      <c r="J1436" s="259"/>
      <c r="K1436" s="259"/>
      <c r="L1436" s="259"/>
      <c r="M1436" s="259"/>
      <c r="N1436" s="259"/>
      <c r="O1436" s="235"/>
      <c r="P1436" s="235"/>
      <c r="Q1436" s="235"/>
    </row>
    <row r="1437" spans="2:17">
      <c r="B1437" s="241"/>
      <c r="C1437" s="241"/>
      <c r="D1437" s="241"/>
      <c r="E1437" s="241"/>
      <c r="F1437" s="259"/>
      <c r="G1437" s="259"/>
      <c r="H1437" s="259"/>
      <c r="I1437" s="259"/>
      <c r="J1437" s="259"/>
      <c r="K1437" s="259"/>
      <c r="L1437" s="259"/>
      <c r="M1437" s="259"/>
      <c r="N1437" s="259"/>
      <c r="O1437" s="235"/>
      <c r="P1437" s="235"/>
      <c r="Q1437" s="235"/>
    </row>
    <row r="1438" spans="2:17">
      <c r="B1438" s="241"/>
      <c r="C1438" s="241"/>
      <c r="D1438" s="241"/>
      <c r="E1438" s="241"/>
      <c r="F1438" s="259"/>
      <c r="G1438" s="259"/>
      <c r="H1438" s="259"/>
      <c r="I1438" s="259"/>
      <c r="J1438" s="259"/>
      <c r="K1438" s="259"/>
      <c r="L1438" s="259"/>
      <c r="M1438" s="259"/>
      <c r="N1438" s="259"/>
      <c r="O1438" s="235"/>
      <c r="P1438" s="235"/>
      <c r="Q1438" s="235"/>
    </row>
    <row r="1439" spans="2:17">
      <c r="B1439" s="241"/>
      <c r="C1439" s="241"/>
      <c r="D1439" s="241"/>
      <c r="E1439" s="241"/>
      <c r="F1439" s="259"/>
      <c r="G1439" s="259"/>
      <c r="H1439" s="259"/>
      <c r="I1439" s="259"/>
      <c r="J1439" s="259"/>
      <c r="K1439" s="259"/>
      <c r="L1439" s="259"/>
      <c r="M1439" s="259"/>
      <c r="N1439" s="259"/>
      <c r="O1439" s="235"/>
      <c r="P1439" s="235"/>
      <c r="Q1439" s="235"/>
    </row>
    <row r="1440" spans="2:17">
      <c r="B1440" s="241"/>
      <c r="C1440" s="241"/>
      <c r="D1440" s="241"/>
      <c r="E1440" s="241"/>
      <c r="F1440" s="259"/>
      <c r="G1440" s="259"/>
      <c r="H1440" s="259"/>
      <c r="I1440" s="259"/>
      <c r="J1440" s="259"/>
      <c r="K1440" s="259"/>
      <c r="L1440" s="259"/>
      <c r="M1440" s="259"/>
      <c r="N1440" s="259"/>
      <c r="O1440" s="235"/>
      <c r="P1440" s="235"/>
      <c r="Q1440" s="235"/>
    </row>
    <row r="1441" spans="2:17">
      <c r="B1441" s="241"/>
      <c r="C1441" s="241"/>
      <c r="D1441" s="241"/>
      <c r="E1441" s="241"/>
      <c r="F1441" s="259"/>
      <c r="G1441" s="259"/>
      <c r="H1441" s="259"/>
      <c r="I1441" s="259"/>
      <c r="J1441" s="259"/>
      <c r="K1441" s="259"/>
      <c r="L1441" s="259"/>
      <c r="M1441" s="259"/>
      <c r="N1441" s="259"/>
      <c r="O1441" s="235"/>
      <c r="P1441" s="235"/>
      <c r="Q1441" s="235"/>
    </row>
    <row r="1442" spans="2:17">
      <c r="B1442" s="241"/>
      <c r="C1442" s="241"/>
      <c r="D1442" s="241"/>
      <c r="E1442" s="241"/>
      <c r="F1442" s="259"/>
      <c r="G1442" s="259"/>
      <c r="H1442" s="259"/>
      <c r="I1442" s="259"/>
      <c r="J1442" s="259"/>
      <c r="K1442" s="259"/>
      <c r="L1442" s="259"/>
      <c r="M1442" s="259"/>
      <c r="N1442" s="259"/>
      <c r="O1442" s="235"/>
      <c r="P1442" s="235"/>
      <c r="Q1442" s="235"/>
    </row>
    <row r="1443" spans="2:17">
      <c r="B1443" s="241"/>
      <c r="C1443" s="241"/>
      <c r="D1443" s="241"/>
      <c r="E1443" s="241"/>
      <c r="F1443" s="259"/>
      <c r="G1443" s="259"/>
      <c r="H1443" s="259"/>
      <c r="I1443" s="259"/>
      <c r="J1443" s="259"/>
      <c r="K1443" s="259"/>
      <c r="L1443" s="259"/>
      <c r="M1443" s="259"/>
      <c r="N1443" s="259"/>
      <c r="O1443" s="235"/>
      <c r="P1443" s="235"/>
      <c r="Q1443" s="235"/>
    </row>
    <row r="1444" spans="2:17">
      <c r="B1444" s="241"/>
      <c r="C1444" s="241"/>
      <c r="D1444" s="241"/>
      <c r="E1444" s="241"/>
      <c r="F1444" s="259"/>
      <c r="G1444" s="259"/>
      <c r="H1444" s="259"/>
      <c r="I1444" s="259"/>
      <c r="J1444" s="259"/>
      <c r="K1444" s="259"/>
      <c r="L1444" s="259"/>
      <c r="M1444" s="259"/>
      <c r="N1444" s="259"/>
      <c r="O1444" s="235"/>
      <c r="P1444" s="235"/>
      <c r="Q1444" s="235"/>
    </row>
    <row r="1445" spans="2:17">
      <c r="B1445" s="241"/>
      <c r="C1445" s="241"/>
      <c r="D1445" s="241"/>
      <c r="E1445" s="241"/>
      <c r="F1445" s="259"/>
      <c r="G1445" s="259"/>
      <c r="H1445" s="259"/>
      <c r="I1445" s="259"/>
      <c r="J1445" s="259"/>
      <c r="K1445" s="259"/>
      <c r="L1445" s="259"/>
      <c r="M1445" s="259"/>
      <c r="N1445" s="259"/>
      <c r="O1445" s="235"/>
      <c r="P1445" s="235"/>
      <c r="Q1445" s="235"/>
    </row>
    <row r="1446" spans="2:17">
      <c r="B1446" s="241"/>
      <c r="C1446" s="241"/>
      <c r="D1446" s="241"/>
      <c r="E1446" s="241"/>
      <c r="F1446" s="259"/>
      <c r="G1446" s="259"/>
      <c r="H1446" s="259"/>
      <c r="I1446" s="259"/>
      <c r="J1446" s="259"/>
      <c r="K1446" s="259"/>
      <c r="L1446" s="259"/>
      <c r="M1446" s="259"/>
      <c r="N1446" s="259"/>
      <c r="O1446" s="235"/>
      <c r="P1446" s="235"/>
      <c r="Q1446" s="235"/>
    </row>
    <row r="1447" spans="2:17">
      <c r="B1447" s="241"/>
      <c r="C1447" s="241"/>
      <c r="D1447" s="241"/>
      <c r="E1447" s="241"/>
      <c r="F1447" s="259"/>
      <c r="G1447" s="259"/>
      <c r="H1447" s="259"/>
      <c r="I1447" s="259"/>
      <c r="J1447" s="259"/>
      <c r="K1447" s="259"/>
      <c r="L1447" s="259"/>
      <c r="M1447" s="259"/>
      <c r="N1447" s="259"/>
      <c r="O1447" s="235"/>
      <c r="P1447" s="235"/>
      <c r="Q1447" s="235"/>
    </row>
    <row r="1448" spans="2:17">
      <c r="B1448" s="241"/>
      <c r="C1448" s="241"/>
      <c r="D1448" s="241"/>
      <c r="E1448" s="241"/>
      <c r="F1448" s="259"/>
      <c r="G1448" s="259"/>
      <c r="H1448" s="259"/>
      <c r="I1448" s="259"/>
      <c r="J1448" s="259"/>
      <c r="K1448" s="259"/>
      <c r="L1448" s="259"/>
      <c r="M1448" s="259"/>
      <c r="N1448" s="259"/>
      <c r="O1448" s="235"/>
      <c r="P1448" s="235"/>
      <c r="Q1448" s="235"/>
    </row>
    <row r="1449" spans="2:17">
      <c r="B1449" s="241"/>
      <c r="C1449" s="241"/>
      <c r="D1449" s="241"/>
      <c r="E1449" s="241"/>
      <c r="F1449" s="259"/>
      <c r="G1449" s="259"/>
      <c r="H1449" s="259"/>
      <c r="I1449" s="259"/>
      <c r="J1449" s="259"/>
      <c r="K1449" s="259"/>
      <c r="L1449" s="259"/>
      <c r="M1449" s="259"/>
      <c r="N1449" s="259"/>
      <c r="O1449" s="235"/>
      <c r="P1449" s="235"/>
      <c r="Q1449" s="235"/>
    </row>
    <row r="1450" spans="2:17">
      <c r="B1450" s="241"/>
      <c r="C1450" s="241"/>
      <c r="D1450" s="241"/>
      <c r="E1450" s="241"/>
      <c r="F1450" s="259"/>
      <c r="G1450" s="259"/>
      <c r="H1450" s="259"/>
      <c r="I1450" s="259"/>
      <c r="J1450" s="259"/>
      <c r="K1450" s="259"/>
      <c r="L1450" s="259"/>
      <c r="M1450" s="259"/>
      <c r="N1450" s="259"/>
      <c r="O1450" s="235"/>
      <c r="P1450" s="235"/>
      <c r="Q1450" s="235"/>
    </row>
    <row r="1451" spans="2:17">
      <c r="B1451" s="241"/>
      <c r="C1451" s="241"/>
      <c r="D1451" s="241"/>
      <c r="E1451" s="241"/>
      <c r="F1451" s="259"/>
      <c r="G1451" s="259"/>
      <c r="H1451" s="259"/>
      <c r="I1451" s="259"/>
      <c r="J1451" s="259"/>
      <c r="K1451" s="259"/>
      <c r="L1451" s="259"/>
      <c r="M1451" s="259"/>
      <c r="N1451" s="259"/>
      <c r="O1451" s="235"/>
      <c r="P1451" s="235"/>
      <c r="Q1451" s="235"/>
    </row>
    <row r="1452" spans="2:17">
      <c r="B1452" s="241"/>
      <c r="C1452" s="241"/>
      <c r="D1452" s="241"/>
      <c r="E1452" s="241"/>
      <c r="F1452" s="259"/>
      <c r="G1452" s="259"/>
      <c r="H1452" s="259"/>
      <c r="I1452" s="259"/>
      <c r="J1452" s="259"/>
      <c r="K1452" s="259"/>
      <c r="L1452" s="259"/>
      <c r="M1452" s="259"/>
      <c r="N1452" s="259"/>
      <c r="O1452" s="235"/>
      <c r="P1452" s="235"/>
      <c r="Q1452" s="235"/>
    </row>
    <row r="1453" spans="2:17">
      <c r="B1453" s="241"/>
      <c r="C1453" s="241"/>
      <c r="D1453" s="241"/>
      <c r="E1453" s="241"/>
      <c r="F1453" s="259"/>
      <c r="G1453" s="259"/>
      <c r="H1453" s="259"/>
      <c r="I1453" s="259"/>
      <c r="J1453" s="259"/>
      <c r="K1453" s="259"/>
      <c r="L1453" s="259"/>
      <c r="M1453" s="259"/>
      <c r="N1453" s="259"/>
      <c r="O1453" s="235"/>
      <c r="P1453" s="235"/>
      <c r="Q1453" s="235"/>
    </row>
    <row r="1454" spans="2:17">
      <c r="B1454" s="241"/>
      <c r="C1454" s="241"/>
      <c r="D1454" s="241"/>
      <c r="E1454" s="241"/>
      <c r="F1454" s="259"/>
      <c r="G1454" s="259"/>
      <c r="H1454" s="259"/>
      <c r="I1454" s="259"/>
      <c r="J1454" s="259"/>
      <c r="K1454" s="259"/>
      <c r="L1454" s="259"/>
      <c r="M1454" s="259"/>
      <c r="N1454" s="259"/>
      <c r="O1454" s="235"/>
      <c r="P1454" s="235"/>
      <c r="Q1454" s="235"/>
    </row>
    <row r="1455" spans="2:17">
      <c r="B1455" s="241"/>
      <c r="C1455" s="241"/>
      <c r="D1455" s="241"/>
      <c r="E1455" s="241"/>
      <c r="F1455" s="259"/>
      <c r="G1455" s="259"/>
      <c r="H1455" s="259"/>
      <c r="I1455" s="259"/>
      <c r="J1455" s="259"/>
      <c r="K1455" s="259"/>
      <c r="L1455" s="259"/>
      <c r="M1455" s="259"/>
      <c r="N1455" s="259"/>
      <c r="O1455" s="235"/>
      <c r="P1455" s="235"/>
      <c r="Q1455" s="235"/>
    </row>
    <row r="1456" spans="2:17">
      <c r="B1456" s="241"/>
      <c r="C1456" s="241"/>
      <c r="D1456" s="241"/>
      <c r="E1456" s="241"/>
      <c r="F1456" s="259"/>
      <c r="G1456" s="259"/>
      <c r="H1456" s="259"/>
      <c r="I1456" s="259"/>
      <c r="J1456" s="259"/>
      <c r="K1456" s="259"/>
      <c r="L1456" s="259"/>
      <c r="M1456" s="259"/>
      <c r="N1456" s="259"/>
      <c r="O1456" s="235"/>
      <c r="P1456" s="235"/>
      <c r="Q1456" s="235"/>
    </row>
    <row r="1457" spans="2:17">
      <c r="B1457" s="241"/>
      <c r="C1457" s="241"/>
      <c r="D1457" s="241"/>
      <c r="E1457" s="241"/>
      <c r="F1457" s="259"/>
      <c r="G1457" s="259"/>
      <c r="H1457" s="259"/>
      <c r="I1457" s="259"/>
      <c r="J1457" s="259"/>
      <c r="K1457" s="259"/>
      <c r="L1457" s="259"/>
      <c r="M1457" s="259"/>
      <c r="N1457" s="259"/>
      <c r="O1457" s="235"/>
      <c r="P1457" s="235"/>
      <c r="Q1457" s="235"/>
    </row>
    <row r="1458" spans="2:17">
      <c r="B1458" s="241"/>
      <c r="C1458" s="241"/>
      <c r="D1458" s="241"/>
      <c r="E1458" s="241"/>
      <c r="F1458" s="259"/>
      <c r="G1458" s="259"/>
      <c r="H1458" s="259"/>
      <c r="I1458" s="259"/>
      <c r="J1458" s="259"/>
      <c r="K1458" s="259"/>
      <c r="L1458" s="259"/>
      <c r="M1458" s="259"/>
      <c r="N1458" s="259"/>
      <c r="O1458" s="235"/>
      <c r="P1458" s="235"/>
      <c r="Q1458" s="235"/>
    </row>
    <row r="1459" spans="2:17">
      <c r="B1459" s="241"/>
      <c r="C1459" s="241"/>
      <c r="D1459" s="241"/>
      <c r="E1459" s="241"/>
      <c r="F1459" s="259"/>
      <c r="G1459" s="259"/>
      <c r="H1459" s="259"/>
      <c r="I1459" s="259"/>
      <c r="J1459" s="259"/>
      <c r="K1459" s="259"/>
      <c r="L1459" s="259"/>
      <c r="M1459" s="259"/>
      <c r="N1459" s="259"/>
      <c r="O1459" s="235"/>
      <c r="P1459" s="235"/>
      <c r="Q1459" s="235"/>
    </row>
    <row r="1460" spans="2:17">
      <c r="B1460" s="241"/>
      <c r="C1460" s="241"/>
      <c r="D1460" s="241"/>
      <c r="E1460" s="241"/>
      <c r="F1460" s="259"/>
      <c r="G1460" s="259"/>
      <c r="H1460" s="259"/>
      <c r="I1460" s="259"/>
      <c r="J1460" s="259"/>
      <c r="K1460" s="259"/>
      <c r="L1460" s="259"/>
      <c r="M1460" s="259"/>
      <c r="N1460" s="259"/>
      <c r="O1460" s="235"/>
      <c r="P1460" s="235"/>
      <c r="Q1460" s="235"/>
    </row>
    <row r="1461" spans="2:17">
      <c r="B1461" s="241"/>
      <c r="C1461" s="241"/>
      <c r="D1461" s="241"/>
      <c r="E1461" s="241"/>
      <c r="F1461" s="259"/>
      <c r="G1461" s="259"/>
      <c r="H1461" s="259"/>
      <c r="I1461" s="259"/>
      <c r="J1461" s="259"/>
      <c r="K1461" s="259"/>
      <c r="L1461" s="259"/>
      <c r="M1461" s="259"/>
      <c r="N1461" s="259"/>
      <c r="O1461" s="235"/>
      <c r="P1461" s="235"/>
      <c r="Q1461" s="235"/>
    </row>
    <row r="1462" spans="2:17">
      <c r="B1462" s="241"/>
      <c r="C1462" s="241"/>
      <c r="D1462" s="241"/>
      <c r="E1462" s="241"/>
      <c r="F1462" s="259"/>
      <c r="G1462" s="259"/>
      <c r="H1462" s="259"/>
      <c r="I1462" s="259"/>
      <c r="J1462" s="259"/>
      <c r="K1462" s="259"/>
      <c r="L1462" s="259"/>
      <c r="M1462" s="259"/>
      <c r="N1462" s="259"/>
      <c r="O1462" s="235"/>
      <c r="P1462" s="235"/>
      <c r="Q1462" s="235"/>
    </row>
    <row r="1463" spans="2:17">
      <c r="B1463" s="241"/>
      <c r="C1463" s="241"/>
      <c r="D1463" s="241"/>
      <c r="E1463" s="241"/>
      <c r="F1463" s="259"/>
      <c r="G1463" s="259"/>
      <c r="H1463" s="259"/>
      <c r="I1463" s="259"/>
      <c r="J1463" s="259"/>
      <c r="K1463" s="259"/>
      <c r="L1463" s="259"/>
      <c r="M1463" s="259"/>
      <c r="N1463" s="259"/>
      <c r="O1463" s="235"/>
      <c r="P1463" s="235"/>
      <c r="Q1463" s="235"/>
    </row>
    <row r="1464" spans="2:17">
      <c r="B1464" s="241"/>
      <c r="C1464" s="241"/>
      <c r="D1464" s="241"/>
      <c r="E1464" s="241"/>
      <c r="F1464" s="259"/>
      <c r="G1464" s="259"/>
      <c r="H1464" s="259"/>
      <c r="I1464" s="259"/>
      <c r="J1464" s="259"/>
      <c r="K1464" s="259"/>
      <c r="L1464" s="259"/>
      <c r="M1464" s="259"/>
      <c r="N1464" s="259"/>
      <c r="O1464" s="235"/>
      <c r="P1464" s="235"/>
      <c r="Q1464" s="235"/>
    </row>
    <row r="1465" spans="2:17">
      <c r="B1465" s="241"/>
      <c r="C1465" s="241"/>
      <c r="D1465" s="241"/>
      <c r="E1465" s="241"/>
      <c r="F1465" s="259"/>
      <c r="G1465" s="259"/>
      <c r="H1465" s="259"/>
      <c r="I1465" s="259"/>
      <c r="J1465" s="259"/>
      <c r="K1465" s="259"/>
      <c r="L1465" s="259"/>
      <c r="M1465" s="259"/>
      <c r="N1465" s="259"/>
      <c r="O1465" s="235"/>
      <c r="P1465" s="235"/>
      <c r="Q1465" s="235"/>
    </row>
    <row r="1466" spans="2:17">
      <c r="B1466" s="241"/>
      <c r="C1466" s="241"/>
      <c r="D1466" s="241"/>
      <c r="E1466" s="241"/>
      <c r="F1466" s="259"/>
      <c r="G1466" s="259"/>
      <c r="H1466" s="259"/>
      <c r="I1466" s="259"/>
      <c r="J1466" s="259"/>
      <c r="K1466" s="259"/>
      <c r="L1466" s="259"/>
      <c r="M1466" s="259"/>
      <c r="N1466" s="259"/>
      <c r="O1466" s="235"/>
      <c r="P1466" s="235"/>
      <c r="Q1466" s="235"/>
    </row>
    <row r="1467" spans="2:17">
      <c r="B1467" s="241"/>
      <c r="C1467" s="241"/>
      <c r="D1467" s="241"/>
      <c r="E1467" s="241"/>
      <c r="F1467" s="259"/>
      <c r="G1467" s="259"/>
      <c r="H1467" s="259"/>
      <c r="I1467" s="259"/>
      <c r="J1467" s="259"/>
      <c r="K1467" s="259"/>
      <c r="L1467" s="259"/>
      <c r="M1467" s="259"/>
      <c r="N1467" s="259"/>
      <c r="O1467" s="235"/>
      <c r="P1467" s="235"/>
      <c r="Q1467" s="235"/>
    </row>
    <row r="1468" spans="2:17">
      <c r="B1468" s="241"/>
      <c r="C1468" s="241"/>
      <c r="D1468" s="241"/>
      <c r="E1468" s="241"/>
      <c r="F1468" s="259"/>
      <c r="G1468" s="259"/>
      <c r="H1468" s="259"/>
      <c r="I1468" s="259"/>
      <c r="J1468" s="259"/>
      <c r="K1468" s="259"/>
      <c r="L1468" s="259"/>
      <c r="M1468" s="259"/>
      <c r="N1468" s="259"/>
      <c r="O1468" s="235"/>
      <c r="P1468" s="235"/>
      <c r="Q1468" s="235"/>
    </row>
    <row r="1469" spans="2:17">
      <c r="B1469" s="241"/>
      <c r="C1469" s="241"/>
      <c r="D1469" s="241"/>
      <c r="E1469" s="241"/>
      <c r="F1469" s="259"/>
      <c r="G1469" s="259"/>
      <c r="H1469" s="259"/>
      <c r="I1469" s="259"/>
      <c r="J1469" s="259"/>
      <c r="K1469" s="259"/>
      <c r="L1469" s="259"/>
      <c r="M1469" s="259"/>
      <c r="N1469" s="259"/>
      <c r="O1469" s="235"/>
      <c r="P1469" s="235"/>
      <c r="Q1469" s="235"/>
    </row>
    <row r="1470" spans="2:17">
      <c r="B1470" s="241"/>
      <c r="C1470" s="241"/>
      <c r="D1470" s="241"/>
      <c r="E1470" s="241"/>
      <c r="F1470" s="259"/>
      <c r="G1470" s="259"/>
      <c r="H1470" s="259"/>
      <c r="I1470" s="259"/>
      <c r="J1470" s="259"/>
      <c r="K1470" s="259"/>
      <c r="L1470" s="259"/>
      <c r="M1470" s="259"/>
      <c r="N1470" s="259"/>
      <c r="O1470" s="235"/>
      <c r="P1470" s="235"/>
      <c r="Q1470" s="235"/>
    </row>
    <row r="1471" spans="2:17">
      <c r="B1471" s="241"/>
      <c r="C1471" s="241"/>
      <c r="D1471" s="241"/>
      <c r="E1471" s="241"/>
      <c r="F1471" s="259"/>
      <c r="G1471" s="259"/>
      <c r="H1471" s="259"/>
      <c r="I1471" s="259"/>
      <c r="J1471" s="259"/>
      <c r="K1471" s="259"/>
      <c r="L1471" s="259"/>
      <c r="M1471" s="259"/>
      <c r="N1471" s="259"/>
      <c r="O1471" s="235"/>
      <c r="P1471" s="235"/>
      <c r="Q1471" s="235"/>
    </row>
    <row r="1472" spans="2:17">
      <c r="B1472" s="241"/>
      <c r="C1472" s="241"/>
      <c r="D1472" s="241"/>
      <c r="E1472" s="241"/>
      <c r="F1472" s="259"/>
      <c r="G1472" s="259"/>
      <c r="H1472" s="259"/>
      <c r="I1472" s="259"/>
      <c r="J1472" s="259"/>
      <c r="K1472" s="259"/>
      <c r="L1472" s="259"/>
      <c r="M1472" s="259"/>
      <c r="N1472" s="259"/>
      <c r="O1472" s="235"/>
      <c r="P1472" s="235"/>
      <c r="Q1472" s="235"/>
    </row>
    <row r="1473" spans="2:17">
      <c r="B1473" s="241"/>
      <c r="C1473" s="241"/>
      <c r="D1473" s="241"/>
      <c r="E1473" s="241"/>
      <c r="F1473" s="259"/>
      <c r="G1473" s="259"/>
      <c r="H1473" s="259"/>
      <c r="I1473" s="259"/>
      <c r="J1473" s="259"/>
      <c r="K1473" s="259"/>
      <c r="L1473" s="259"/>
      <c r="M1473" s="259"/>
      <c r="N1473" s="259"/>
      <c r="O1473" s="235"/>
      <c r="P1473" s="235"/>
      <c r="Q1473" s="235"/>
    </row>
    <row r="1474" spans="2:17">
      <c r="B1474" s="241"/>
      <c r="C1474" s="241"/>
      <c r="D1474" s="241"/>
      <c r="E1474" s="241"/>
      <c r="F1474" s="259"/>
      <c r="G1474" s="259"/>
      <c r="H1474" s="259"/>
      <c r="I1474" s="259"/>
      <c r="J1474" s="259"/>
      <c r="K1474" s="259"/>
      <c r="L1474" s="259"/>
      <c r="M1474" s="259"/>
      <c r="N1474" s="259"/>
      <c r="O1474" s="235"/>
      <c r="P1474" s="235"/>
      <c r="Q1474" s="235"/>
    </row>
    <row r="1475" spans="2:17">
      <c r="B1475" s="241"/>
      <c r="C1475" s="241"/>
      <c r="D1475" s="241"/>
      <c r="E1475" s="241"/>
      <c r="F1475" s="259"/>
      <c r="G1475" s="259"/>
      <c r="H1475" s="259"/>
      <c r="I1475" s="259"/>
      <c r="J1475" s="259"/>
      <c r="K1475" s="259"/>
      <c r="L1475" s="259"/>
      <c r="M1475" s="259"/>
      <c r="N1475" s="259"/>
      <c r="O1475" s="235"/>
      <c r="P1475" s="235"/>
      <c r="Q1475" s="235"/>
    </row>
    <row r="1476" spans="2:17">
      <c r="B1476" s="241"/>
      <c r="C1476" s="241"/>
      <c r="D1476" s="241"/>
      <c r="E1476" s="241"/>
      <c r="F1476" s="259"/>
      <c r="G1476" s="259"/>
      <c r="H1476" s="259"/>
      <c r="I1476" s="259"/>
      <c r="J1476" s="259"/>
      <c r="K1476" s="259"/>
      <c r="L1476" s="259"/>
      <c r="M1476" s="259"/>
      <c r="N1476" s="259"/>
      <c r="O1476" s="235"/>
      <c r="P1476" s="235"/>
      <c r="Q1476" s="235"/>
    </row>
    <row r="1477" spans="2:17">
      <c r="B1477" s="241"/>
      <c r="C1477" s="241"/>
      <c r="D1477" s="241"/>
      <c r="E1477" s="241"/>
      <c r="F1477" s="259"/>
      <c r="G1477" s="259"/>
      <c r="H1477" s="259"/>
      <c r="I1477" s="259"/>
      <c r="J1477" s="259"/>
      <c r="K1477" s="259"/>
      <c r="L1477" s="259"/>
      <c r="M1477" s="259"/>
      <c r="N1477" s="259"/>
      <c r="O1477" s="235"/>
      <c r="P1477" s="235"/>
      <c r="Q1477" s="235"/>
    </row>
    <row r="1478" spans="2:17">
      <c r="B1478" s="241"/>
      <c r="C1478" s="241"/>
      <c r="D1478" s="241"/>
      <c r="E1478" s="241"/>
      <c r="F1478" s="259"/>
      <c r="G1478" s="259"/>
      <c r="H1478" s="259"/>
      <c r="I1478" s="259"/>
      <c r="J1478" s="259"/>
      <c r="K1478" s="259"/>
      <c r="L1478" s="259"/>
      <c r="M1478" s="259"/>
      <c r="N1478" s="259"/>
      <c r="O1478" s="235"/>
      <c r="P1478" s="235"/>
      <c r="Q1478" s="235"/>
    </row>
    <row r="1479" spans="2:17">
      <c r="B1479" s="241"/>
      <c r="C1479" s="241"/>
      <c r="D1479" s="241"/>
      <c r="E1479" s="241"/>
      <c r="F1479" s="259"/>
      <c r="G1479" s="259"/>
      <c r="H1479" s="259"/>
      <c r="I1479" s="259"/>
      <c r="J1479" s="259"/>
      <c r="K1479" s="259"/>
      <c r="L1479" s="259"/>
      <c r="M1479" s="259"/>
      <c r="N1479" s="259"/>
      <c r="O1479" s="235"/>
      <c r="P1479" s="235"/>
      <c r="Q1479" s="235"/>
    </row>
    <row r="1480" spans="2:17">
      <c r="B1480" s="241"/>
      <c r="C1480" s="241"/>
      <c r="D1480" s="241"/>
      <c r="E1480" s="241"/>
      <c r="F1480" s="259"/>
      <c r="G1480" s="259"/>
      <c r="H1480" s="259"/>
      <c r="I1480" s="259"/>
      <c r="J1480" s="259"/>
      <c r="K1480" s="259"/>
      <c r="L1480" s="259"/>
      <c r="M1480" s="259"/>
      <c r="N1480" s="259"/>
      <c r="O1480" s="235"/>
      <c r="P1480" s="235"/>
      <c r="Q1480" s="235"/>
    </row>
    <row r="1481" spans="2:17">
      <c r="B1481" s="241"/>
      <c r="C1481" s="241"/>
      <c r="D1481" s="241"/>
      <c r="E1481" s="241"/>
      <c r="F1481" s="259"/>
      <c r="G1481" s="259"/>
      <c r="H1481" s="259"/>
      <c r="I1481" s="259"/>
      <c r="J1481" s="259"/>
      <c r="K1481" s="259"/>
      <c r="L1481" s="259"/>
      <c r="M1481" s="259"/>
      <c r="N1481" s="259"/>
      <c r="O1481" s="235"/>
      <c r="P1481" s="235"/>
      <c r="Q1481" s="235"/>
    </row>
    <row r="1482" spans="2:17">
      <c r="B1482" s="241"/>
      <c r="C1482" s="241"/>
      <c r="D1482" s="241"/>
      <c r="E1482" s="241"/>
      <c r="F1482" s="259"/>
      <c r="G1482" s="259"/>
      <c r="H1482" s="259"/>
      <c r="I1482" s="259"/>
      <c r="J1482" s="259"/>
      <c r="K1482" s="259"/>
      <c r="L1482" s="259"/>
      <c r="M1482" s="259"/>
      <c r="N1482" s="259"/>
      <c r="O1482" s="235"/>
      <c r="P1482" s="235"/>
      <c r="Q1482" s="235"/>
    </row>
    <row r="1483" spans="2:17">
      <c r="B1483" s="241"/>
      <c r="C1483" s="241"/>
      <c r="D1483" s="241"/>
      <c r="E1483" s="241"/>
      <c r="F1483" s="259"/>
      <c r="G1483" s="259"/>
      <c r="H1483" s="259"/>
      <c r="I1483" s="259"/>
      <c r="J1483" s="259"/>
      <c r="K1483" s="259"/>
      <c r="L1483" s="259"/>
      <c r="M1483" s="259"/>
      <c r="N1483" s="259"/>
      <c r="O1483" s="235"/>
      <c r="P1483" s="235"/>
      <c r="Q1483" s="235"/>
    </row>
    <row r="1484" spans="2:17">
      <c r="B1484" s="241"/>
      <c r="C1484" s="241"/>
      <c r="D1484" s="241"/>
      <c r="E1484" s="241"/>
      <c r="F1484" s="259"/>
      <c r="G1484" s="259"/>
      <c r="H1484" s="259"/>
      <c r="I1484" s="259"/>
      <c r="J1484" s="259"/>
      <c r="K1484" s="259"/>
      <c r="L1484" s="259"/>
      <c r="M1484" s="259"/>
      <c r="N1484" s="259"/>
      <c r="O1484" s="235"/>
      <c r="P1484" s="235"/>
      <c r="Q1484" s="235"/>
    </row>
    <row r="1485" spans="2:17">
      <c r="B1485" s="241"/>
      <c r="C1485" s="241"/>
      <c r="D1485" s="241"/>
      <c r="E1485" s="241"/>
      <c r="F1485" s="259"/>
      <c r="G1485" s="259"/>
      <c r="H1485" s="259"/>
      <c r="I1485" s="259"/>
      <c r="J1485" s="259"/>
      <c r="K1485" s="259"/>
      <c r="L1485" s="259"/>
      <c r="M1485" s="259"/>
      <c r="N1485" s="259"/>
      <c r="O1485" s="235"/>
      <c r="P1485" s="235"/>
      <c r="Q1485" s="235"/>
    </row>
    <row r="1486" spans="2:17">
      <c r="B1486" s="241"/>
      <c r="C1486" s="241"/>
      <c r="D1486" s="241"/>
      <c r="E1486" s="241"/>
      <c r="F1486" s="259"/>
      <c r="G1486" s="259"/>
      <c r="H1486" s="259"/>
      <c r="I1486" s="259"/>
      <c r="J1486" s="259"/>
      <c r="K1486" s="259"/>
      <c r="L1486" s="259"/>
      <c r="M1486" s="259"/>
      <c r="N1486" s="259"/>
      <c r="O1486" s="235"/>
      <c r="P1486" s="235"/>
      <c r="Q1486" s="235"/>
    </row>
    <row r="1487" spans="2:17">
      <c r="B1487" s="241"/>
      <c r="C1487" s="241"/>
      <c r="D1487" s="241"/>
      <c r="E1487" s="241"/>
      <c r="F1487" s="259"/>
      <c r="G1487" s="259"/>
      <c r="H1487" s="259"/>
      <c r="I1487" s="259"/>
      <c r="J1487" s="259"/>
      <c r="K1487" s="259"/>
      <c r="L1487" s="259"/>
      <c r="M1487" s="259"/>
      <c r="N1487" s="259"/>
      <c r="O1487" s="235"/>
      <c r="P1487" s="235"/>
      <c r="Q1487" s="235"/>
    </row>
    <row r="1488" spans="2:17">
      <c r="B1488" s="241"/>
      <c r="C1488" s="241"/>
      <c r="D1488" s="241"/>
      <c r="E1488" s="241"/>
      <c r="F1488" s="259"/>
      <c r="G1488" s="259"/>
      <c r="H1488" s="259"/>
      <c r="I1488" s="259"/>
      <c r="J1488" s="259"/>
      <c r="K1488" s="259"/>
      <c r="L1488" s="259"/>
      <c r="M1488" s="259"/>
      <c r="N1488" s="259"/>
      <c r="O1488" s="235"/>
      <c r="P1488" s="235"/>
      <c r="Q1488" s="235"/>
    </row>
    <row r="1489" spans="2:17">
      <c r="B1489" s="241"/>
      <c r="C1489" s="241"/>
      <c r="D1489" s="241"/>
      <c r="E1489" s="241"/>
      <c r="F1489" s="259"/>
      <c r="G1489" s="259"/>
      <c r="H1489" s="259"/>
      <c r="I1489" s="259"/>
      <c r="J1489" s="259"/>
      <c r="K1489" s="259"/>
      <c r="L1489" s="259"/>
      <c r="M1489" s="259"/>
      <c r="N1489" s="259"/>
      <c r="O1489" s="235"/>
      <c r="P1489" s="235"/>
      <c r="Q1489" s="235"/>
    </row>
    <row r="1490" spans="2:17">
      <c r="B1490" s="241"/>
      <c r="C1490" s="241"/>
      <c r="D1490" s="241"/>
      <c r="E1490" s="241"/>
      <c r="F1490" s="259"/>
      <c r="G1490" s="259"/>
      <c r="H1490" s="259"/>
      <c r="I1490" s="259"/>
      <c r="J1490" s="259"/>
      <c r="K1490" s="259"/>
      <c r="L1490" s="259"/>
      <c r="M1490" s="259"/>
      <c r="N1490" s="259"/>
      <c r="O1490" s="235"/>
      <c r="P1490" s="235"/>
      <c r="Q1490" s="235"/>
    </row>
    <row r="1491" spans="2:17">
      <c r="B1491" s="241"/>
      <c r="C1491" s="241"/>
      <c r="D1491" s="241"/>
      <c r="E1491" s="241"/>
      <c r="F1491" s="259"/>
      <c r="G1491" s="259"/>
      <c r="H1491" s="259"/>
      <c r="I1491" s="259"/>
      <c r="J1491" s="259"/>
      <c r="K1491" s="259"/>
      <c r="L1491" s="259"/>
      <c r="M1491" s="259"/>
      <c r="N1491" s="259"/>
      <c r="O1491" s="235"/>
      <c r="P1491" s="235"/>
      <c r="Q1491" s="235"/>
    </row>
    <row r="1492" spans="2:17">
      <c r="B1492" s="241"/>
      <c r="C1492" s="241"/>
      <c r="D1492" s="241"/>
      <c r="E1492" s="241"/>
      <c r="F1492" s="259"/>
      <c r="G1492" s="259"/>
      <c r="H1492" s="259"/>
      <c r="I1492" s="259"/>
      <c r="J1492" s="259"/>
      <c r="K1492" s="259"/>
      <c r="L1492" s="259"/>
      <c r="M1492" s="259"/>
      <c r="N1492" s="259"/>
      <c r="O1492" s="235"/>
      <c r="P1492" s="235"/>
      <c r="Q1492" s="235"/>
    </row>
    <row r="1493" spans="2:17">
      <c r="B1493" s="241"/>
      <c r="C1493" s="241"/>
      <c r="D1493" s="241"/>
      <c r="E1493" s="241"/>
      <c r="F1493" s="259"/>
      <c r="G1493" s="259"/>
      <c r="H1493" s="259"/>
      <c r="I1493" s="259"/>
      <c r="J1493" s="259"/>
      <c r="K1493" s="259"/>
      <c r="L1493" s="259"/>
      <c r="M1493" s="259"/>
      <c r="N1493" s="259"/>
      <c r="O1493" s="235"/>
      <c r="P1493" s="235"/>
      <c r="Q1493" s="235"/>
    </row>
    <row r="1494" spans="2:17">
      <c r="B1494" s="241"/>
      <c r="C1494" s="241"/>
      <c r="D1494" s="241"/>
      <c r="E1494" s="241"/>
      <c r="F1494" s="259"/>
      <c r="G1494" s="259"/>
      <c r="H1494" s="259"/>
      <c r="I1494" s="259"/>
      <c r="J1494" s="259"/>
      <c r="K1494" s="259"/>
      <c r="L1494" s="259"/>
      <c r="M1494" s="259"/>
      <c r="N1494" s="259"/>
      <c r="O1494" s="235"/>
      <c r="P1494" s="235"/>
      <c r="Q1494" s="235"/>
    </row>
    <row r="1495" spans="2:17">
      <c r="B1495" s="241"/>
      <c r="C1495" s="241"/>
      <c r="D1495" s="241"/>
      <c r="E1495" s="241"/>
      <c r="F1495" s="259"/>
      <c r="G1495" s="259"/>
      <c r="H1495" s="259"/>
      <c r="I1495" s="259"/>
      <c r="J1495" s="259"/>
      <c r="K1495" s="259"/>
      <c r="L1495" s="259"/>
      <c r="M1495" s="259"/>
      <c r="N1495" s="259"/>
      <c r="O1495" s="235"/>
      <c r="P1495" s="235"/>
      <c r="Q1495" s="235"/>
    </row>
    <row r="1496" spans="2:17">
      <c r="B1496" s="241"/>
      <c r="C1496" s="241"/>
      <c r="D1496" s="241"/>
      <c r="E1496" s="241"/>
      <c r="F1496" s="259"/>
      <c r="G1496" s="259"/>
      <c r="H1496" s="259"/>
      <c r="I1496" s="259"/>
      <c r="J1496" s="259"/>
      <c r="K1496" s="259"/>
      <c r="L1496" s="259"/>
      <c r="M1496" s="259"/>
      <c r="N1496" s="259"/>
      <c r="O1496" s="235"/>
      <c r="P1496" s="235"/>
      <c r="Q1496" s="235"/>
    </row>
    <row r="1497" spans="2:17">
      <c r="B1497" s="241"/>
      <c r="C1497" s="241"/>
      <c r="D1497" s="241"/>
      <c r="E1497" s="241"/>
      <c r="F1497" s="259"/>
      <c r="G1497" s="259"/>
      <c r="H1497" s="259"/>
      <c r="I1497" s="259"/>
      <c r="J1497" s="259"/>
      <c r="K1497" s="259"/>
      <c r="L1497" s="259"/>
      <c r="M1497" s="259"/>
      <c r="N1497" s="259"/>
      <c r="O1497" s="235"/>
      <c r="P1497" s="235"/>
      <c r="Q1497" s="235"/>
    </row>
    <row r="1498" spans="2:17">
      <c r="B1498" s="241"/>
      <c r="C1498" s="241"/>
      <c r="D1498" s="241"/>
      <c r="E1498" s="241"/>
      <c r="F1498" s="259"/>
      <c r="G1498" s="259"/>
      <c r="H1498" s="259"/>
      <c r="I1498" s="259"/>
      <c r="J1498" s="259"/>
      <c r="K1498" s="259"/>
      <c r="L1498" s="259"/>
      <c r="M1498" s="259"/>
      <c r="N1498" s="259"/>
      <c r="O1498" s="235"/>
      <c r="P1498" s="235"/>
      <c r="Q1498" s="235"/>
    </row>
    <row r="1499" spans="2:17">
      <c r="B1499" s="241"/>
      <c r="C1499" s="241"/>
      <c r="D1499" s="241"/>
      <c r="E1499" s="241"/>
      <c r="F1499" s="259"/>
      <c r="G1499" s="259"/>
      <c r="H1499" s="259"/>
      <c r="I1499" s="259"/>
      <c r="J1499" s="259"/>
      <c r="K1499" s="259"/>
      <c r="L1499" s="259"/>
      <c r="M1499" s="259"/>
      <c r="N1499" s="259"/>
      <c r="O1499" s="235"/>
      <c r="P1499" s="235"/>
      <c r="Q1499" s="235"/>
    </row>
    <row r="1500" spans="2:17">
      <c r="B1500" s="241"/>
      <c r="C1500" s="241"/>
      <c r="D1500" s="241"/>
      <c r="E1500" s="241"/>
      <c r="F1500" s="259"/>
      <c r="G1500" s="259"/>
      <c r="H1500" s="259"/>
      <c r="I1500" s="259"/>
      <c r="J1500" s="259"/>
      <c r="K1500" s="259"/>
      <c r="L1500" s="259"/>
      <c r="M1500" s="259"/>
      <c r="N1500" s="259"/>
      <c r="O1500" s="235"/>
      <c r="P1500" s="235"/>
      <c r="Q1500" s="235"/>
    </row>
    <row r="1501" spans="2:17">
      <c r="B1501" s="241"/>
      <c r="C1501" s="241"/>
      <c r="D1501" s="241"/>
      <c r="E1501" s="241"/>
      <c r="F1501" s="259"/>
      <c r="G1501" s="259"/>
      <c r="H1501" s="259"/>
      <c r="I1501" s="259"/>
      <c r="J1501" s="259"/>
      <c r="K1501" s="259"/>
      <c r="L1501" s="259"/>
      <c r="M1501" s="259"/>
      <c r="N1501" s="259"/>
      <c r="O1501" s="235"/>
      <c r="P1501" s="235"/>
      <c r="Q1501" s="235"/>
    </row>
    <row r="1502" spans="2:17">
      <c r="B1502" s="241"/>
      <c r="C1502" s="241"/>
      <c r="D1502" s="241"/>
      <c r="E1502" s="241"/>
      <c r="F1502" s="259"/>
      <c r="G1502" s="259"/>
      <c r="H1502" s="259"/>
      <c r="I1502" s="259"/>
      <c r="J1502" s="259"/>
      <c r="K1502" s="259"/>
      <c r="L1502" s="259"/>
      <c r="M1502" s="259"/>
      <c r="N1502" s="259"/>
      <c r="O1502" s="235"/>
      <c r="P1502" s="235"/>
      <c r="Q1502" s="235"/>
    </row>
    <row r="1503" spans="2:17">
      <c r="B1503" s="241"/>
      <c r="C1503" s="241"/>
      <c r="D1503" s="241"/>
      <c r="E1503" s="241"/>
      <c r="F1503" s="259"/>
      <c r="G1503" s="259"/>
      <c r="H1503" s="259"/>
      <c r="I1503" s="259"/>
      <c r="J1503" s="259"/>
      <c r="K1503" s="259"/>
      <c r="L1503" s="259"/>
      <c r="M1503" s="259"/>
      <c r="N1503" s="259"/>
      <c r="O1503" s="235"/>
      <c r="P1503" s="235"/>
      <c r="Q1503" s="235"/>
    </row>
    <row r="1504" spans="2:17">
      <c r="B1504" s="241"/>
      <c r="C1504" s="241"/>
      <c r="D1504" s="241"/>
      <c r="E1504" s="241"/>
      <c r="F1504" s="259"/>
      <c r="G1504" s="259"/>
      <c r="H1504" s="259"/>
      <c r="I1504" s="259"/>
      <c r="J1504" s="259"/>
      <c r="K1504" s="259"/>
      <c r="L1504" s="259"/>
      <c r="M1504" s="259"/>
      <c r="N1504" s="259"/>
      <c r="O1504" s="235"/>
      <c r="P1504" s="235"/>
      <c r="Q1504" s="235"/>
    </row>
    <row r="1505" spans="2:17">
      <c r="B1505" s="241"/>
      <c r="C1505" s="241"/>
      <c r="D1505" s="241"/>
      <c r="E1505" s="241"/>
      <c r="F1505" s="259"/>
      <c r="G1505" s="259"/>
      <c r="H1505" s="259"/>
      <c r="I1505" s="259"/>
      <c r="J1505" s="259"/>
      <c r="K1505" s="259"/>
      <c r="L1505" s="259"/>
      <c r="M1505" s="259"/>
      <c r="N1505" s="259"/>
      <c r="O1505" s="235"/>
      <c r="P1505" s="235"/>
      <c r="Q1505" s="235"/>
    </row>
    <row r="1506" spans="2:17">
      <c r="B1506" s="241"/>
      <c r="C1506" s="241"/>
      <c r="D1506" s="241"/>
      <c r="E1506" s="241"/>
      <c r="F1506" s="259"/>
      <c r="G1506" s="259"/>
      <c r="H1506" s="259"/>
      <c r="I1506" s="259"/>
      <c r="J1506" s="259"/>
      <c r="K1506" s="259"/>
      <c r="L1506" s="259"/>
      <c r="M1506" s="259"/>
      <c r="N1506" s="259"/>
      <c r="O1506" s="235"/>
      <c r="P1506" s="235"/>
      <c r="Q1506" s="235"/>
    </row>
    <row r="1507" spans="2:17">
      <c r="B1507" s="241"/>
      <c r="C1507" s="241"/>
      <c r="D1507" s="241"/>
      <c r="E1507" s="241"/>
      <c r="F1507" s="259"/>
      <c r="G1507" s="259"/>
      <c r="H1507" s="259"/>
      <c r="I1507" s="259"/>
      <c r="J1507" s="259"/>
      <c r="K1507" s="259"/>
      <c r="L1507" s="259"/>
      <c r="M1507" s="259"/>
      <c r="N1507" s="259"/>
      <c r="O1507" s="235"/>
      <c r="P1507" s="235"/>
      <c r="Q1507" s="235"/>
    </row>
    <row r="1508" spans="2:17">
      <c r="B1508" s="241"/>
      <c r="C1508" s="241"/>
      <c r="D1508" s="241"/>
      <c r="E1508" s="241"/>
      <c r="F1508" s="259"/>
      <c r="G1508" s="259"/>
      <c r="H1508" s="259"/>
      <c r="I1508" s="259"/>
      <c r="J1508" s="259"/>
      <c r="K1508" s="259"/>
      <c r="L1508" s="259"/>
      <c r="M1508" s="259"/>
      <c r="N1508" s="259"/>
      <c r="O1508" s="235"/>
      <c r="P1508" s="235"/>
      <c r="Q1508" s="235"/>
    </row>
    <row r="1509" spans="2:17">
      <c r="B1509" s="241"/>
      <c r="C1509" s="241"/>
      <c r="D1509" s="241"/>
      <c r="E1509" s="241"/>
      <c r="F1509" s="259"/>
      <c r="G1509" s="259"/>
      <c r="H1509" s="259"/>
      <c r="I1509" s="259"/>
      <c r="J1509" s="259"/>
      <c r="K1509" s="259"/>
      <c r="L1509" s="259"/>
      <c r="M1509" s="259"/>
      <c r="N1509" s="259"/>
      <c r="O1509" s="235"/>
      <c r="P1509" s="235"/>
      <c r="Q1509" s="235"/>
    </row>
    <row r="1510" spans="2:17">
      <c r="B1510" s="241"/>
      <c r="C1510" s="241"/>
      <c r="D1510" s="241"/>
      <c r="E1510" s="241"/>
      <c r="F1510" s="259"/>
      <c r="G1510" s="259"/>
      <c r="H1510" s="259"/>
      <c r="I1510" s="259"/>
      <c r="J1510" s="259"/>
      <c r="K1510" s="259"/>
      <c r="L1510" s="259"/>
      <c r="M1510" s="259"/>
      <c r="N1510" s="259"/>
      <c r="O1510" s="235"/>
      <c r="P1510" s="235"/>
      <c r="Q1510" s="235"/>
    </row>
    <row r="1511" spans="2:17">
      <c r="B1511" s="241"/>
      <c r="C1511" s="241"/>
      <c r="D1511" s="241"/>
      <c r="E1511" s="241"/>
      <c r="F1511" s="259"/>
      <c r="G1511" s="259"/>
      <c r="H1511" s="259"/>
      <c r="I1511" s="259"/>
      <c r="J1511" s="259"/>
      <c r="K1511" s="259"/>
      <c r="L1511" s="259"/>
      <c r="M1511" s="259"/>
      <c r="N1511" s="259"/>
      <c r="O1511" s="235"/>
      <c r="P1511" s="235"/>
      <c r="Q1511" s="235"/>
    </row>
    <row r="1512" spans="2:17">
      <c r="B1512" s="241"/>
      <c r="C1512" s="241"/>
      <c r="D1512" s="241"/>
      <c r="E1512" s="241"/>
      <c r="F1512" s="259"/>
      <c r="G1512" s="259"/>
      <c r="H1512" s="259"/>
      <c r="I1512" s="259"/>
      <c r="J1512" s="259"/>
      <c r="K1512" s="259"/>
      <c r="L1512" s="259"/>
      <c r="M1512" s="259"/>
      <c r="N1512" s="259"/>
      <c r="O1512" s="235"/>
      <c r="P1512" s="235"/>
      <c r="Q1512" s="235"/>
    </row>
    <row r="1513" spans="2:17">
      <c r="B1513" s="241"/>
      <c r="C1513" s="241"/>
      <c r="D1513" s="241"/>
      <c r="E1513" s="241"/>
      <c r="F1513" s="259"/>
      <c r="G1513" s="259"/>
      <c r="H1513" s="259"/>
      <c r="I1513" s="259"/>
      <c r="J1513" s="259"/>
      <c r="K1513" s="259"/>
      <c r="L1513" s="259"/>
      <c r="M1513" s="259"/>
      <c r="N1513" s="259"/>
      <c r="O1513" s="235"/>
      <c r="P1513" s="235"/>
      <c r="Q1513" s="235"/>
    </row>
    <row r="1514" spans="2:17">
      <c r="B1514" s="241"/>
      <c r="C1514" s="241"/>
      <c r="D1514" s="241"/>
      <c r="E1514" s="241"/>
      <c r="F1514" s="259"/>
      <c r="G1514" s="259"/>
      <c r="H1514" s="259"/>
      <c r="I1514" s="259"/>
      <c r="J1514" s="259"/>
      <c r="K1514" s="259"/>
      <c r="L1514" s="259"/>
      <c r="M1514" s="259"/>
      <c r="N1514" s="259"/>
      <c r="O1514" s="235"/>
      <c r="P1514" s="235"/>
      <c r="Q1514" s="235"/>
    </row>
    <row r="1515" spans="2:17">
      <c r="B1515" s="241"/>
      <c r="C1515" s="241"/>
      <c r="D1515" s="241"/>
      <c r="E1515" s="241"/>
      <c r="F1515" s="259"/>
      <c r="G1515" s="259"/>
      <c r="H1515" s="259"/>
      <c r="I1515" s="259"/>
      <c r="J1515" s="259"/>
      <c r="K1515" s="259"/>
      <c r="L1515" s="259"/>
      <c r="M1515" s="259"/>
      <c r="N1515" s="259"/>
      <c r="O1515" s="235"/>
      <c r="P1515" s="235"/>
      <c r="Q1515" s="235"/>
    </row>
    <row r="1516" spans="2:17">
      <c r="B1516" s="241"/>
      <c r="C1516" s="241"/>
      <c r="D1516" s="241"/>
      <c r="E1516" s="241"/>
      <c r="F1516" s="259"/>
      <c r="G1516" s="259"/>
      <c r="H1516" s="259"/>
      <c r="I1516" s="259"/>
      <c r="J1516" s="259"/>
      <c r="K1516" s="259"/>
      <c r="L1516" s="259"/>
      <c r="M1516" s="259"/>
      <c r="N1516" s="259"/>
      <c r="O1516" s="235"/>
      <c r="P1516" s="235"/>
      <c r="Q1516" s="235"/>
    </row>
    <row r="1517" spans="2:17">
      <c r="B1517" s="241"/>
      <c r="C1517" s="241"/>
      <c r="D1517" s="241"/>
      <c r="E1517" s="241"/>
      <c r="F1517" s="259"/>
      <c r="G1517" s="259"/>
      <c r="H1517" s="259"/>
      <c r="I1517" s="259"/>
      <c r="J1517" s="259"/>
      <c r="K1517" s="259"/>
      <c r="L1517" s="259"/>
      <c r="M1517" s="259"/>
      <c r="N1517" s="259"/>
      <c r="O1517" s="235"/>
      <c r="P1517" s="235"/>
      <c r="Q1517" s="235"/>
    </row>
    <row r="1518" spans="2:17">
      <c r="B1518" s="241"/>
      <c r="C1518" s="241"/>
      <c r="D1518" s="241"/>
      <c r="E1518" s="241"/>
      <c r="F1518" s="259"/>
      <c r="G1518" s="259"/>
      <c r="H1518" s="259"/>
      <c r="I1518" s="259"/>
      <c r="J1518" s="259"/>
      <c r="K1518" s="259"/>
      <c r="L1518" s="259"/>
      <c r="M1518" s="259"/>
      <c r="N1518" s="259"/>
      <c r="O1518" s="235"/>
      <c r="P1518" s="235"/>
      <c r="Q1518" s="235"/>
    </row>
    <row r="1519" spans="2:17">
      <c r="B1519" s="241"/>
      <c r="C1519" s="241"/>
      <c r="D1519" s="241"/>
      <c r="E1519" s="241"/>
      <c r="F1519" s="259"/>
      <c r="G1519" s="259"/>
      <c r="H1519" s="259"/>
      <c r="I1519" s="259"/>
      <c r="J1519" s="259"/>
      <c r="K1519" s="259"/>
      <c r="L1519" s="259"/>
      <c r="M1519" s="259"/>
      <c r="N1519" s="259"/>
      <c r="O1519" s="235"/>
      <c r="P1519" s="235"/>
      <c r="Q1519" s="235"/>
    </row>
    <row r="1520" spans="2:17">
      <c r="B1520" s="241"/>
      <c r="C1520" s="241"/>
      <c r="D1520" s="241"/>
      <c r="E1520" s="241"/>
      <c r="F1520" s="259"/>
      <c r="G1520" s="259"/>
      <c r="H1520" s="259"/>
      <c r="I1520" s="259"/>
      <c r="J1520" s="259"/>
      <c r="K1520" s="259"/>
      <c r="L1520" s="259"/>
      <c r="M1520" s="259"/>
      <c r="N1520" s="259"/>
      <c r="O1520" s="235"/>
      <c r="P1520" s="235"/>
      <c r="Q1520" s="235"/>
    </row>
    <row r="1521" spans="2:17">
      <c r="B1521" s="241"/>
      <c r="C1521" s="241"/>
      <c r="D1521" s="241"/>
      <c r="E1521" s="241"/>
      <c r="F1521" s="259"/>
      <c r="G1521" s="259"/>
      <c r="H1521" s="259"/>
      <c r="I1521" s="259"/>
      <c r="J1521" s="259"/>
      <c r="K1521" s="259"/>
      <c r="L1521" s="259"/>
      <c r="M1521" s="259"/>
      <c r="N1521" s="259"/>
      <c r="O1521" s="235"/>
      <c r="P1521" s="235"/>
      <c r="Q1521" s="235"/>
    </row>
    <row r="1522" spans="2:17">
      <c r="B1522" s="241"/>
      <c r="C1522" s="241"/>
      <c r="D1522" s="241"/>
      <c r="E1522" s="241"/>
      <c r="F1522" s="259"/>
      <c r="G1522" s="259"/>
      <c r="H1522" s="259"/>
      <c r="I1522" s="259"/>
      <c r="J1522" s="259"/>
      <c r="K1522" s="259"/>
      <c r="L1522" s="259"/>
      <c r="M1522" s="259"/>
      <c r="N1522" s="259"/>
      <c r="O1522" s="235"/>
      <c r="P1522" s="235"/>
      <c r="Q1522" s="235"/>
    </row>
    <row r="1523" spans="2:17">
      <c r="B1523" s="241"/>
      <c r="C1523" s="241"/>
      <c r="D1523" s="241"/>
      <c r="E1523" s="241"/>
      <c r="F1523" s="259"/>
      <c r="G1523" s="259"/>
      <c r="H1523" s="259"/>
      <c r="I1523" s="259"/>
      <c r="J1523" s="259"/>
      <c r="K1523" s="259"/>
      <c r="L1523" s="259"/>
      <c r="M1523" s="259"/>
      <c r="N1523" s="259"/>
      <c r="O1523" s="235"/>
      <c r="P1523" s="235"/>
      <c r="Q1523" s="235"/>
    </row>
    <row r="1524" spans="2:17">
      <c r="B1524" s="241"/>
      <c r="C1524" s="241"/>
      <c r="D1524" s="241"/>
      <c r="E1524" s="241"/>
      <c r="F1524" s="259"/>
      <c r="G1524" s="259"/>
      <c r="H1524" s="259"/>
      <c r="I1524" s="259"/>
      <c r="J1524" s="259"/>
      <c r="K1524" s="259"/>
      <c r="L1524" s="259"/>
      <c r="M1524" s="259"/>
      <c r="N1524" s="259"/>
      <c r="O1524" s="235"/>
      <c r="P1524" s="235"/>
      <c r="Q1524" s="235"/>
    </row>
    <row r="1525" spans="2:17">
      <c r="B1525" s="241"/>
      <c r="C1525" s="241"/>
      <c r="D1525" s="241"/>
      <c r="E1525" s="241"/>
      <c r="F1525" s="259"/>
      <c r="G1525" s="259"/>
      <c r="H1525" s="259"/>
      <c r="I1525" s="259"/>
      <c r="J1525" s="259"/>
      <c r="K1525" s="259"/>
      <c r="L1525" s="259"/>
      <c r="M1525" s="259"/>
      <c r="N1525" s="259"/>
      <c r="O1525" s="235"/>
      <c r="P1525" s="235"/>
      <c r="Q1525" s="235"/>
    </row>
    <row r="1526" spans="2:17">
      <c r="B1526" s="241"/>
      <c r="C1526" s="241"/>
      <c r="D1526" s="241"/>
      <c r="E1526" s="241"/>
      <c r="F1526" s="259"/>
      <c r="G1526" s="259"/>
      <c r="H1526" s="259"/>
      <c r="I1526" s="259"/>
      <c r="J1526" s="259"/>
      <c r="K1526" s="259"/>
      <c r="L1526" s="259"/>
      <c r="M1526" s="259"/>
      <c r="N1526" s="259"/>
      <c r="O1526" s="235"/>
      <c r="P1526" s="235"/>
      <c r="Q1526" s="235"/>
    </row>
    <row r="1527" spans="2:17">
      <c r="B1527" s="241"/>
      <c r="C1527" s="241"/>
      <c r="D1527" s="241"/>
      <c r="E1527" s="241"/>
      <c r="F1527" s="259"/>
      <c r="G1527" s="259"/>
      <c r="H1527" s="259"/>
      <c r="I1527" s="259"/>
      <c r="J1527" s="259"/>
      <c r="K1527" s="259"/>
      <c r="L1527" s="259"/>
      <c r="M1527" s="259"/>
      <c r="N1527" s="259"/>
      <c r="O1527" s="235"/>
      <c r="P1527" s="235"/>
      <c r="Q1527" s="235"/>
    </row>
    <row r="1528" spans="2:17">
      <c r="B1528" s="241"/>
      <c r="C1528" s="241"/>
      <c r="D1528" s="241"/>
      <c r="E1528" s="241"/>
      <c r="F1528" s="259"/>
      <c r="G1528" s="259"/>
      <c r="H1528" s="259"/>
      <c r="I1528" s="259"/>
      <c r="J1528" s="259"/>
      <c r="K1528" s="259"/>
      <c r="L1528" s="259"/>
      <c r="M1528" s="259"/>
      <c r="N1528" s="259"/>
      <c r="O1528" s="235"/>
      <c r="P1528" s="235"/>
      <c r="Q1528" s="235"/>
    </row>
    <row r="1529" spans="2:17">
      <c r="B1529" s="241"/>
      <c r="C1529" s="241"/>
      <c r="D1529" s="241"/>
      <c r="E1529" s="241"/>
      <c r="F1529" s="259"/>
      <c r="G1529" s="259"/>
      <c r="H1529" s="259"/>
      <c r="I1529" s="259"/>
      <c r="J1529" s="259"/>
      <c r="K1529" s="259"/>
      <c r="L1529" s="259"/>
      <c r="M1529" s="259"/>
      <c r="N1529" s="259"/>
      <c r="O1529" s="235"/>
      <c r="P1529" s="235"/>
      <c r="Q1529" s="235"/>
    </row>
    <row r="1530" spans="2:17">
      <c r="B1530" s="241"/>
      <c r="C1530" s="241"/>
      <c r="D1530" s="241"/>
      <c r="E1530" s="241"/>
      <c r="F1530" s="259"/>
      <c r="G1530" s="259"/>
      <c r="H1530" s="259"/>
      <c r="I1530" s="259"/>
      <c r="J1530" s="259"/>
      <c r="K1530" s="259"/>
      <c r="L1530" s="259"/>
      <c r="M1530" s="259"/>
      <c r="N1530" s="259"/>
      <c r="O1530" s="235"/>
      <c r="P1530" s="235"/>
      <c r="Q1530" s="235"/>
    </row>
    <row r="1531" spans="2:17">
      <c r="B1531" s="241"/>
      <c r="C1531" s="241"/>
      <c r="D1531" s="241"/>
      <c r="E1531" s="241"/>
      <c r="F1531" s="259"/>
      <c r="G1531" s="259"/>
      <c r="H1531" s="259"/>
      <c r="I1531" s="259"/>
      <c r="J1531" s="259"/>
      <c r="K1531" s="259"/>
      <c r="L1531" s="259"/>
      <c r="M1531" s="259"/>
      <c r="N1531" s="259"/>
      <c r="O1531" s="235"/>
      <c r="P1531" s="235"/>
      <c r="Q1531" s="235"/>
    </row>
    <row r="1532" spans="2:17">
      <c r="B1532" s="241"/>
      <c r="C1532" s="241"/>
      <c r="D1532" s="241"/>
      <c r="E1532" s="241"/>
      <c r="F1532" s="259"/>
      <c r="G1532" s="259"/>
      <c r="H1532" s="259"/>
      <c r="I1532" s="259"/>
      <c r="J1532" s="259"/>
      <c r="K1532" s="259"/>
      <c r="L1532" s="259"/>
      <c r="M1532" s="259"/>
      <c r="N1532" s="259"/>
      <c r="O1532" s="235"/>
      <c r="P1532" s="235"/>
      <c r="Q1532" s="235"/>
    </row>
    <row r="1533" spans="2:17">
      <c r="B1533" s="241"/>
      <c r="C1533" s="241"/>
      <c r="D1533" s="241"/>
      <c r="E1533" s="241"/>
      <c r="F1533" s="259"/>
      <c r="G1533" s="259"/>
      <c r="H1533" s="259"/>
      <c r="I1533" s="259"/>
      <c r="J1533" s="259"/>
      <c r="K1533" s="259"/>
      <c r="L1533" s="259"/>
      <c r="M1533" s="259"/>
      <c r="N1533" s="259"/>
      <c r="O1533" s="235"/>
      <c r="P1533" s="235"/>
      <c r="Q1533" s="235"/>
    </row>
    <row r="1534" spans="2:17">
      <c r="B1534" s="241"/>
      <c r="C1534" s="241"/>
      <c r="D1534" s="241"/>
      <c r="E1534" s="241"/>
      <c r="F1534" s="259"/>
      <c r="G1534" s="259"/>
      <c r="H1534" s="259"/>
      <c r="I1534" s="259"/>
      <c r="J1534" s="259"/>
      <c r="K1534" s="259"/>
      <c r="L1534" s="259"/>
      <c r="M1534" s="259"/>
      <c r="N1534" s="259"/>
      <c r="O1534" s="235"/>
      <c r="P1534" s="235"/>
      <c r="Q1534" s="235"/>
    </row>
    <row r="1535" spans="2:17">
      <c r="B1535" s="241"/>
      <c r="C1535" s="241"/>
      <c r="D1535" s="241"/>
      <c r="E1535" s="241"/>
      <c r="F1535" s="259"/>
      <c r="G1535" s="259"/>
      <c r="H1535" s="259"/>
      <c r="I1535" s="259"/>
      <c r="J1535" s="259"/>
      <c r="K1535" s="259"/>
      <c r="L1535" s="259"/>
      <c r="M1535" s="259"/>
      <c r="N1535" s="259"/>
      <c r="O1535" s="235"/>
      <c r="P1535" s="235"/>
      <c r="Q1535" s="235"/>
    </row>
    <row r="1536" spans="2:17">
      <c r="B1536" s="241"/>
      <c r="C1536" s="241"/>
      <c r="D1536" s="241"/>
      <c r="E1536" s="241"/>
      <c r="F1536" s="259"/>
      <c r="G1536" s="259"/>
      <c r="H1536" s="259"/>
      <c r="I1536" s="259"/>
      <c r="J1536" s="259"/>
      <c r="K1536" s="259"/>
      <c r="L1536" s="259"/>
      <c r="M1536" s="259"/>
      <c r="N1536" s="259"/>
      <c r="O1536" s="235"/>
      <c r="P1536" s="235"/>
      <c r="Q1536" s="235"/>
    </row>
    <row r="1537" spans="2:17">
      <c r="B1537" s="241"/>
      <c r="C1537" s="241"/>
      <c r="D1537" s="241"/>
      <c r="E1537" s="241"/>
      <c r="F1537" s="259"/>
      <c r="G1537" s="259"/>
      <c r="H1537" s="259"/>
      <c r="I1537" s="259"/>
      <c r="J1537" s="259"/>
      <c r="K1537" s="259"/>
      <c r="L1537" s="259"/>
      <c r="M1537" s="259"/>
      <c r="N1537" s="259"/>
      <c r="O1537" s="235"/>
      <c r="P1537" s="235"/>
      <c r="Q1537" s="235"/>
    </row>
    <row r="1538" spans="2:17">
      <c r="B1538" s="241"/>
      <c r="C1538" s="241"/>
      <c r="D1538" s="241"/>
      <c r="E1538" s="241"/>
      <c r="F1538" s="259"/>
      <c r="G1538" s="259"/>
      <c r="H1538" s="259"/>
      <c r="I1538" s="259"/>
      <c r="J1538" s="259"/>
      <c r="K1538" s="259"/>
      <c r="L1538" s="259"/>
      <c r="M1538" s="259"/>
      <c r="N1538" s="259"/>
      <c r="O1538" s="235"/>
      <c r="P1538" s="235"/>
      <c r="Q1538" s="235"/>
    </row>
    <row r="1539" spans="2:17">
      <c r="B1539" s="241"/>
      <c r="C1539" s="241"/>
      <c r="D1539" s="241"/>
      <c r="E1539" s="241"/>
      <c r="F1539" s="259"/>
      <c r="G1539" s="259"/>
      <c r="H1539" s="259"/>
      <c r="I1539" s="259"/>
      <c r="J1539" s="259"/>
      <c r="K1539" s="259"/>
      <c r="L1539" s="259"/>
      <c r="M1539" s="259"/>
      <c r="N1539" s="259"/>
      <c r="O1539" s="235"/>
      <c r="P1539" s="235"/>
      <c r="Q1539" s="235"/>
    </row>
    <row r="1540" spans="2:17">
      <c r="B1540" s="241"/>
      <c r="C1540" s="241"/>
      <c r="D1540" s="241"/>
      <c r="E1540" s="241"/>
      <c r="F1540" s="259"/>
      <c r="G1540" s="259"/>
      <c r="H1540" s="259"/>
      <c r="I1540" s="259"/>
      <c r="J1540" s="259"/>
      <c r="K1540" s="259"/>
      <c r="L1540" s="259"/>
      <c r="M1540" s="259"/>
      <c r="N1540" s="259"/>
      <c r="O1540" s="235"/>
      <c r="P1540" s="235"/>
      <c r="Q1540" s="235"/>
    </row>
    <row r="1541" spans="2:17">
      <c r="B1541" s="241"/>
      <c r="C1541" s="241"/>
      <c r="D1541" s="241"/>
      <c r="E1541" s="241"/>
      <c r="F1541" s="259"/>
      <c r="G1541" s="259"/>
      <c r="H1541" s="259"/>
      <c r="I1541" s="259"/>
      <c r="J1541" s="259"/>
      <c r="K1541" s="259"/>
      <c r="L1541" s="259"/>
      <c r="M1541" s="259"/>
      <c r="N1541" s="259"/>
      <c r="O1541" s="235"/>
      <c r="P1541" s="235"/>
      <c r="Q1541" s="235"/>
    </row>
    <row r="1542" spans="2:17">
      <c r="B1542" s="241"/>
      <c r="C1542" s="241"/>
      <c r="D1542" s="241"/>
      <c r="E1542" s="241"/>
      <c r="F1542" s="259"/>
      <c r="G1542" s="259"/>
      <c r="H1542" s="259"/>
      <c r="I1542" s="259"/>
      <c r="J1542" s="259"/>
      <c r="K1542" s="259"/>
      <c r="L1542" s="259"/>
      <c r="M1542" s="259"/>
      <c r="N1542" s="259"/>
      <c r="O1542" s="235"/>
      <c r="P1542" s="235"/>
      <c r="Q1542" s="235"/>
    </row>
    <row r="1543" spans="2:17">
      <c r="B1543" s="241"/>
      <c r="C1543" s="241"/>
      <c r="D1543" s="241"/>
      <c r="E1543" s="241"/>
      <c r="F1543" s="259"/>
      <c r="G1543" s="259"/>
      <c r="H1543" s="259"/>
      <c r="I1543" s="259"/>
      <c r="J1543" s="259"/>
      <c r="K1543" s="259"/>
      <c r="L1543" s="259"/>
      <c r="M1543" s="259"/>
      <c r="N1543" s="259"/>
      <c r="O1543" s="235"/>
      <c r="P1543" s="235"/>
      <c r="Q1543" s="235"/>
    </row>
    <row r="1544" spans="2:17">
      <c r="B1544" s="241"/>
      <c r="C1544" s="241"/>
      <c r="D1544" s="241"/>
      <c r="E1544" s="241"/>
      <c r="F1544" s="259"/>
      <c r="G1544" s="259"/>
      <c r="H1544" s="259"/>
      <c r="I1544" s="259"/>
      <c r="J1544" s="259"/>
      <c r="K1544" s="259"/>
      <c r="L1544" s="259"/>
      <c r="M1544" s="259"/>
      <c r="N1544" s="259"/>
      <c r="O1544" s="235"/>
      <c r="P1544" s="235"/>
      <c r="Q1544" s="235"/>
    </row>
    <row r="1545" spans="2:17">
      <c r="B1545" s="241"/>
      <c r="C1545" s="241"/>
      <c r="D1545" s="241"/>
      <c r="E1545" s="241"/>
      <c r="F1545" s="259"/>
      <c r="G1545" s="259"/>
      <c r="H1545" s="259"/>
      <c r="I1545" s="259"/>
      <c r="J1545" s="259"/>
      <c r="K1545" s="259"/>
      <c r="L1545" s="259"/>
      <c r="M1545" s="259"/>
      <c r="N1545" s="259"/>
      <c r="O1545" s="235"/>
      <c r="P1545" s="235"/>
      <c r="Q1545" s="235"/>
    </row>
    <row r="1546" spans="2:17">
      <c r="B1546" s="241"/>
      <c r="C1546" s="241"/>
      <c r="D1546" s="241"/>
      <c r="E1546" s="241"/>
      <c r="F1546" s="259"/>
      <c r="G1546" s="259"/>
      <c r="H1546" s="259"/>
      <c r="I1546" s="259"/>
      <c r="J1546" s="259"/>
      <c r="K1546" s="259"/>
      <c r="L1546" s="259"/>
      <c r="M1546" s="259"/>
      <c r="N1546" s="259"/>
      <c r="O1546" s="235"/>
      <c r="P1546" s="235"/>
      <c r="Q1546" s="235"/>
    </row>
    <row r="1547" spans="2:17">
      <c r="B1547" s="241"/>
      <c r="C1547" s="241"/>
      <c r="D1547" s="241"/>
      <c r="E1547" s="241"/>
      <c r="F1547" s="259"/>
      <c r="G1547" s="259"/>
      <c r="H1547" s="259"/>
      <c r="I1547" s="259"/>
      <c r="J1547" s="259"/>
      <c r="K1547" s="259"/>
      <c r="L1547" s="259"/>
      <c r="M1547" s="259"/>
      <c r="N1547" s="259"/>
      <c r="O1547" s="235"/>
      <c r="P1547" s="235"/>
      <c r="Q1547" s="235"/>
    </row>
    <row r="1548" spans="2:17">
      <c r="B1548" s="241"/>
      <c r="C1548" s="241"/>
      <c r="D1548" s="241"/>
      <c r="E1548" s="241"/>
      <c r="F1548" s="259"/>
      <c r="G1548" s="259"/>
      <c r="H1548" s="259"/>
      <c r="I1548" s="259"/>
      <c r="J1548" s="259"/>
      <c r="K1548" s="259"/>
      <c r="L1548" s="259"/>
      <c r="M1548" s="259"/>
      <c r="N1548" s="259"/>
      <c r="O1548" s="235"/>
      <c r="P1548" s="235"/>
      <c r="Q1548" s="235"/>
    </row>
    <row r="1549" spans="2:17">
      <c r="B1549" s="241"/>
      <c r="C1549" s="241"/>
      <c r="D1549" s="241"/>
      <c r="E1549" s="241"/>
      <c r="F1549" s="259"/>
      <c r="G1549" s="259"/>
      <c r="H1549" s="259"/>
      <c r="I1549" s="259"/>
      <c r="J1549" s="259"/>
      <c r="K1549" s="259"/>
      <c r="L1549" s="259"/>
      <c r="M1549" s="259"/>
      <c r="N1549" s="259"/>
      <c r="O1549" s="235"/>
      <c r="P1549" s="235"/>
      <c r="Q1549" s="235"/>
    </row>
    <row r="1550" spans="2:17">
      <c r="B1550" s="241"/>
      <c r="C1550" s="241"/>
      <c r="D1550" s="241"/>
      <c r="E1550" s="241"/>
      <c r="F1550" s="259"/>
      <c r="G1550" s="259"/>
      <c r="H1550" s="259"/>
      <c r="I1550" s="259"/>
      <c r="J1550" s="259"/>
      <c r="K1550" s="259"/>
      <c r="L1550" s="259"/>
      <c r="M1550" s="259"/>
      <c r="N1550" s="259"/>
      <c r="O1550" s="235"/>
      <c r="P1550" s="235"/>
      <c r="Q1550" s="235"/>
    </row>
    <row r="1551" spans="2:17">
      <c r="B1551" s="241"/>
      <c r="C1551" s="241"/>
      <c r="D1551" s="241"/>
      <c r="E1551" s="241"/>
      <c r="F1551" s="259"/>
      <c r="G1551" s="259"/>
      <c r="H1551" s="259"/>
      <c r="I1551" s="259"/>
      <c r="J1551" s="259"/>
      <c r="K1551" s="259"/>
      <c r="L1551" s="259"/>
      <c r="M1551" s="259"/>
      <c r="N1551" s="259"/>
      <c r="O1551" s="235"/>
      <c r="P1551" s="235"/>
      <c r="Q1551" s="235"/>
    </row>
    <row r="1552" spans="2:17">
      <c r="B1552" s="241"/>
      <c r="C1552" s="241"/>
      <c r="D1552" s="241"/>
      <c r="E1552" s="241"/>
      <c r="F1552" s="259"/>
      <c r="G1552" s="259"/>
      <c r="H1552" s="259"/>
      <c r="I1552" s="259"/>
      <c r="J1552" s="259"/>
      <c r="K1552" s="259"/>
      <c r="L1552" s="259"/>
      <c r="M1552" s="259"/>
      <c r="N1552" s="259"/>
      <c r="O1552" s="235"/>
      <c r="P1552" s="235"/>
      <c r="Q1552" s="235"/>
    </row>
    <row r="1553" spans="2:17">
      <c r="B1553" s="241"/>
      <c r="C1553" s="241"/>
      <c r="D1553" s="241"/>
      <c r="E1553" s="241"/>
      <c r="F1553" s="259"/>
      <c r="G1553" s="259"/>
      <c r="H1553" s="259"/>
      <c r="I1553" s="259"/>
      <c r="J1553" s="259"/>
      <c r="K1553" s="259"/>
      <c r="L1553" s="259"/>
      <c r="M1553" s="259"/>
      <c r="N1553" s="259"/>
      <c r="O1553" s="235"/>
      <c r="P1553" s="235"/>
      <c r="Q1553" s="235"/>
    </row>
    <row r="1554" spans="2:17">
      <c r="B1554" s="241"/>
      <c r="C1554" s="241"/>
      <c r="D1554" s="241"/>
      <c r="E1554" s="241"/>
      <c r="F1554" s="259"/>
      <c r="G1554" s="259"/>
      <c r="H1554" s="259"/>
      <c r="I1554" s="259"/>
      <c r="J1554" s="259"/>
      <c r="K1554" s="259"/>
      <c r="L1554" s="259"/>
      <c r="M1554" s="259"/>
      <c r="N1554" s="259"/>
      <c r="O1554" s="235"/>
      <c r="P1554" s="235"/>
      <c r="Q1554" s="235"/>
    </row>
    <row r="1555" spans="2:17">
      <c r="B1555" s="241"/>
      <c r="C1555" s="241"/>
      <c r="D1555" s="241"/>
      <c r="E1555" s="241"/>
      <c r="F1555" s="259"/>
      <c r="G1555" s="259"/>
      <c r="H1555" s="259"/>
      <c r="I1555" s="259"/>
      <c r="J1555" s="259"/>
      <c r="K1555" s="259"/>
      <c r="L1555" s="259"/>
      <c r="M1555" s="259"/>
      <c r="N1555" s="259"/>
      <c r="O1555" s="235"/>
      <c r="P1555" s="235"/>
      <c r="Q1555" s="235"/>
    </row>
    <row r="1556" spans="2:17">
      <c r="B1556" s="241"/>
      <c r="C1556" s="241"/>
      <c r="D1556" s="241"/>
      <c r="E1556" s="241"/>
      <c r="F1556" s="259"/>
      <c r="G1556" s="259"/>
      <c r="H1556" s="259"/>
      <c r="I1556" s="259"/>
      <c r="J1556" s="259"/>
      <c r="K1556" s="259"/>
      <c r="L1556" s="259"/>
      <c r="M1556" s="259"/>
      <c r="N1556" s="259"/>
      <c r="O1556" s="235"/>
      <c r="P1556" s="235"/>
      <c r="Q1556" s="235"/>
    </row>
    <row r="1557" spans="2:17">
      <c r="B1557" s="241"/>
      <c r="C1557" s="241"/>
      <c r="D1557" s="241"/>
      <c r="E1557" s="241"/>
      <c r="F1557" s="259"/>
      <c r="G1557" s="259"/>
      <c r="H1557" s="259"/>
      <c r="I1557" s="259"/>
      <c r="J1557" s="259"/>
      <c r="K1557" s="259"/>
      <c r="L1557" s="259"/>
      <c r="M1557" s="259"/>
      <c r="N1557" s="259"/>
      <c r="O1557" s="235"/>
      <c r="P1557" s="235"/>
      <c r="Q1557" s="235"/>
    </row>
    <row r="1558" spans="2:17">
      <c r="B1558" s="241"/>
      <c r="C1558" s="241"/>
      <c r="D1558" s="241"/>
      <c r="E1558" s="241"/>
      <c r="F1558" s="259"/>
      <c r="G1558" s="259"/>
      <c r="H1558" s="259"/>
      <c r="I1558" s="259"/>
      <c r="J1558" s="259"/>
      <c r="K1558" s="259"/>
      <c r="L1558" s="259"/>
      <c r="M1558" s="259"/>
      <c r="N1558" s="259"/>
      <c r="O1558" s="235"/>
      <c r="P1558" s="235"/>
      <c r="Q1558" s="235"/>
    </row>
    <row r="1559" spans="2:17">
      <c r="B1559" s="241"/>
      <c r="C1559" s="241"/>
      <c r="D1559" s="241"/>
      <c r="E1559" s="241"/>
      <c r="F1559" s="259"/>
      <c r="G1559" s="259"/>
      <c r="H1559" s="259"/>
      <c r="I1559" s="259"/>
      <c r="J1559" s="259"/>
      <c r="K1559" s="259"/>
      <c r="L1559" s="259"/>
      <c r="M1559" s="259"/>
      <c r="N1559" s="259"/>
      <c r="O1559" s="235"/>
      <c r="P1559" s="235"/>
      <c r="Q1559" s="235"/>
    </row>
    <row r="1560" spans="2:17">
      <c r="B1560" s="241"/>
      <c r="C1560" s="241"/>
      <c r="D1560" s="241"/>
      <c r="E1560" s="241"/>
      <c r="F1560" s="259"/>
      <c r="G1560" s="259"/>
      <c r="H1560" s="259"/>
      <c r="I1560" s="259"/>
      <c r="J1560" s="259"/>
      <c r="K1560" s="259"/>
      <c r="L1560" s="259"/>
      <c r="M1560" s="259"/>
      <c r="N1560" s="259"/>
      <c r="O1560" s="235"/>
      <c r="P1560" s="235"/>
      <c r="Q1560" s="235"/>
    </row>
    <row r="1561" spans="2:17">
      <c r="B1561" s="241"/>
      <c r="C1561" s="241"/>
      <c r="D1561" s="241"/>
      <c r="E1561" s="241"/>
      <c r="F1561" s="259"/>
      <c r="G1561" s="259"/>
      <c r="H1561" s="259"/>
      <c r="I1561" s="259"/>
      <c r="J1561" s="259"/>
      <c r="K1561" s="259"/>
      <c r="L1561" s="259"/>
      <c r="M1561" s="259"/>
      <c r="N1561" s="259"/>
      <c r="O1561" s="235"/>
      <c r="P1561" s="235"/>
      <c r="Q1561" s="235"/>
    </row>
    <row r="1562" spans="2:17">
      <c r="B1562" s="241"/>
      <c r="C1562" s="241"/>
      <c r="D1562" s="241"/>
      <c r="E1562" s="241"/>
      <c r="F1562" s="259"/>
      <c r="G1562" s="259"/>
      <c r="H1562" s="259"/>
      <c r="I1562" s="259"/>
      <c r="J1562" s="259"/>
      <c r="K1562" s="259"/>
      <c r="L1562" s="259"/>
      <c r="M1562" s="259"/>
      <c r="N1562" s="259"/>
      <c r="O1562" s="235"/>
      <c r="P1562" s="235"/>
      <c r="Q1562" s="235"/>
    </row>
    <row r="1563" spans="2:17">
      <c r="B1563" s="241"/>
      <c r="C1563" s="241"/>
      <c r="D1563" s="241"/>
      <c r="E1563" s="241"/>
      <c r="F1563" s="259"/>
      <c r="G1563" s="259"/>
      <c r="H1563" s="259"/>
      <c r="I1563" s="259"/>
      <c r="J1563" s="259"/>
      <c r="K1563" s="259"/>
      <c r="L1563" s="259"/>
      <c r="M1563" s="259"/>
      <c r="N1563" s="259"/>
      <c r="O1563" s="235"/>
      <c r="P1563" s="235"/>
      <c r="Q1563" s="235"/>
    </row>
    <row r="1564" spans="2:17">
      <c r="B1564" s="241"/>
      <c r="C1564" s="241"/>
      <c r="D1564" s="241"/>
      <c r="E1564" s="241"/>
      <c r="F1564" s="259"/>
      <c r="G1564" s="259"/>
      <c r="H1564" s="259"/>
      <c r="I1564" s="259"/>
      <c r="J1564" s="259"/>
      <c r="K1564" s="259"/>
      <c r="L1564" s="259"/>
      <c r="M1564" s="259"/>
      <c r="N1564" s="259"/>
      <c r="O1564" s="235"/>
      <c r="P1564" s="235"/>
      <c r="Q1564" s="235"/>
    </row>
    <row r="1565" spans="2:17">
      <c r="B1565" s="241"/>
      <c r="C1565" s="241"/>
      <c r="D1565" s="241"/>
      <c r="E1565" s="241"/>
      <c r="F1565" s="259"/>
      <c r="G1565" s="259"/>
      <c r="H1565" s="259"/>
      <c r="I1565" s="259"/>
      <c r="J1565" s="259"/>
      <c r="K1565" s="259"/>
      <c r="L1565" s="259"/>
      <c r="M1565" s="259"/>
      <c r="N1565" s="259"/>
      <c r="O1565" s="235"/>
      <c r="P1565" s="235"/>
      <c r="Q1565" s="235"/>
    </row>
    <row r="1566" spans="2:17">
      <c r="B1566" s="241"/>
      <c r="C1566" s="241"/>
      <c r="D1566" s="241"/>
      <c r="E1566" s="241"/>
      <c r="F1566" s="259"/>
      <c r="G1566" s="259"/>
      <c r="H1566" s="259"/>
      <c r="I1566" s="259"/>
      <c r="J1566" s="259"/>
      <c r="K1566" s="259"/>
      <c r="L1566" s="259"/>
      <c r="M1566" s="259"/>
      <c r="N1566" s="259"/>
      <c r="O1566" s="235"/>
      <c r="P1566" s="235"/>
      <c r="Q1566" s="235"/>
    </row>
    <row r="1567" spans="2:17">
      <c r="B1567" s="241"/>
      <c r="C1567" s="241"/>
      <c r="D1567" s="241"/>
      <c r="E1567" s="241"/>
      <c r="F1567" s="259"/>
      <c r="G1567" s="259"/>
      <c r="H1567" s="259"/>
      <c r="I1567" s="259"/>
      <c r="J1567" s="259"/>
      <c r="K1567" s="259"/>
      <c r="L1567" s="259"/>
      <c r="M1567" s="259"/>
      <c r="N1567" s="259"/>
      <c r="O1567" s="235"/>
      <c r="P1567" s="235"/>
      <c r="Q1567" s="235"/>
    </row>
    <row r="1568" spans="2:17">
      <c r="B1568" s="241"/>
      <c r="C1568" s="241"/>
      <c r="D1568" s="241"/>
      <c r="E1568" s="241"/>
      <c r="F1568" s="259"/>
      <c r="G1568" s="259"/>
      <c r="H1568" s="259"/>
      <c r="I1568" s="259"/>
      <c r="J1568" s="259"/>
      <c r="K1568" s="259"/>
      <c r="L1568" s="259"/>
      <c r="M1568" s="259"/>
      <c r="N1568" s="259"/>
      <c r="O1568" s="235"/>
      <c r="P1568" s="235"/>
      <c r="Q1568" s="235"/>
    </row>
    <row r="1569" spans="2:17">
      <c r="B1569" s="241"/>
      <c r="C1569" s="241"/>
      <c r="D1569" s="241"/>
      <c r="E1569" s="241"/>
      <c r="F1569" s="259"/>
      <c r="G1569" s="259"/>
      <c r="H1569" s="259"/>
      <c r="I1569" s="259"/>
      <c r="J1569" s="259"/>
      <c r="K1569" s="259"/>
      <c r="L1569" s="259"/>
      <c r="M1569" s="259"/>
      <c r="N1569" s="259"/>
      <c r="O1569" s="235"/>
      <c r="P1569" s="235"/>
      <c r="Q1569" s="235"/>
    </row>
    <row r="1570" spans="2:17">
      <c r="B1570" s="241"/>
      <c r="C1570" s="241"/>
      <c r="D1570" s="241"/>
      <c r="E1570" s="241"/>
      <c r="F1570" s="259"/>
      <c r="G1570" s="259"/>
      <c r="H1570" s="259"/>
      <c r="I1570" s="259"/>
      <c r="J1570" s="259"/>
      <c r="K1570" s="259"/>
      <c r="L1570" s="259"/>
      <c r="M1570" s="259"/>
      <c r="N1570" s="259"/>
      <c r="O1570" s="235"/>
      <c r="P1570" s="235"/>
      <c r="Q1570" s="235"/>
    </row>
    <row r="1571" spans="2:17">
      <c r="B1571" s="241"/>
      <c r="C1571" s="241"/>
      <c r="D1571" s="241"/>
      <c r="E1571" s="241"/>
      <c r="F1571" s="259"/>
      <c r="G1571" s="259"/>
      <c r="H1571" s="259"/>
      <c r="I1571" s="259"/>
      <c r="J1571" s="259"/>
      <c r="K1571" s="259"/>
      <c r="L1571" s="259"/>
      <c r="M1571" s="259"/>
      <c r="N1571" s="259"/>
      <c r="O1571" s="235"/>
      <c r="P1571" s="235"/>
      <c r="Q1571" s="235"/>
    </row>
    <row r="1572" spans="2:17">
      <c r="B1572" s="241"/>
      <c r="C1572" s="241"/>
      <c r="D1572" s="241"/>
      <c r="E1572" s="241"/>
      <c r="F1572" s="259"/>
      <c r="G1572" s="259"/>
      <c r="H1572" s="259"/>
      <c r="I1572" s="259"/>
      <c r="J1572" s="259"/>
      <c r="K1572" s="259"/>
      <c r="L1572" s="259"/>
      <c r="M1572" s="259"/>
      <c r="N1572" s="259"/>
      <c r="O1572" s="235"/>
      <c r="P1572" s="235"/>
      <c r="Q1572" s="235"/>
    </row>
    <row r="1573" spans="2:17">
      <c r="B1573" s="241"/>
      <c r="C1573" s="241"/>
      <c r="D1573" s="241"/>
      <c r="E1573" s="241"/>
      <c r="F1573" s="259"/>
      <c r="G1573" s="259"/>
      <c r="H1573" s="259"/>
      <c r="I1573" s="259"/>
      <c r="J1573" s="259"/>
      <c r="K1573" s="259"/>
      <c r="L1573" s="259"/>
      <c r="M1573" s="259"/>
      <c r="N1573" s="259"/>
      <c r="O1573" s="235"/>
      <c r="P1573" s="235"/>
      <c r="Q1573" s="235"/>
    </row>
    <row r="1574" spans="2:17">
      <c r="B1574" s="241"/>
      <c r="C1574" s="241"/>
      <c r="D1574" s="241"/>
      <c r="E1574" s="241"/>
      <c r="F1574" s="259"/>
      <c r="G1574" s="259"/>
      <c r="H1574" s="259"/>
      <c r="I1574" s="259"/>
      <c r="J1574" s="259"/>
      <c r="K1574" s="259"/>
      <c r="L1574" s="259"/>
      <c r="M1574" s="259"/>
      <c r="N1574" s="259"/>
      <c r="O1574" s="235"/>
      <c r="P1574" s="235"/>
      <c r="Q1574" s="235"/>
    </row>
    <row r="1575" spans="2:17">
      <c r="B1575" s="241"/>
      <c r="C1575" s="241"/>
      <c r="D1575" s="241"/>
      <c r="E1575" s="241"/>
      <c r="F1575" s="259"/>
      <c r="G1575" s="259"/>
      <c r="H1575" s="259"/>
      <c r="I1575" s="259"/>
      <c r="J1575" s="259"/>
      <c r="K1575" s="259"/>
      <c r="L1575" s="259"/>
      <c r="M1575" s="259"/>
      <c r="N1575" s="259"/>
      <c r="O1575" s="235"/>
      <c r="P1575" s="235"/>
      <c r="Q1575" s="235"/>
    </row>
    <row r="1576" spans="2:17">
      <c r="B1576" s="241"/>
      <c r="C1576" s="241"/>
      <c r="D1576" s="241"/>
      <c r="E1576" s="241"/>
      <c r="F1576" s="259"/>
      <c r="G1576" s="259"/>
      <c r="H1576" s="259"/>
      <c r="I1576" s="259"/>
      <c r="J1576" s="259"/>
      <c r="K1576" s="259"/>
      <c r="L1576" s="259"/>
      <c r="M1576" s="259"/>
      <c r="N1576" s="259"/>
      <c r="O1576" s="235"/>
      <c r="P1576" s="235"/>
      <c r="Q1576" s="235"/>
    </row>
    <row r="1577" spans="2:17">
      <c r="B1577" s="241"/>
      <c r="C1577" s="241"/>
      <c r="D1577" s="241"/>
      <c r="E1577" s="241"/>
      <c r="F1577" s="259"/>
      <c r="G1577" s="259"/>
      <c r="H1577" s="259"/>
      <c r="I1577" s="259"/>
      <c r="J1577" s="259"/>
      <c r="K1577" s="259"/>
      <c r="L1577" s="259"/>
      <c r="M1577" s="259"/>
      <c r="N1577" s="259"/>
      <c r="O1577" s="235"/>
      <c r="P1577" s="235"/>
      <c r="Q1577" s="235"/>
    </row>
    <row r="1578" spans="2:17">
      <c r="B1578" s="241"/>
      <c r="C1578" s="241"/>
      <c r="D1578" s="241"/>
      <c r="E1578" s="241"/>
      <c r="F1578" s="259"/>
      <c r="G1578" s="259"/>
      <c r="H1578" s="259"/>
      <c r="I1578" s="259"/>
      <c r="J1578" s="259"/>
      <c r="K1578" s="259"/>
      <c r="L1578" s="259"/>
      <c r="M1578" s="259"/>
      <c r="N1578" s="259"/>
      <c r="O1578" s="235"/>
      <c r="P1578" s="235"/>
      <c r="Q1578" s="235"/>
    </row>
    <row r="1579" spans="2:17">
      <c r="B1579" s="241"/>
      <c r="C1579" s="241"/>
      <c r="D1579" s="241"/>
      <c r="E1579" s="241"/>
      <c r="F1579" s="259"/>
      <c r="G1579" s="259"/>
      <c r="H1579" s="259"/>
      <c r="I1579" s="259"/>
      <c r="J1579" s="259"/>
      <c r="K1579" s="259"/>
      <c r="L1579" s="259"/>
      <c r="M1579" s="259"/>
      <c r="N1579" s="259"/>
      <c r="O1579" s="235"/>
      <c r="P1579" s="235"/>
      <c r="Q1579" s="235"/>
    </row>
    <row r="1580" spans="2:17">
      <c r="B1580" s="241"/>
      <c r="C1580" s="241"/>
      <c r="D1580" s="241"/>
      <c r="E1580" s="241"/>
      <c r="F1580" s="259"/>
      <c r="G1580" s="259"/>
      <c r="H1580" s="259"/>
      <c r="I1580" s="259"/>
      <c r="J1580" s="259"/>
      <c r="K1580" s="259"/>
      <c r="L1580" s="259"/>
      <c r="M1580" s="259"/>
      <c r="N1580" s="259"/>
      <c r="O1580" s="235"/>
      <c r="P1580" s="235"/>
      <c r="Q1580" s="235"/>
    </row>
    <row r="1581" spans="2:17">
      <c r="B1581" s="241"/>
      <c r="C1581" s="241"/>
      <c r="D1581" s="241"/>
      <c r="E1581" s="241"/>
      <c r="F1581" s="259"/>
      <c r="G1581" s="259"/>
      <c r="H1581" s="259"/>
      <c r="I1581" s="259"/>
      <c r="J1581" s="259"/>
      <c r="K1581" s="259"/>
      <c r="L1581" s="259"/>
      <c r="M1581" s="259"/>
      <c r="N1581" s="259"/>
      <c r="O1581" s="235"/>
      <c r="P1581" s="235"/>
      <c r="Q1581" s="235"/>
    </row>
    <row r="1582" spans="2:17">
      <c r="B1582" s="241"/>
      <c r="C1582" s="241"/>
      <c r="D1582" s="241"/>
      <c r="E1582" s="241"/>
      <c r="F1582" s="259"/>
      <c r="G1582" s="259"/>
      <c r="H1582" s="259"/>
      <c r="I1582" s="259"/>
      <c r="J1582" s="259"/>
      <c r="K1582" s="259"/>
      <c r="L1582" s="259"/>
      <c r="M1582" s="259"/>
      <c r="N1582" s="259"/>
      <c r="O1582" s="235"/>
      <c r="P1582" s="235"/>
      <c r="Q1582" s="235"/>
    </row>
    <row r="1583" spans="2:17">
      <c r="B1583" s="241"/>
      <c r="C1583" s="241"/>
      <c r="D1583" s="241"/>
      <c r="E1583" s="241"/>
      <c r="F1583" s="259"/>
      <c r="G1583" s="259"/>
      <c r="H1583" s="259"/>
      <c r="I1583" s="259"/>
      <c r="J1583" s="259"/>
      <c r="K1583" s="259"/>
      <c r="L1583" s="259"/>
      <c r="M1583" s="259"/>
      <c r="N1583" s="259"/>
      <c r="O1583" s="235"/>
      <c r="P1583" s="235"/>
      <c r="Q1583" s="235"/>
    </row>
    <row r="1584" spans="2:17">
      <c r="B1584" s="241"/>
      <c r="C1584" s="241"/>
      <c r="D1584" s="241"/>
      <c r="E1584" s="241"/>
      <c r="F1584" s="259"/>
      <c r="G1584" s="259"/>
      <c r="H1584" s="259"/>
      <c r="I1584" s="259"/>
      <c r="J1584" s="259"/>
      <c r="K1584" s="259"/>
      <c r="L1584" s="259"/>
      <c r="M1584" s="259"/>
      <c r="N1584" s="259"/>
      <c r="O1584" s="235"/>
      <c r="P1584" s="235"/>
      <c r="Q1584" s="235"/>
    </row>
    <row r="1585" spans="2:17">
      <c r="B1585" s="241"/>
      <c r="C1585" s="241"/>
      <c r="D1585" s="241"/>
      <c r="E1585" s="241"/>
      <c r="F1585" s="259"/>
      <c r="G1585" s="259"/>
      <c r="H1585" s="259"/>
      <c r="I1585" s="259"/>
      <c r="J1585" s="259"/>
      <c r="K1585" s="259"/>
      <c r="L1585" s="259"/>
      <c r="M1585" s="259"/>
      <c r="N1585" s="259"/>
      <c r="O1585" s="235"/>
      <c r="P1585" s="235"/>
      <c r="Q1585" s="235"/>
    </row>
    <row r="1586" spans="2:17">
      <c r="B1586" s="241"/>
      <c r="C1586" s="241"/>
      <c r="D1586" s="241"/>
      <c r="E1586" s="241"/>
      <c r="F1586" s="259"/>
      <c r="G1586" s="259"/>
      <c r="H1586" s="259"/>
      <c r="I1586" s="259"/>
      <c r="J1586" s="259"/>
      <c r="K1586" s="259"/>
      <c r="L1586" s="259"/>
      <c r="M1586" s="259"/>
      <c r="N1586" s="259"/>
      <c r="O1586" s="235"/>
      <c r="P1586" s="235"/>
      <c r="Q1586" s="235"/>
    </row>
    <row r="1587" spans="2:17">
      <c r="B1587" s="241"/>
      <c r="C1587" s="241"/>
      <c r="D1587" s="241"/>
      <c r="E1587" s="241"/>
      <c r="F1587" s="259"/>
      <c r="G1587" s="259"/>
      <c r="H1587" s="259"/>
      <c r="I1587" s="259"/>
      <c r="J1587" s="259"/>
      <c r="K1587" s="259"/>
      <c r="L1587" s="259"/>
      <c r="M1587" s="259"/>
      <c r="N1587" s="259"/>
      <c r="O1587" s="235"/>
      <c r="P1587" s="235"/>
      <c r="Q1587" s="235"/>
    </row>
    <row r="1588" spans="2:17">
      <c r="B1588" s="241"/>
      <c r="C1588" s="241"/>
      <c r="D1588" s="241"/>
      <c r="E1588" s="241"/>
      <c r="F1588" s="259"/>
      <c r="G1588" s="259"/>
      <c r="H1588" s="259"/>
      <c r="I1588" s="259"/>
      <c r="J1588" s="259"/>
      <c r="K1588" s="259"/>
      <c r="L1588" s="259"/>
      <c r="M1588" s="259"/>
      <c r="N1588" s="259"/>
      <c r="O1588" s="235"/>
      <c r="P1588" s="235"/>
      <c r="Q1588" s="235"/>
    </row>
    <row r="1589" spans="2:17">
      <c r="B1589" s="241"/>
      <c r="C1589" s="241"/>
      <c r="D1589" s="241"/>
      <c r="E1589" s="241"/>
      <c r="F1589" s="259"/>
      <c r="G1589" s="259"/>
      <c r="H1589" s="259"/>
      <c r="I1589" s="259"/>
      <c r="J1589" s="259"/>
      <c r="K1589" s="259"/>
      <c r="L1589" s="259"/>
      <c r="M1589" s="259"/>
      <c r="N1589" s="259"/>
      <c r="O1589" s="235"/>
      <c r="P1589" s="235"/>
      <c r="Q1589" s="235"/>
    </row>
    <row r="1590" spans="2:17">
      <c r="B1590" s="241"/>
      <c r="C1590" s="241"/>
      <c r="D1590" s="241"/>
      <c r="E1590" s="241"/>
      <c r="F1590" s="259"/>
      <c r="G1590" s="259"/>
      <c r="H1590" s="259"/>
      <c r="I1590" s="259"/>
      <c r="J1590" s="259"/>
      <c r="K1590" s="259"/>
      <c r="L1590" s="259"/>
      <c r="M1590" s="259"/>
      <c r="N1590" s="259"/>
      <c r="O1590" s="235"/>
      <c r="P1590" s="235"/>
      <c r="Q1590" s="235"/>
    </row>
    <row r="1591" spans="2:17">
      <c r="B1591" s="241"/>
      <c r="C1591" s="241"/>
      <c r="D1591" s="241"/>
      <c r="E1591" s="241"/>
      <c r="F1591" s="259"/>
      <c r="G1591" s="259"/>
      <c r="H1591" s="259"/>
      <c r="I1591" s="259"/>
      <c r="J1591" s="259"/>
      <c r="K1591" s="259"/>
      <c r="L1591" s="259"/>
      <c r="M1591" s="259"/>
      <c r="N1591" s="259"/>
      <c r="O1591" s="235"/>
      <c r="P1591" s="235"/>
      <c r="Q1591" s="235"/>
    </row>
    <row r="1592" spans="2:17">
      <c r="B1592" s="241"/>
      <c r="C1592" s="241"/>
      <c r="D1592" s="241"/>
      <c r="E1592" s="241"/>
      <c r="F1592" s="259"/>
      <c r="G1592" s="259"/>
      <c r="H1592" s="259"/>
      <c r="I1592" s="259"/>
      <c r="J1592" s="259"/>
      <c r="K1592" s="259"/>
      <c r="L1592" s="259"/>
      <c r="M1592" s="259"/>
      <c r="N1592" s="259"/>
      <c r="O1592" s="235"/>
      <c r="P1592" s="235"/>
      <c r="Q1592" s="235"/>
    </row>
    <row r="1593" spans="2:17">
      <c r="B1593" s="241"/>
      <c r="C1593" s="241"/>
      <c r="D1593" s="241"/>
      <c r="E1593" s="241"/>
      <c r="F1593" s="259"/>
      <c r="G1593" s="259"/>
      <c r="H1593" s="259"/>
      <c r="I1593" s="259"/>
      <c r="J1593" s="259"/>
      <c r="K1593" s="259"/>
      <c r="L1593" s="259"/>
      <c r="M1593" s="259"/>
      <c r="N1593" s="259"/>
      <c r="O1593" s="235"/>
      <c r="P1593" s="235"/>
      <c r="Q1593" s="235"/>
    </row>
    <row r="1594" spans="2:17">
      <c r="B1594" s="241"/>
      <c r="C1594" s="241"/>
      <c r="D1594" s="241"/>
      <c r="E1594" s="241"/>
      <c r="F1594" s="259"/>
      <c r="G1594" s="259"/>
      <c r="H1594" s="259"/>
      <c r="I1594" s="259"/>
      <c r="J1594" s="259"/>
      <c r="K1594" s="259"/>
      <c r="L1594" s="259"/>
      <c r="M1594" s="259"/>
      <c r="N1594" s="259"/>
      <c r="O1594" s="235"/>
      <c r="P1594" s="235"/>
      <c r="Q1594" s="235"/>
    </row>
    <row r="1595" spans="2:17">
      <c r="B1595" s="241"/>
      <c r="C1595" s="241"/>
      <c r="D1595" s="241"/>
      <c r="E1595" s="241"/>
      <c r="F1595" s="259"/>
      <c r="G1595" s="259"/>
      <c r="H1595" s="259"/>
      <c r="I1595" s="259"/>
      <c r="J1595" s="259"/>
      <c r="K1595" s="259"/>
      <c r="L1595" s="259"/>
      <c r="M1595" s="259"/>
      <c r="N1595" s="259"/>
      <c r="O1595" s="235"/>
      <c r="P1595" s="235"/>
      <c r="Q1595" s="235"/>
    </row>
    <row r="1596" spans="2:17">
      <c r="B1596" s="241"/>
      <c r="C1596" s="241"/>
      <c r="D1596" s="241"/>
      <c r="E1596" s="241"/>
      <c r="F1596" s="259"/>
      <c r="G1596" s="259"/>
      <c r="H1596" s="259"/>
      <c r="I1596" s="259"/>
      <c r="J1596" s="259"/>
      <c r="K1596" s="259"/>
      <c r="L1596" s="259"/>
      <c r="M1596" s="259"/>
      <c r="N1596" s="259"/>
      <c r="O1596" s="235"/>
      <c r="P1596" s="235"/>
      <c r="Q1596" s="235"/>
    </row>
    <row r="1597" spans="2:17">
      <c r="B1597" s="241"/>
      <c r="C1597" s="241"/>
      <c r="D1597" s="241"/>
      <c r="E1597" s="241"/>
      <c r="F1597" s="259"/>
      <c r="G1597" s="259"/>
      <c r="H1597" s="259"/>
      <c r="I1597" s="259"/>
      <c r="J1597" s="259"/>
      <c r="K1597" s="259"/>
      <c r="L1597" s="259"/>
      <c r="M1597" s="259"/>
      <c r="N1597" s="259"/>
      <c r="O1597" s="235"/>
      <c r="P1597" s="235"/>
      <c r="Q1597" s="235"/>
    </row>
    <row r="1598" spans="2:17">
      <c r="B1598" s="241"/>
      <c r="C1598" s="241"/>
      <c r="D1598" s="241"/>
      <c r="E1598" s="241"/>
      <c r="F1598" s="259"/>
      <c r="G1598" s="259"/>
      <c r="H1598" s="259"/>
      <c r="I1598" s="259"/>
      <c r="J1598" s="259"/>
      <c r="K1598" s="259"/>
      <c r="L1598" s="259"/>
      <c r="M1598" s="259"/>
      <c r="N1598" s="259"/>
      <c r="O1598" s="235"/>
      <c r="P1598" s="235"/>
      <c r="Q1598" s="235"/>
    </row>
    <row r="1599" spans="2:17">
      <c r="B1599" s="241"/>
      <c r="C1599" s="241"/>
      <c r="D1599" s="241"/>
      <c r="E1599" s="241"/>
      <c r="F1599" s="259"/>
      <c r="G1599" s="259"/>
      <c r="H1599" s="259"/>
      <c r="I1599" s="259"/>
      <c r="J1599" s="259"/>
      <c r="K1599" s="259"/>
      <c r="L1599" s="259"/>
      <c r="M1599" s="259"/>
      <c r="N1599" s="259"/>
      <c r="O1599" s="235"/>
      <c r="P1599" s="235"/>
      <c r="Q1599" s="235"/>
    </row>
    <row r="1600" spans="2:17">
      <c r="B1600" s="241"/>
      <c r="C1600" s="241"/>
      <c r="D1600" s="241"/>
      <c r="E1600" s="241"/>
      <c r="F1600" s="259"/>
      <c r="G1600" s="259"/>
      <c r="H1600" s="259"/>
      <c r="I1600" s="259"/>
      <c r="J1600" s="259"/>
      <c r="K1600" s="259"/>
      <c r="L1600" s="259"/>
      <c r="M1600" s="259"/>
      <c r="N1600" s="259"/>
      <c r="O1600" s="235"/>
      <c r="P1600" s="235"/>
      <c r="Q1600" s="235"/>
    </row>
    <row r="1601" spans="2:17">
      <c r="B1601" s="241"/>
      <c r="C1601" s="241"/>
      <c r="D1601" s="241"/>
      <c r="E1601" s="241"/>
      <c r="F1601" s="259"/>
      <c r="G1601" s="259"/>
      <c r="H1601" s="259"/>
      <c r="I1601" s="259"/>
      <c r="J1601" s="259"/>
      <c r="K1601" s="259"/>
      <c r="L1601" s="259"/>
      <c r="M1601" s="259"/>
      <c r="N1601" s="259"/>
      <c r="O1601" s="235"/>
      <c r="P1601" s="235"/>
      <c r="Q1601" s="235"/>
    </row>
    <row r="1602" spans="2:17">
      <c r="B1602" s="241"/>
      <c r="C1602" s="241"/>
      <c r="D1602" s="241"/>
      <c r="E1602" s="241"/>
      <c r="F1602" s="259"/>
      <c r="G1602" s="259"/>
      <c r="H1602" s="259"/>
      <c r="I1602" s="259"/>
      <c r="J1602" s="259"/>
      <c r="K1602" s="259"/>
      <c r="L1602" s="259"/>
      <c r="M1602" s="259"/>
      <c r="N1602" s="259"/>
      <c r="O1602" s="235"/>
      <c r="P1602" s="235"/>
      <c r="Q1602" s="235"/>
    </row>
    <row r="1603" spans="2:17">
      <c r="B1603" s="241"/>
      <c r="C1603" s="241"/>
      <c r="D1603" s="241"/>
      <c r="E1603" s="241"/>
      <c r="F1603" s="259"/>
      <c r="G1603" s="259"/>
      <c r="H1603" s="259"/>
      <c r="I1603" s="259"/>
      <c r="J1603" s="259"/>
      <c r="K1603" s="259"/>
      <c r="L1603" s="259"/>
      <c r="M1603" s="259"/>
      <c r="N1603" s="259"/>
      <c r="O1603" s="235"/>
      <c r="P1603" s="235"/>
      <c r="Q1603" s="235"/>
    </row>
    <row r="1604" spans="2:17">
      <c r="B1604" s="241"/>
      <c r="C1604" s="241"/>
      <c r="D1604" s="241"/>
      <c r="E1604" s="241"/>
      <c r="F1604" s="259"/>
      <c r="G1604" s="259"/>
      <c r="H1604" s="259"/>
      <c r="I1604" s="259"/>
      <c r="J1604" s="259"/>
      <c r="K1604" s="259"/>
      <c r="L1604" s="259"/>
      <c r="M1604" s="259"/>
      <c r="N1604" s="259"/>
      <c r="O1604" s="235"/>
      <c r="P1604" s="235"/>
      <c r="Q1604" s="235"/>
    </row>
    <row r="1605" spans="2:17">
      <c r="B1605" s="241"/>
      <c r="C1605" s="241"/>
      <c r="D1605" s="241"/>
      <c r="E1605" s="241"/>
      <c r="F1605" s="259"/>
      <c r="G1605" s="259"/>
      <c r="H1605" s="259"/>
      <c r="I1605" s="259"/>
      <c r="J1605" s="259"/>
      <c r="K1605" s="259"/>
      <c r="L1605" s="259"/>
      <c r="M1605" s="259"/>
      <c r="N1605" s="259"/>
      <c r="O1605" s="235"/>
      <c r="P1605" s="235"/>
      <c r="Q1605" s="235"/>
    </row>
    <row r="1606" spans="2:17">
      <c r="B1606" s="241"/>
      <c r="C1606" s="241"/>
      <c r="D1606" s="241"/>
      <c r="E1606" s="241"/>
      <c r="F1606" s="259"/>
      <c r="G1606" s="259"/>
      <c r="H1606" s="259"/>
      <c r="I1606" s="259"/>
      <c r="J1606" s="259"/>
      <c r="K1606" s="259"/>
      <c r="L1606" s="259"/>
      <c r="M1606" s="259"/>
      <c r="N1606" s="259"/>
      <c r="O1606" s="235"/>
      <c r="P1606" s="235"/>
      <c r="Q1606" s="235"/>
    </row>
    <row r="1607" spans="2:17">
      <c r="B1607" s="241"/>
      <c r="C1607" s="241"/>
      <c r="D1607" s="241"/>
      <c r="E1607" s="241"/>
      <c r="F1607" s="259"/>
      <c r="G1607" s="259"/>
      <c r="H1607" s="259"/>
      <c r="I1607" s="259"/>
      <c r="J1607" s="259"/>
      <c r="K1607" s="259"/>
      <c r="L1607" s="259"/>
      <c r="M1607" s="259"/>
      <c r="N1607" s="259"/>
      <c r="O1607" s="235"/>
      <c r="P1607" s="235"/>
      <c r="Q1607" s="235"/>
    </row>
    <row r="1608" spans="2:17">
      <c r="B1608" s="241"/>
      <c r="C1608" s="241"/>
      <c r="D1608" s="241"/>
      <c r="E1608" s="241"/>
      <c r="F1608" s="259"/>
      <c r="G1608" s="259"/>
      <c r="H1608" s="259"/>
      <c r="I1608" s="259"/>
      <c r="J1608" s="259"/>
      <c r="K1608" s="259"/>
      <c r="L1608" s="259"/>
      <c r="M1608" s="259"/>
      <c r="N1608" s="259"/>
      <c r="O1608" s="235"/>
      <c r="P1608" s="235"/>
      <c r="Q1608" s="235"/>
    </row>
    <row r="1609" spans="2:17">
      <c r="B1609" s="241"/>
      <c r="C1609" s="241"/>
      <c r="D1609" s="241"/>
      <c r="E1609" s="241"/>
      <c r="F1609" s="259"/>
      <c r="G1609" s="259"/>
      <c r="H1609" s="259"/>
      <c r="I1609" s="259"/>
      <c r="J1609" s="259"/>
      <c r="K1609" s="259"/>
      <c r="L1609" s="259"/>
      <c r="M1609" s="259"/>
      <c r="N1609" s="259"/>
      <c r="O1609" s="235"/>
      <c r="P1609" s="235"/>
      <c r="Q1609" s="235"/>
    </row>
    <row r="1610" spans="2:17">
      <c r="B1610" s="241"/>
      <c r="C1610" s="241"/>
      <c r="D1610" s="241"/>
      <c r="E1610" s="241"/>
      <c r="F1610" s="259"/>
      <c r="G1610" s="259"/>
      <c r="H1610" s="259"/>
      <c r="I1610" s="259"/>
      <c r="J1610" s="259"/>
      <c r="K1610" s="259"/>
      <c r="L1610" s="259"/>
      <c r="M1610" s="259"/>
      <c r="N1610" s="259"/>
      <c r="O1610" s="235"/>
      <c r="P1610" s="235"/>
      <c r="Q1610" s="235"/>
    </row>
    <row r="1611" spans="2:17">
      <c r="B1611" s="241"/>
      <c r="C1611" s="241"/>
      <c r="D1611" s="241"/>
      <c r="E1611" s="241"/>
      <c r="F1611" s="259"/>
      <c r="G1611" s="259"/>
      <c r="H1611" s="259"/>
      <c r="I1611" s="259"/>
      <c r="J1611" s="259"/>
      <c r="K1611" s="259"/>
      <c r="L1611" s="259"/>
      <c r="M1611" s="259"/>
      <c r="N1611" s="259"/>
      <c r="O1611" s="235"/>
      <c r="P1611" s="235"/>
      <c r="Q1611" s="235"/>
    </row>
    <row r="1612" spans="2:17">
      <c r="B1612" s="241"/>
      <c r="C1612" s="241"/>
      <c r="D1612" s="241"/>
      <c r="E1612" s="241"/>
      <c r="F1612" s="259"/>
      <c r="G1612" s="259"/>
      <c r="H1612" s="259"/>
      <c r="I1612" s="259"/>
      <c r="J1612" s="259"/>
      <c r="K1612" s="259"/>
      <c r="L1612" s="259"/>
      <c r="M1612" s="259"/>
      <c r="N1612" s="259"/>
      <c r="O1612" s="235"/>
      <c r="P1612" s="235"/>
      <c r="Q1612" s="235"/>
    </row>
    <row r="1613" spans="2:17">
      <c r="B1613" s="241"/>
      <c r="C1613" s="241"/>
      <c r="D1613" s="241"/>
      <c r="E1613" s="241"/>
      <c r="F1613" s="259"/>
      <c r="G1613" s="259"/>
      <c r="H1613" s="259"/>
      <c r="I1613" s="259"/>
      <c r="J1613" s="259"/>
      <c r="K1613" s="259"/>
      <c r="L1613" s="259"/>
      <c r="M1613" s="259"/>
      <c r="N1613" s="259"/>
      <c r="O1613" s="235"/>
      <c r="P1613" s="235"/>
      <c r="Q1613" s="235"/>
    </row>
    <row r="1614" spans="2:17">
      <c r="B1614" s="241"/>
      <c r="C1614" s="241"/>
      <c r="D1614" s="241"/>
      <c r="E1614" s="241"/>
      <c r="F1614" s="259"/>
      <c r="G1614" s="259"/>
      <c r="H1614" s="259"/>
      <c r="I1614" s="259"/>
      <c r="J1614" s="259"/>
      <c r="K1614" s="259"/>
      <c r="L1614" s="259"/>
      <c r="M1614" s="259"/>
      <c r="N1614" s="259"/>
      <c r="O1614" s="235"/>
      <c r="P1614" s="235"/>
      <c r="Q1614" s="235"/>
    </row>
    <row r="1615" spans="2:17">
      <c r="B1615" s="241"/>
      <c r="C1615" s="241"/>
      <c r="D1615" s="241"/>
      <c r="E1615" s="241"/>
      <c r="F1615" s="259"/>
      <c r="G1615" s="259"/>
      <c r="H1615" s="259"/>
      <c r="I1615" s="259"/>
      <c r="J1615" s="259"/>
      <c r="K1615" s="259"/>
      <c r="L1615" s="259"/>
      <c r="M1615" s="259"/>
      <c r="N1615" s="259"/>
      <c r="O1615" s="235"/>
      <c r="P1615" s="235"/>
      <c r="Q1615" s="235"/>
    </row>
    <row r="1616" spans="2:17">
      <c r="B1616" s="241"/>
      <c r="C1616" s="241"/>
      <c r="D1616" s="241"/>
      <c r="E1616" s="241"/>
      <c r="F1616" s="259"/>
      <c r="G1616" s="259"/>
      <c r="H1616" s="259"/>
      <c r="I1616" s="259"/>
      <c r="J1616" s="259"/>
      <c r="K1616" s="259"/>
      <c r="L1616" s="259"/>
      <c r="M1616" s="259"/>
      <c r="N1616" s="259"/>
      <c r="O1616" s="235"/>
      <c r="P1616" s="235"/>
      <c r="Q1616" s="235"/>
    </row>
    <row r="1617" spans="2:17">
      <c r="B1617" s="241"/>
      <c r="C1617" s="241"/>
      <c r="D1617" s="241"/>
      <c r="E1617" s="241"/>
      <c r="F1617" s="259"/>
      <c r="G1617" s="259"/>
      <c r="H1617" s="259"/>
      <c r="I1617" s="259"/>
      <c r="J1617" s="259"/>
      <c r="K1617" s="259"/>
      <c r="L1617" s="259"/>
      <c r="M1617" s="259"/>
      <c r="N1617" s="259"/>
      <c r="O1617" s="235"/>
      <c r="P1617" s="235"/>
      <c r="Q1617" s="235"/>
    </row>
    <row r="1618" spans="2:17">
      <c r="B1618" s="241"/>
      <c r="C1618" s="241"/>
      <c r="D1618" s="241"/>
      <c r="E1618" s="241"/>
      <c r="F1618" s="259"/>
      <c r="G1618" s="259"/>
      <c r="H1618" s="259"/>
      <c r="I1618" s="259"/>
      <c r="J1618" s="259"/>
      <c r="K1618" s="259"/>
      <c r="L1618" s="259"/>
      <c r="M1618" s="259"/>
      <c r="N1618" s="259"/>
      <c r="O1618" s="235"/>
      <c r="P1618" s="235"/>
      <c r="Q1618" s="235"/>
    </row>
    <row r="1619" spans="2:17">
      <c r="B1619" s="241"/>
      <c r="C1619" s="241"/>
      <c r="D1619" s="241"/>
      <c r="E1619" s="241"/>
      <c r="F1619" s="259"/>
      <c r="G1619" s="259"/>
      <c r="H1619" s="259"/>
      <c r="I1619" s="259"/>
      <c r="J1619" s="259"/>
      <c r="K1619" s="259"/>
      <c r="L1619" s="259"/>
      <c r="M1619" s="259"/>
      <c r="N1619" s="259"/>
      <c r="O1619" s="235"/>
      <c r="P1619" s="235"/>
      <c r="Q1619" s="235"/>
    </row>
    <row r="1620" spans="2:17">
      <c r="B1620" s="241"/>
      <c r="C1620" s="241"/>
      <c r="D1620" s="241"/>
      <c r="E1620" s="241"/>
      <c r="F1620" s="259"/>
      <c r="G1620" s="259"/>
      <c r="H1620" s="259"/>
      <c r="I1620" s="259"/>
      <c r="J1620" s="259"/>
      <c r="K1620" s="259"/>
      <c r="L1620" s="259"/>
      <c r="M1620" s="259"/>
      <c r="N1620" s="259"/>
      <c r="O1620" s="235"/>
      <c r="P1620" s="235"/>
      <c r="Q1620" s="235"/>
    </row>
    <row r="1621" spans="2:17">
      <c r="B1621" s="241"/>
      <c r="C1621" s="241"/>
      <c r="D1621" s="241"/>
      <c r="E1621" s="241"/>
      <c r="F1621" s="259"/>
      <c r="G1621" s="259"/>
      <c r="H1621" s="259"/>
      <c r="I1621" s="259"/>
      <c r="J1621" s="259"/>
      <c r="K1621" s="259"/>
      <c r="L1621" s="259"/>
      <c r="M1621" s="259"/>
      <c r="N1621" s="259"/>
      <c r="O1621" s="235"/>
      <c r="P1621" s="235"/>
      <c r="Q1621" s="235"/>
    </row>
    <row r="1622" spans="2:17">
      <c r="B1622" s="241"/>
      <c r="C1622" s="241"/>
      <c r="D1622" s="241"/>
      <c r="E1622" s="241"/>
      <c r="F1622" s="259"/>
      <c r="G1622" s="259"/>
      <c r="H1622" s="259"/>
      <c r="I1622" s="259"/>
      <c r="J1622" s="259"/>
      <c r="K1622" s="259"/>
      <c r="L1622" s="259"/>
      <c r="M1622" s="259"/>
      <c r="N1622" s="259"/>
      <c r="O1622" s="235"/>
      <c r="P1622" s="235"/>
      <c r="Q1622" s="235"/>
    </row>
    <row r="1623" spans="2:17">
      <c r="B1623" s="241"/>
      <c r="C1623" s="241"/>
      <c r="D1623" s="241"/>
      <c r="E1623" s="241"/>
      <c r="F1623" s="259"/>
      <c r="G1623" s="259"/>
      <c r="H1623" s="259"/>
      <c r="I1623" s="259"/>
      <c r="J1623" s="259"/>
      <c r="K1623" s="259"/>
      <c r="L1623" s="259"/>
      <c r="M1623" s="259"/>
      <c r="N1623" s="259"/>
      <c r="O1623" s="235"/>
      <c r="P1623" s="235"/>
      <c r="Q1623" s="235"/>
    </row>
    <row r="1624" spans="2:17">
      <c r="B1624" s="241"/>
      <c r="C1624" s="241"/>
      <c r="D1624" s="241"/>
      <c r="E1624" s="241"/>
      <c r="F1624" s="259"/>
      <c r="G1624" s="259"/>
      <c r="H1624" s="259"/>
      <c r="I1624" s="259"/>
      <c r="J1624" s="259"/>
      <c r="K1624" s="259"/>
      <c r="L1624" s="259"/>
      <c r="M1624" s="259"/>
      <c r="N1624" s="259"/>
      <c r="O1624" s="235"/>
      <c r="P1624" s="235"/>
      <c r="Q1624" s="235"/>
    </row>
    <row r="1625" spans="2:17">
      <c r="B1625" s="241"/>
      <c r="C1625" s="241"/>
      <c r="D1625" s="241"/>
      <c r="E1625" s="241"/>
      <c r="F1625" s="259"/>
      <c r="G1625" s="259"/>
      <c r="H1625" s="259"/>
      <c r="I1625" s="259"/>
      <c r="J1625" s="259"/>
      <c r="K1625" s="259"/>
      <c r="L1625" s="259"/>
      <c r="M1625" s="259"/>
      <c r="N1625" s="259"/>
      <c r="O1625" s="235"/>
      <c r="P1625" s="235"/>
      <c r="Q1625" s="235"/>
    </row>
    <row r="1626" spans="2:17">
      <c r="B1626" s="241"/>
      <c r="C1626" s="241"/>
      <c r="D1626" s="241"/>
      <c r="E1626" s="241"/>
      <c r="F1626" s="259"/>
      <c r="G1626" s="259"/>
      <c r="H1626" s="259"/>
      <c r="I1626" s="259"/>
      <c r="J1626" s="259"/>
      <c r="K1626" s="259"/>
      <c r="L1626" s="259"/>
      <c r="M1626" s="259"/>
      <c r="N1626" s="259"/>
      <c r="O1626" s="235"/>
      <c r="P1626" s="235"/>
      <c r="Q1626" s="235"/>
    </row>
    <row r="1627" spans="2:17">
      <c r="B1627" s="241"/>
      <c r="C1627" s="241"/>
      <c r="D1627" s="241"/>
      <c r="E1627" s="241"/>
      <c r="F1627" s="259"/>
      <c r="G1627" s="259"/>
      <c r="H1627" s="259"/>
      <c r="I1627" s="259"/>
      <c r="J1627" s="259"/>
      <c r="K1627" s="259"/>
      <c r="L1627" s="259"/>
      <c r="M1627" s="259"/>
      <c r="N1627" s="259"/>
      <c r="O1627" s="235"/>
      <c r="P1627" s="235"/>
      <c r="Q1627" s="235"/>
    </row>
    <row r="1628" spans="2:17">
      <c r="B1628" s="241"/>
      <c r="C1628" s="241"/>
      <c r="D1628" s="241"/>
      <c r="E1628" s="241"/>
      <c r="F1628" s="259"/>
      <c r="G1628" s="259"/>
      <c r="H1628" s="259"/>
      <c r="I1628" s="259"/>
      <c r="J1628" s="259"/>
      <c r="K1628" s="259"/>
      <c r="L1628" s="259"/>
      <c r="M1628" s="259"/>
      <c r="N1628" s="259"/>
      <c r="O1628" s="235"/>
      <c r="P1628" s="235"/>
      <c r="Q1628" s="235"/>
    </row>
    <row r="1629" spans="2:17">
      <c r="B1629" s="241"/>
      <c r="C1629" s="241"/>
      <c r="D1629" s="241"/>
      <c r="E1629" s="241"/>
      <c r="F1629" s="259"/>
      <c r="G1629" s="259"/>
      <c r="H1629" s="259"/>
      <c r="I1629" s="259"/>
      <c r="J1629" s="259"/>
      <c r="K1629" s="259"/>
      <c r="L1629" s="259"/>
      <c r="M1629" s="259"/>
      <c r="N1629" s="259"/>
      <c r="O1629" s="235"/>
      <c r="P1629" s="235"/>
      <c r="Q1629" s="235"/>
    </row>
    <row r="1630" spans="2:17">
      <c r="B1630" s="241"/>
      <c r="C1630" s="241"/>
      <c r="D1630" s="241"/>
      <c r="E1630" s="241"/>
      <c r="F1630" s="259"/>
      <c r="G1630" s="259"/>
      <c r="H1630" s="259"/>
      <c r="I1630" s="259"/>
      <c r="J1630" s="259"/>
      <c r="K1630" s="259"/>
      <c r="L1630" s="259"/>
      <c r="M1630" s="259"/>
      <c r="N1630" s="259"/>
      <c r="O1630" s="235"/>
      <c r="P1630" s="235"/>
      <c r="Q1630" s="235"/>
    </row>
    <row r="1631" spans="2:17">
      <c r="B1631" s="241"/>
      <c r="C1631" s="241"/>
      <c r="D1631" s="241"/>
      <c r="E1631" s="241"/>
      <c r="F1631" s="259"/>
      <c r="G1631" s="259"/>
      <c r="H1631" s="259"/>
      <c r="I1631" s="259"/>
      <c r="J1631" s="259"/>
      <c r="K1631" s="259"/>
      <c r="L1631" s="259"/>
      <c r="M1631" s="259"/>
      <c r="N1631" s="259"/>
      <c r="O1631" s="235"/>
      <c r="P1631" s="235"/>
      <c r="Q1631" s="235"/>
    </row>
    <row r="1632" spans="2:17">
      <c r="B1632" s="241"/>
      <c r="C1632" s="241"/>
      <c r="D1632" s="241"/>
      <c r="E1632" s="241"/>
      <c r="F1632" s="259"/>
      <c r="G1632" s="259"/>
      <c r="H1632" s="259"/>
      <c r="I1632" s="259"/>
      <c r="J1632" s="259"/>
      <c r="K1632" s="259"/>
      <c r="L1632" s="259"/>
      <c r="M1632" s="259"/>
      <c r="N1632" s="259"/>
      <c r="O1632" s="235"/>
      <c r="P1632" s="235"/>
      <c r="Q1632" s="235"/>
    </row>
    <row r="1633" spans="2:17">
      <c r="B1633" s="241"/>
      <c r="C1633" s="241"/>
      <c r="D1633" s="241"/>
      <c r="E1633" s="241"/>
      <c r="F1633" s="259"/>
      <c r="G1633" s="259"/>
      <c r="H1633" s="259"/>
      <c r="I1633" s="259"/>
      <c r="J1633" s="259"/>
      <c r="K1633" s="259"/>
      <c r="L1633" s="259"/>
      <c r="M1633" s="259"/>
      <c r="N1633" s="259"/>
      <c r="O1633" s="235"/>
      <c r="P1633" s="235"/>
      <c r="Q1633" s="235"/>
    </row>
    <row r="1634" spans="2:17">
      <c r="B1634" s="241"/>
      <c r="C1634" s="241"/>
      <c r="D1634" s="241"/>
      <c r="E1634" s="241"/>
      <c r="F1634" s="259"/>
      <c r="G1634" s="259"/>
      <c r="H1634" s="259"/>
      <c r="I1634" s="259"/>
      <c r="J1634" s="259"/>
      <c r="K1634" s="259"/>
      <c r="L1634" s="259"/>
      <c r="M1634" s="259"/>
      <c r="N1634" s="259"/>
      <c r="O1634" s="235"/>
      <c r="P1634" s="235"/>
      <c r="Q1634" s="235"/>
    </row>
    <row r="1635" spans="2:17">
      <c r="B1635" s="241"/>
      <c r="C1635" s="241"/>
      <c r="D1635" s="241"/>
      <c r="E1635" s="241"/>
      <c r="F1635" s="259"/>
      <c r="G1635" s="259"/>
      <c r="H1635" s="259"/>
      <c r="I1635" s="259"/>
      <c r="J1635" s="259"/>
      <c r="K1635" s="259"/>
      <c r="L1635" s="259"/>
      <c r="M1635" s="259"/>
      <c r="N1635" s="259"/>
      <c r="O1635" s="235"/>
      <c r="P1635" s="235"/>
      <c r="Q1635" s="235"/>
    </row>
    <row r="1636" spans="2:17">
      <c r="B1636" s="241"/>
      <c r="C1636" s="241"/>
      <c r="D1636" s="241"/>
      <c r="E1636" s="241"/>
      <c r="F1636" s="259"/>
      <c r="G1636" s="259"/>
      <c r="H1636" s="259"/>
      <c r="I1636" s="259"/>
      <c r="J1636" s="259"/>
      <c r="K1636" s="259"/>
      <c r="L1636" s="259"/>
      <c r="M1636" s="259"/>
      <c r="N1636" s="259"/>
      <c r="O1636" s="235"/>
      <c r="P1636" s="235"/>
      <c r="Q1636" s="235"/>
    </row>
    <row r="1637" spans="2:17">
      <c r="B1637" s="241"/>
      <c r="C1637" s="241"/>
      <c r="D1637" s="241"/>
      <c r="E1637" s="241"/>
      <c r="F1637" s="259"/>
      <c r="G1637" s="259"/>
      <c r="H1637" s="259"/>
      <c r="I1637" s="259"/>
      <c r="J1637" s="259"/>
      <c r="K1637" s="259"/>
      <c r="L1637" s="259"/>
      <c r="M1637" s="259"/>
      <c r="N1637" s="259"/>
      <c r="O1637" s="235"/>
      <c r="P1637" s="235"/>
      <c r="Q1637" s="235"/>
    </row>
    <row r="1638" spans="2:17">
      <c r="B1638" s="241"/>
      <c r="C1638" s="241"/>
      <c r="D1638" s="241"/>
      <c r="E1638" s="241"/>
      <c r="F1638" s="259"/>
      <c r="G1638" s="259"/>
      <c r="H1638" s="259"/>
      <c r="I1638" s="259"/>
      <c r="J1638" s="259"/>
      <c r="K1638" s="259"/>
      <c r="L1638" s="259"/>
      <c r="M1638" s="259"/>
      <c r="N1638" s="259"/>
      <c r="O1638" s="235"/>
      <c r="P1638" s="235"/>
      <c r="Q1638" s="235"/>
    </row>
    <row r="1639" spans="2:17">
      <c r="B1639" s="241"/>
      <c r="C1639" s="241"/>
      <c r="D1639" s="241"/>
      <c r="E1639" s="241"/>
      <c r="F1639" s="259"/>
      <c r="G1639" s="259"/>
      <c r="H1639" s="259"/>
      <c r="I1639" s="259"/>
      <c r="J1639" s="259"/>
      <c r="K1639" s="259"/>
      <c r="L1639" s="259"/>
      <c r="M1639" s="259"/>
      <c r="N1639" s="259"/>
      <c r="O1639" s="235"/>
      <c r="P1639" s="235"/>
      <c r="Q1639" s="235"/>
    </row>
    <row r="1640" spans="2:17">
      <c r="B1640" s="241"/>
      <c r="C1640" s="241"/>
      <c r="D1640" s="241"/>
      <c r="E1640" s="241"/>
      <c r="F1640" s="259"/>
      <c r="G1640" s="259"/>
      <c r="H1640" s="259"/>
      <c r="I1640" s="259"/>
      <c r="J1640" s="259"/>
      <c r="K1640" s="259"/>
      <c r="L1640" s="259"/>
      <c r="M1640" s="259"/>
      <c r="N1640" s="259"/>
      <c r="O1640" s="235"/>
      <c r="P1640" s="235"/>
      <c r="Q1640" s="235"/>
    </row>
    <row r="1641" spans="2:17">
      <c r="B1641" s="241"/>
      <c r="C1641" s="241"/>
      <c r="D1641" s="241"/>
      <c r="E1641" s="241"/>
      <c r="F1641" s="259"/>
      <c r="G1641" s="259"/>
      <c r="H1641" s="259"/>
      <c r="I1641" s="259"/>
      <c r="J1641" s="259"/>
      <c r="K1641" s="259"/>
      <c r="L1641" s="259"/>
      <c r="M1641" s="259"/>
      <c r="N1641" s="259"/>
      <c r="O1641" s="235"/>
      <c r="P1641" s="235"/>
      <c r="Q1641" s="235"/>
    </row>
    <row r="1642" spans="2:17">
      <c r="B1642" s="241"/>
      <c r="C1642" s="241"/>
      <c r="D1642" s="241"/>
      <c r="E1642" s="241"/>
      <c r="F1642" s="259"/>
      <c r="G1642" s="259"/>
      <c r="H1642" s="259"/>
      <c r="I1642" s="259"/>
      <c r="J1642" s="259"/>
      <c r="K1642" s="259"/>
      <c r="L1642" s="259"/>
      <c r="M1642" s="259"/>
      <c r="N1642" s="259"/>
      <c r="O1642" s="235"/>
      <c r="P1642" s="235"/>
      <c r="Q1642" s="235"/>
    </row>
    <row r="1643" spans="2:17">
      <c r="B1643" s="241"/>
      <c r="C1643" s="241"/>
      <c r="D1643" s="241"/>
      <c r="E1643" s="241"/>
      <c r="F1643" s="259"/>
      <c r="G1643" s="259"/>
      <c r="H1643" s="259"/>
      <c r="I1643" s="259"/>
      <c r="J1643" s="259"/>
      <c r="K1643" s="259"/>
      <c r="L1643" s="259"/>
      <c r="M1643" s="259"/>
      <c r="N1643" s="259"/>
      <c r="O1643" s="235"/>
      <c r="P1643" s="235"/>
      <c r="Q1643" s="235"/>
    </row>
  </sheetData>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T1609"/>
  <sheetViews>
    <sheetView topLeftCell="AS1" zoomScale="60" zoomScaleNormal="60" workbookViewId="0">
      <selection activeCell="AZ26" sqref="AZ26"/>
    </sheetView>
  </sheetViews>
  <sheetFormatPr defaultColWidth="9.21875" defaultRowHeight="13.2"/>
  <cols>
    <col min="1" max="1" width="2" style="147" bestFit="1" customWidth="1"/>
    <col min="2" max="2" width="12.44140625" style="147" customWidth="1"/>
    <col min="3" max="3" width="63.77734375" style="147" customWidth="1"/>
    <col min="4" max="4" width="51.44140625" style="156" customWidth="1"/>
    <col min="5" max="5" width="22" style="156" customWidth="1"/>
    <col min="6" max="6" width="13.77734375" style="156" customWidth="1"/>
    <col min="7" max="7" width="14.33203125" style="156" customWidth="1"/>
    <col min="8" max="10" width="15.77734375" style="156" customWidth="1"/>
    <col min="11" max="13" width="10.77734375" style="156" customWidth="1"/>
    <col min="14" max="14" width="15.21875" style="156" customWidth="1"/>
    <col min="15" max="19" width="8.6640625" style="156" customWidth="1"/>
    <col min="20" max="20" width="10.77734375" style="156" customWidth="1"/>
    <col min="21" max="22" width="8.6640625" style="156" customWidth="1"/>
    <col min="23" max="28" width="10.77734375" style="156" customWidth="1"/>
    <col min="29" max="37" width="14.21875" style="155" bestFit="1" customWidth="1"/>
    <col min="38" max="38" width="12.6640625" style="155" customWidth="1"/>
    <col min="39" max="39" width="13.6640625" style="155" bestFit="1" customWidth="1"/>
    <col min="40" max="41" width="13.33203125" style="147" bestFit="1" customWidth="1"/>
    <col min="42" max="42" width="10.6640625" style="147" bestFit="1" customWidth="1"/>
    <col min="43" max="43" width="9.33203125" style="147" bestFit="1" customWidth="1"/>
    <col min="44" max="44" width="13.33203125" style="147" bestFit="1" customWidth="1"/>
    <col min="45" max="45" width="10.6640625" style="147" bestFit="1" customWidth="1"/>
    <col min="46" max="47" width="9.33203125" style="147" bestFit="1" customWidth="1"/>
    <col min="48" max="49" width="9.33203125" style="147" customWidth="1"/>
    <col min="50" max="50" width="9.44140625" style="147" bestFit="1" customWidth="1"/>
    <col min="51" max="52" width="8.21875" style="147" bestFit="1" customWidth="1"/>
    <col min="53" max="54" width="12.6640625" style="147" customWidth="1"/>
    <col min="55" max="55" width="12.44140625" style="147" customWidth="1"/>
    <col min="56" max="56" width="9.21875" style="147"/>
    <col min="57" max="57" width="13" style="147" customWidth="1"/>
    <col min="58" max="58" width="14" style="147" customWidth="1"/>
    <col min="59" max="16384" width="9.21875" style="147"/>
  </cols>
  <sheetData>
    <row r="1" spans="1:70">
      <c r="D1" s="154"/>
      <c r="E1" s="154"/>
      <c r="F1" s="154"/>
      <c r="G1" s="154" t="s">
        <v>745</v>
      </c>
      <c r="H1" s="154"/>
      <c r="I1" s="154"/>
      <c r="J1" s="154" t="s">
        <v>844</v>
      </c>
      <c r="K1" s="154"/>
      <c r="L1" s="154"/>
      <c r="M1" s="154"/>
      <c r="N1" s="154"/>
      <c r="O1" s="154"/>
      <c r="P1" s="154"/>
      <c r="Q1" s="154"/>
      <c r="R1" s="154"/>
      <c r="S1" s="154"/>
      <c r="T1" s="154"/>
      <c r="U1" s="154"/>
      <c r="V1" s="154"/>
      <c r="W1" s="154"/>
      <c r="X1" s="154"/>
      <c r="Y1" s="154"/>
      <c r="Z1" s="154"/>
      <c r="AA1" s="154"/>
      <c r="AB1" s="154"/>
    </row>
    <row r="2" spans="1:70">
      <c r="D2" s="154"/>
      <c r="E2" s="154"/>
      <c r="F2" s="154"/>
      <c r="G2" s="154" t="s">
        <v>746</v>
      </c>
      <c r="H2" s="154">
        <v>0</v>
      </c>
      <c r="I2" s="154"/>
      <c r="J2" s="154">
        <v>2010</v>
      </c>
      <c r="K2" s="154">
        <v>0.99</v>
      </c>
      <c r="L2" s="154"/>
      <c r="M2" s="154"/>
      <c r="N2" s="154"/>
      <c r="O2" s="154"/>
      <c r="P2" s="154"/>
      <c r="Q2" s="154"/>
      <c r="R2" s="154"/>
      <c r="S2" s="154"/>
      <c r="T2" s="154"/>
      <c r="U2" s="154"/>
      <c r="V2" s="154"/>
      <c r="W2" s="154"/>
      <c r="X2" s="154"/>
      <c r="Y2" s="154"/>
      <c r="Z2" s="154"/>
      <c r="AA2" s="154"/>
      <c r="AB2" s="154"/>
    </row>
    <row r="3" spans="1:70" ht="21">
      <c r="B3" s="468" t="s">
        <v>757</v>
      </c>
      <c r="D3" s="154"/>
      <c r="E3" s="154"/>
      <c r="F3" s="154"/>
      <c r="G3" s="154" t="s">
        <v>747</v>
      </c>
      <c r="H3" s="154">
        <v>1</v>
      </c>
      <c r="I3" s="154"/>
      <c r="J3" s="154">
        <v>2100</v>
      </c>
      <c r="K3" s="154">
        <v>0.99</v>
      </c>
      <c r="L3" s="154"/>
      <c r="M3" s="154"/>
      <c r="N3" s="154"/>
      <c r="O3" s="154"/>
      <c r="P3" s="154"/>
      <c r="Q3" s="154"/>
      <c r="R3" s="154"/>
      <c r="S3" s="154"/>
      <c r="T3" s="154"/>
      <c r="U3" s="154"/>
      <c r="V3" s="154"/>
      <c r="W3" s="154"/>
      <c r="X3" s="154"/>
      <c r="Y3" s="154"/>
      <c r="Z3" s="154"/>
      <c r="AA3" s="154"/>
      <c r="AB3" s="154"/>
      <c r="AH3" s="155" t="s">
        <v>181</v>
      </c>
      <c r="AI3" s="155">
        <v>1</v>
      </c>
      <c r="AJ3" s="155">
        <v>1</v>
      </c>
      <c r="AK3" s="155">
        <v>1</v>
      </c>
      <c r="AL3" s="155">
        <v>0.99399999999999999</v>
      </c>
      <c r="AM3" s="155">
        <v>0.99399999999999999</v>
      </c>
      <c r="AN3" s="155">
        <v>0.99399999999999999</v>
      </c>
      <c r="AO3" s="147">
        <v>1</v>
      </c>
      <c r="AP3" s="147">
        <v>1</v>
      </c>
      <c r="AQ3" s="147">
        <v>1</v>
      </c>
      <c r="AR3" s="147">
        <v>1</v>
      </c>
      <c r="AS3" s="147">
        <v>1</v>
      </c>
      <c r="AT3" s="147">
        <v>1</v>
      </c>
    </row>
    <row r="4" spans="1:70">
      <c r="D4" s="154"/>
      <c r="E4" s="154"/>
      <c r="F4" s="154"/>
      <c r="G4" s="154" t="s">
        <v>748</v>
      </c>
      <c r="H4" s="154">
        <v>0</v>
      </c>
      <c r="I4" s="154"/>
      <c r="J4" s="154"/>
      <c r="K4" s="154"/>
      <c r="L4" s="154"/>
      <c r="M4" s="154"/>
      <c r="N4" s="154"/>
      <c r="O4" s="154"/>
      <c r="P4" s="154"/>
      <c r="Q4" s="154"/>
      <c r="R4" s="154"/>
      <c r="S4" s="154"/>
      <c r="T4" s="154"/>
      <c r="U4" s="154"/>
      <c r="V4" s="154"/>
      <c r="W4" s="154"/>
      <c r="X4" s="154"/>
      <c r="Y4" s="154"/>
      <c r="Z4" s="154"/>
      <c r="AA4" s="154"/>
      <c r="AB4" s="154"/>
    </row>
    <row r="5" spans="1:70">
      <c r="E5" s="157"/>
      <c r="F5" s="157"/>
      <c r="G5" s="157"/>
      <c r="H5" s="157"/>
      <c r="I5" s="157"/>
      <c r="J5" s="157"/>
      <c r="K5" s="157"/>
      <c r="L5" s="157"/>
      <c r="M5" s="157"/>
      <c r="N5" s="157"/>
      <c r="O5" s="157"/>
      <c r="P5" s="157"/>
      <c r="Q5" s="157"/>
      <c r="R5" s="157"/>
      <c r="S5" s="157"/>
      <c r="T5" s="157"/>
      <c r="U5" s="157"/>
      <c r="V5" s="157"/>
      <c r="W5" s="157"/>
      <c r="X5" s="157"/>
      <c r="Y5" s="157"/>
      <c r="Z5" s="157"/>
      <c r="AA5" s="157"/>
      <c r="AB5" s="157"/>
      <c r="AL5" s="147"/>
      <c r="AM5" s="147"/>
    </row>
    <row r="6" spans="1:70">
      <c r="F6" s="158" t="s">
        <v>8</v>
      </c>
      <c r="G6" s="158"/>
      <c r="H6" s="158"/>
      <c r="I6" s="158"/>
      <c r="J6" s="158"/>
      <c r="K6" s="158"/>
      <c r="L6" s="158"/>
      <c r="M6" s="158"/>
      <c r="N6" s="158"/>
      <c r="O6" s="158"/>
      <c r="P6" s="158"/>
      <c r="Q6" s="158"/>
      <c r="R6" s="158"/>
      <c r="S6" s="158"/>
      <c r="T6" s="158"/>
      <c r="U6" s="158"/>
      <c r="V6" s="158"/>
      <c r="W6" s="158"/>
      <c r="X6" s="158"/>
      <c r="Y6" s="158"/>
      <c r="Z6" s="158"/>
      <c r="AA6" s="158"/>
      <c r="AB6" s="158"/>
      <c r="AL6" s="147"/>
      <c r="AM6" s="147"/>
    </row>
    <row r="7" spans="1:70" ht="33" customHeight="1">
      <c r="B7" s="159" t="s">
        <v>2</v>
      </c>
      <c r="C7" s="159" t="s">
        <v>26</v>
      </c>
      <c r="D7" s="159" t="s">
        <v>14</v>
      </c>
      <c r="E7" s="159" t="s">
        <v>15</v>
      </c>
      <c r="F7" s="159" t="s">
        <v>117</v>
      </c>
      <c r="G7" s="159" t="s">
        <v>67</v>
      </c>
      <c r="H7" s="204" t="s">
        <v>907</v>
      </c>
      <c r="I7" s="204" t="s">
        <v>935</v>
      </c>
      <c r="J7" s="204" t="s">
        <v>936</v>
      </c>
      <c r="K7" s="204" t="s">
        <v>909</v>
      </c>
      <c r="L7" s="204" t="s">
        <v>939</v>
      </c>
      <c r="M7" s="204" t="s">
        <v>940</v>
      </c>
      <c r="N7" s="204" t="s">
        <v>910</v>
      </c>
      <c r="O7" s="204" t="s">
        <v>941</v>
      </c>
      <c r="P7" s="204" t="s">
        <v>942</v>
      </c>
      <c r="Q7" s="571" t="str">
        <f>H7&amp;"~2100"</f>
        <v>STOCK~DE1~2100</v>
      </c>
      <c r="R7" s="571" t="str">
        <f>I7&amp;"~2100"</f>
        <v>STOCK~DE2~2100</v>
      </c>
      <c r="S7" s="571" t="str">
        <f>J7&amp;"~2100"</f>
        <v>STOCK~DE3~2100</v>
      </c>
      <c r="T7" s="571" t="s">
        <v>911</v>
      </c>
      <c r="U7" s="571" t="s">
        <v>943</v>
      </c>
      <c r="V7" s="571" t="s">
        <v>944</v>
      </c>
      <c r="W7" s="571" t="s">
        <v>912</v>
      </c>
      <c r="X7" s="571" t="s">
        <v>945</v>
      </c>
      <c r="Y7" s="571" t="s">
        <v>946</v>
      </c>
      <c r="Z7" s="571" t="s">
        <v>913</v>
      </c>
      <c r="AA7" s="571" t="s">
        <v>947</v>
      </c>
      <c r="AB7" s="571" t="s">
        <v>948</v>
      </c>
      <c r="AC7" s="571" t="s">
        <v>914</v>
      </c>
      <c r="AD7" s="571" t="s">
        <v>949</v>
      </c>
      <c r="AE7" s="571" t="s">
        <v>950</v>
      </c>
      <c r="AF7" s="571" t="s">
        <v>915</v>
      </c>
      <c r="AG7" s="571" t="s">
        <v>951</v>
      </c>
      <c r="AH7" s="571" t="s">
        <v>952</v>
      </c>
      <c r="AI7" s="205" t="s">
        <v>908</v>
      </c>
      <c r="AJ7" s="205" t="s">
        <v>956</v>
      </c>
      <c r="AK7" s="205" t="s">
        <v>956</v>
      </c>
      <c r="AL7" s="205" t="s">
        <v>916</v>
      </c>
      <c r="AM7" s="205" t="s">
        <v>956</v>
      </c>
      <c r="AN7" s="205" t="s">
        <v>956</v>
      </c>
      <c r="AO7" s="205" t="s">
        <v>917</v>
      </c>
      <c r="AP7" s="205" t="s">
        <v>956</v>
      </c>
      <c r="AQ7" s="205" t="s">
        <v>956</v>
      </c>
      <c r="AR7" s="205" t="s">
        <v>918</v>
      </c>
      <c r="AS7" s="205" t="s">
        <v>956</v>
      </c>
      <c r="AT7" s="205" t="s">
        <v>956</v>
      </c>
      <c r="AU7" s="159" t="s">
        <v>114</v>
      </c>
      <c r="AV7" s="159" t="s">
        <v>184</v>
      </c>
      <c r="AW7" s="159" t="s">
        <v>107</v>
      </c>
      <c r="AX7" s="298"/>
      <c r="AY7" s="198"/>
      <c r="AZ7" s="199"/>
      <c r="BA7" s="216" t="s">
        <v>906</v>
      </c>
      <c r="BB7" s="217" t="s">
        <v>933</v>
      </c>
      <c r="BC7" s="217" t="s">
        <v>934</v>
      </c>
      <c r="BD7" s="217" t="s">
        <v>906</v>
      </c>
      <c r="BE7" s="217" t="s">
        <v>957</v>
      </c>
      <c r="BF7" s="217" t="s">
        <v>958</v>
      </c>
      <c r="BH7" s="201"/>
      <c r="BI7" s="201"/>
      <c r="BJ7" s="201"/>
      <c r="BK7" s="201"/>
      <c r="BL7" s="201"/>
      <c r="BM7" s="201"/>
      <c r="BN7" s="201"/>
      <c r="BO7" s="201"/>
      <c r="BP7" s="201"/>
      <c r="BQ7" s="201"/>
      <c r="BR7" s="201"/>
    </row>
    <row r="8" spans="1:70" ht="13.8" thickBot="1">
      <c r="B8" s="161" t="s">
        <v>27</v>
      </c>
      <c r="C8" s="161" t="s">
        <v>138</v>
      </c>
      <c r="D8" s="161"/>
      <c r="E8" s="161"/>
      <c r="F8" s="161"/>
      <c r="G8" s="161"/>
      <c r="H8" s="206" t="s">
        <v>46</v>
      </c>
      <c r="I8" s="206" t="s">
        <v>46</v>
      </c>
      <c r="J8" s="206" t="s">
        <v>46</v>
      </c>
      <c r="K8" s="206" t="s">
        <v>46</v>
      </c>
      <c r="L8" s="206" t="s">
        <v>46</v>
      </c>
      <c r="M8" s="206" t="s">
        <v>46</v>
      </c>
      <c r="N8" s="206" t="s">
        <v>46</v>
      </c>
      <c r="O8" s="206" t="s">
        <v>46</v>
      </c>
      <c r="P8" s="206" t="s">
        <v>46</v>
      </c>
      <c r="Q8" s="206" t="str">
        <f>H8</f>
        <v>Mm2</v>
      </c>
      <c r="R8" s="206" t="str">
        <f>I8</f>
        <v>Mm2</v>
      </c>
      <c r="S8" s="206" t="str">
        <f>J8</f>
        <v>Mm2</v>
      </c>
      <c r="T8" s="206" t="str">
        <f t="shared" ref="T8:AH8" si="0">Q8</f>
        <v>Mm2</v>
      </c>
      <c r="U8" s="206" t="str">
        <f t="shared" si="0"/>
        <v>Mm2</v>
      </c>
      <c r="V8" s="206" t="str">
        <f t="shared" si="0"/>
        <v>Mm2</v>
      </c>
      <c r="W8" s="206" t="str">
        <f t="shared" ref="W8" si="1">T8</f>
        <v>Mm2</v>
      </c>
      <c r="X8" s="206" t="str">
        <f t="shared" ref="X8" si="2">U8</f>
        <v>Mm2</v>
      </c>
      <c r="Y8" s="206" t="str">
        <f t="shared" ref="Y8" si="3">V8</f>
        <v>Mm2</v>
      </c>
      <c r="Z8" s="206" t="str">
        <f t="shared" ref="Z8" si="4">W8</f>
        <v>Mm2</v>
      </c>
      <c r="AA8" s="206" t="str">
        <f t="shared" ref="AA8" si="5">X8</f>
        <v>Mm2</v>
      </c>
      <c r="AB8" s="206" t="str">
        <f t="shared" ref="AB8" si="6">Y8</f>
        <v>Mm2</v>
      </c>
      <c r="AC8" s="206" t="str">
        <f>T8</f>
        <v>Mm2</v>
      </c>
      <c r="AD8" s="206" t="str">
        <f>U8</f>
        <v>Mm2</v>
      </c>
      <c r="AE8" s="206" t="str">
        <f>V8</f>
        <v>Mm2</v>
      </c>
      <c r="AF8" s="206" t="str">
        <f t="shared" si="0"/>
        <v>Mm2</v>
      </c>
      <c r="AG8" s="206" t="str">
        <f t="shared" si="0"/>
        <v>Mm2</v>
      </c>
      <c r="AH8" s="206" t="str">
        <f t="shared" si="0"/>
        <v>Mm2</v>
      </c>
      <c r="AI8" s="206" t="s">
        <v>111</v>
      </c>
      <c r="AJ8" s="206" t="s">
        <v>111</v>
      </c>
      <c r="AK8" s="206" t="s">
        <v>111</v>
      </c>
      <c r="AL8" s="206" t="s">
        <v>111</v>
      </c>
      <c r="AM8" s="206" t="s">
        <v>111</v>
      </c>
      <c r="AN8" s="206" t="s">
        <v>111</v>
      </c>
      <c r="AO8" s="206" t="s">
        <v>111</v>
      </c>
      <c r="AP8" s="206" t="s">
        <v>111</v>
      </c>
      <c r="AQ8" s="206" t="s">
        <v>111</v>
      </c>
      <c r="AR8" s="206" t="s">
        <v>111</v>
      </c>
      <c r="AS8" s="206" t="s">
        <v>111</v>
      </c>
      <c r="AT8" s="206" t="s">
        <v>111</v>
      </c>
      <c r="AU8" s="161"/>
      <c r="AV8" s="161"/>
      <c r="AW8" s="161"/>
      <c r="AX8" s="299"/>
      <c r="AY8" s="200"/>
      <c r="AZ8" s="199"/>
      <c r="BA8" s="218" t="s">
        <v>68</v>
      </c>
      <c r="BB8" s="218" t="s">
        <v>68</v>
      </c>
      <c r="BC8" s="218" t="s">
        <v>68</v>
      </c>
      <c r="BD8" s="215" t="s">
        <v>48</v>
      </c>
      <c r="BE8" s="215"/>
      <c r="BF8" s="215"/>
      <c r="BH8" s="201"/>
      <c r="BI8" s="201"/>
      <c r="BJ8" s="201"/>
      <c r="BK8" s="201"/>
      <c r="BL8" s="201"/>
      <c r="BM8" s="201"/>
      <c r="BN8" s="201"/>
      <c r="BO8" s="201"/>
      <c r="BP8" s="201"/>
      <c r="BQ8" s="201"/>
      <c r="BR8" s="201"/>
    </row>
    <row r="9" spans="1:70" ht="13.8" thickBot="1">
      <c r="B9" s="165" t="str">
        <f>Processes!D7</f>
        <v>RDHUDL</v>
      </c>
      <c r="C9" s="165" t="str">
        <f>Processes!E7</f>
        <v xml:space="preserve">Residential Demand Heating Urban Detached -  - Low </v>
      </c>
      <c r="D9" s="127" t="str">
        <f>Commodities!$C$38&amp;","&amp;Commodities!$C$42&amp;","&amp;Commodities!$C$46&amp;","&amp;Commodities!$C$83&amp;","&amp;Commodities!C58</f>
        <v>RESHUDX,RESHUDB,RESHUDBE,RESHSAV,RESHUDSL</v>
      </c>
      <c r="E9" s="7" t="str">
        <f>Commodities!C7</f>
        <v>RHUDB</v>
      </c>
      <c r="G9" s="166"/>
      <c r="H9" s="533" cm="1">
        <f t="array" ref="H9">ROUNDUP(INDEX(Dem!$F$41:$H$44,MATCH(Buildings_DR!$E9,Dem!$B$5:$B$8,0),MATCH(RIGHT(H$7,3),Dem!$F$1:$H$1,0))*_xlfn.IFS(RIGHT($D9,1)="H",$H$4,RIGHT($D9,1)="M",$H$3,RIGHT($D9,1)="L",$H$2),2)</f>
        <v>0</v>
      </c>
      <c r="I9" s="533" cm="1">
        <f t="array" ref="I9">ROUNDUP(INDEX(Dem!$F$41:$H$44,MATCH(Buildings_DR!$E9,Dem!$B$5:$B$8,0),MATCH(RIGHT(I$7,3),Dem!$F$1:$H$1,0))*_xlfn.IFS(RIGHT($D9,1)="H",$H$4,RIGHT($D9,1)="M",$H$3,RIGHT($D9,1)="L",$H$2),2)</f>
        <v>0</v>
      </c>
      <c r="J9" s="533" cm="1">
        <f t="array" ref="J9">ROUNDUP(INDEX(Dem!$F$41:$H$44,MATCH(Buildings_DR!$E9,Dem!$B$5:$B$8,0),MATCH(RIGHT(J$7,3),Dem!$F$1:$H$1,0))*_xlfn.IFS(RIGHT($D9,1)="H",$H$4,RIGHT($D9,1)="M",$H$3,RIGHT($D9,1)="L",$H$2),2)</f>
        <v>0</v>
      </c>
      <c r="K9" s="533" cm="1">
        <f t="array" ref="K9">ROUNDUP(INDEX(Dem!$F$45:$H$48,MATCH(Buildings_DR!$E9,Dem!$B$5:$B$8,0),MATCH(RIGHT(K$7,3),Dem!$F$1:$H$1,0))*_xlfn.IFS(RIGHT($D9,1)="H",$H$4,RIGHT($D9,1)="M",$H$3,RIGHT($D9,1)="L",$H$2),2)</f>
        <v>0</v>
      </c>
      <c r="L9" s="533" cm="1">
        <f t="array" ref="L9">ROUNDUP(INDEX(Dem!$F$45:$H$48,MATCH(Buildings_DR!$E9,Dem!$B$5:$B$8,0),MATCH(RIGHT(L$7,3),Dem!$F$1:$H$1,0))*_xlfn.IFS(RIGHT($D9,1)="H",$H$4,RIGHT($D9,1)="M",$H$3,RIGHT($D9,1)="L",$H$2),2)</f>
        <v>0</v>
      </c>
      <c r="M9" s="533" cm="1">
        <f t="array" ref="M9">ROUNDUP(INDEX(Dem!$F$45:$H$48,MATCH(Buildings_DR!$E9,Dem!$B$5:$B$8,0),MATCH(RIGHT(M$7,3),Dem!$F$1:$H$1,0))*_xlfn.IFS(RIGHT($D9,1)="H",$H$4,RIGHT($D9,1)="M",$H$3,RIGHT($D9,1)="L",$H$2),2)</f>
        <v>0</v>
      </c>
      <c r="N9" s="533" cm="1">
        <f t="array" ref="N9">ROUNDUP(INDEX(Dem!$F$49:$H$52,MATCH(Buildings_DR!$E9,Dem!$B$5:$B$8,0),MATCH(RIGHT(N$7,3),Dem!$F$1:$H$1,0))*_xlfn.IFS(RIGHT($D9,1)="H",$H$4,RIGHT($D9,1)="M",$H$3,RIGHT($D9,1)="L",$H$2),2)</f>
        <v>0</v>
      </c>
      <c r="O9" s="533" cm="1">
        <f t="array" ref="O9">ROUNDUP(INDEX(Dem!$F$49:$H$52,MATCH(Buildings_DR!$E9,Dem!$B$5:$B$8,0),MATCH(RIGHT(O$7,3),Dem!$F$1:$H$1,0))*_xlfn.IFS(RIGHT($D9,1)="H",$H$4,RIGHT($D9,1)="M",$H$3,RIGHT($D9,1)="L",$H$2),2)</f>
        <v>0</v>
      </c>
      <c r="P9" s="533" cm="1">
        <f t="array" ref="P9">ROUNDUP(INDEX(Dem!$F$49:$H$52,MATCH(Buildings_DR!$E9,Dem!$B$5:$B$8,0),MATCH(RIGHT(P$7,3),Dem!$F$1:$H$1,0))*_xlfn.IFS(RIGHT($D9,1)="H",$H$4,RIGHT($D9,1)="M",$H$3,RIGHT($D9,1)="L",$H$2),2)</f>
        <v>0</v>
      </c>
      <c r="Q9" s="533">
        <f t="shared" ref="Q9:S11" si="7">H9*0.6</f>
        <v>0</v>
      </c>
      <c r="R9" s="533">
        <f t="shared" si="7"/>
        <v>0</v>
      </c>
      <c r="S9" s="533">
        <f t="shared" si="7"/>
        <v>0</v>
      </c>
      <c r="T9" s="533">
        <f t="shared" ref="T9:AE9" si="8">H9*0.99</f>
        <v>0</v>
      </c>
      <c r="U9" s="533">
        <f t="shared" si="8"/>
        <v>0</v>
      </c>
      <c r="V9" s="533">
        <f t="shared" si="8"/>
        <v>0</v>
      </c>
      <c r="W9" s="533">
        <f t="shared" si="8"/>
        <v>0</v>
      </c>
      <c r="X9" s="533">
        <f t="shared" si="8"/>
        <v>0</v>
      </c>
      <c r="Y9" s="533">
        <f t="shared" si="8"/>
        <v>0</v>
      </c>
      <c r="Z9" s="533">
        <f t="shared" si="8"/>
        <v>0</v>
      </c>
      <c r="AA9" s="533">
        <f t="shared" si="8"/>
        <v>0</v>
      </c>
      <c r="AB9" s="533">
        <f t="shared" si="8"/>
        <v>0</v>
      </c>
      <c r="AC9" s="533">
        <f t="shared" si="8"/>
        <v>0</v>
      </c>
      <c r="AD9" s="533">
        <f t="shared" si="8"/>
        <v>0</v>
      </c>
      <c r="AE9" s="533">
        <f t="shared" si="8"/>
        <v>0</v>
      </c>
      <c r="AF9" s="533">
        <v>5</v>
      </c>
      <c r="AG9" s="533">
        <v>5</v>
      </c>
      <c r="AH9" s="533">
        <v>5</v>
      </c>
      <c r="AI9" s="523">
        <f t="shared" ref="AI9:AT9" si="9">AI10/2</f>
        <v>1.1749999999999998</v>
      </c>
      <c r="AJ9" s="523" t="e">
        <f t="shared" si="9"/>
        <v>#DIV/0!</v>
      </c>
      <c r="AK9" s="523" t="e">
        <f t="shared" si="9"/>
        <v>#DIV/0!</v>
      </c>
      <c r="AL9" s="523">
        <f>AL10/2</f>
        <v>1.4512399999999999</v>
      </c>
      <c r="AM9" s="523" t="e">
        <f t="shared" si="9"/>
        <v>#DIV/0!</v>
      </c>
      <c r="AN9" s="523" t="e">
        <f t="shared" si="9"/>
        <v>#DIV/0!</v>
      </c>
      <c r="AO9" s="523">
        <f t="shared" si="9"/>
        <v>1.48</v>
      </c>
      <c r="AP9" s="523" t="e">
        <f t="shared" si="9"/>
        <v>#DIV/0!</v>
      </c>
      <c r="AQ9" s="523" t="e">
        <f t="shared" si="9"/>
        <v>#DIV/0!</v>
      </c>
      <c r="AR9" s="523">
        <f t="shared" si="9"/>
        <v>1.3949999999999998</v>
      </c>
      <c r="AS9" s="523" t="e">
        <f t="shared" si="9"/>
        <v>#DIV/0!</v>
      </c>
      <c r="AT9" s="523" t="e">
        <f t="shared" si="9"/>
        <v>#DIV/0!</v>
      </c>
      <c r="AU9" s="167">
        <v>1</v>
      </c>
      <c r="AV9" s="165">
        <v>1</v>
      </c>
      <c r="AW9" s="160"/>
      <c r="AX9" s="162"/>
      <c r="AY9" s="162"/>
      <c r="AZ9" s="199"/>
      <c r="BA9" s="531">
        <f t="shared" ref="BA9:BA36" si="10">H9*$AU$10*$AV$10</f>
        <v>0</v>
      </c>
      <c r="BB9" s="531">
        <f t="shared" ref="BB9:BB36" si="11">I9*$AU$10*$AV$10</f>
        <v>0</v>
      </c>
      <c r="BC9" s="531">
        <f t="shared" ref="BC9:BC36" si="12">J9*$AU$10*$AV$10</f>
        <v>0</v>
      </c>
      <c r="BD9" s="203">
        <f t="shared" ref="BD9:BF11" si="13">BA9/AI9</f>
        <v>0</v>
      </c>
      <c r="BE9" s="203" t="e">
        <f t="shared" si="13"/>
        <v>#DIV/0!</v>
      </c>
      <c r="BF9" s="203" t="e">
        <f t="shared" si="13"/>
        <v>#DIV/0!</v>
      </c>
      <c r="BH9" s="201"/>
      <c r="BI9" s="201"/>
      <c r="BJ9" s="201"/>
      <c r="BK9" s="201"/>
      <c r="BL9" s="201"/>
      <c r="BM9" s="201"/>
      <c r="BN9" s="201"/>
      <c r="BO9" s="201"/>
      <c r="BP9" s="201"/>
      <c r="BQ9" s="201"/>
      <c r="BR9" s="201"/>
    </row>
    <row r="10" spans="1:70">
      <c r="A10" s="162"/>
      <c r="B10" s="162" t="str">
        <f>Processes!D8</f>
        <v>RDHUDM</v>
      </c>
      <c r="C10" s="162" t="str">
        <f>Processes!E8</f>
        <v xml:space="preserve">Residential Demand Heating Urban Detached -  - Medium </v>
      </c>
      <c r="D10" s="127" t="str">
        <f>Commodities!$C$38&amp;","&amp;Commodities!$C$42&amp;","&amp;Commodities!$C$46&amp;","&amp;Commodities!$C$83&amp;","&amp;Commodities!C59</f>
        <v>RESHUDX,RESHUDB,RESHUDBE,RESHSAV,RESHUDSM</v>
      </c>
      <c r="E10" s="191" t="str">
        <f>E9</f>
        <v>RHUDB</v>
      </c>
      <c r="G10" s="191"/>
      <c r="H10" s="533" cm="1">
        <f t="array" ref="H10">ROUNDUP(INDEX(Dem!$F$41:$H$44,MATCH(Buildings_DR!$E10,Dem!$B$5:$B$8,0),MATCH(RIGHT(H$7,3),Dem!$F$1:$H$1,0))*_xlfn.IFS(RIGHT($D10,1)="H",$H$4,RIGHT($D10,1)="M",$H$3,RIGHT($D10,1)="L",$H$2),2)</f>
        <v>1422.17</v>
      </c>
      <c r="I10" s="533" cm="1">
        <f t="array" ref="I10">ROUNDUP(INDEX(Dem!$F$41:$H$44,MATCH(Buildings_DR!$E10,Dem!$B$5:$B$8,0),MATCH(RIGHT(I$7,3),Dem!$F$1:$H$1,0))*_xlfn.IFS(RIGHT($D10,1)="H",$H$4,RIGHT($D10,1)="M",$H$3,RIGHT($D10,1)="L",$H$2),2)</f>
        <v>0</v>
      </c>
      <c r="J10" s="533" cm="1">
        <f t="array" ref="J10">ROUNDUP(INDEX(Dem!$F$41:$H$44,MATCH(Buildings_DR!$E10,Dem!$B$5:$B$8,0),MATCH(RIGHT(J$7,3),Dem!$F$1:$H$1,0))*_xlfn.IFS(RIGHT($D10,1)="H",$H$4,RIGHT($D10,1)="M",$H$3,RIGHT($D10,1)="L",$H$2),2)</f>
        <v>0</v>
      </c>
      <c r="K10" s="533" cm="1">
        <f t="array" ref="K10">ROUNDUP(INDEX(Dem!$F$45:$H$48,MATCH(Buildings_DR!$E10,Dem!$B$5:$B$8,0),MATCH(RIGHT(K$7,3),Dem!$F$1:$H$1,0))*_xlfn.IFS(RIGHT($D10,1)="H",$H$4,RIGHT($D10,1)="M",$H$3,RIGHT($D10,1)="L",$H$2),2)</f>
        <v>1466.94</v>
      </c>
      <c r="L10" s="533" cm="1">
        <f t="array" ref="L10">ROUNDUP(INDEX(Dem!$F$45:$H$48,MATCH(Buildings_DR!$E10,Dem!$B$5:$B$8,0),MATCH(RIGHT(L$7,3),Dem!$F$1:$H$1,0))*_xlfn.IFS(RIGHT($D10,1)="H",$H$4,RIGHT($D10,1)="M",$H$3,RIGHT($D10,1)="L",$H$2),2)</f>
        <v>0</v>
      </c>
      <c r="M10" s="533" cm="1">
        <f t="array" ref="M10">ROUNDUP(INDEX(Dem!$F$45:$H$48,MATCH(Buildings_DR!$E10,Dem!$B$5:$B$8,0),MATCH(RIGHT(M$7,3),Dem!$F$1:$H$1,0))*_xlfn.IFS(RIGHT($D10,1)="H",$H$4,RIGHT($D10,1)="M",$H$3,RIGHT($D10,1)="L",$H$2),2)</f>
        <v>0</v>
      </c>
      <c r="N10" s="533" cm="1">
        <f t="array" ref="N10">ROUNDUP(INDEX(Dem!$F$49:$H$52,MATCH(Buildings_DR!$E10,Dem!$B$5:$B$8,0),MATCH(RIGHT(N$7,3),Dem!$F$1:$H$1,0))*_xlfn.IFS(RIGHT($D10,1)="H",$H$4,RIGHT($D10,1)="M",$H$3,RIGHT($D10,1)="L",$H$2),2)</f>
        <v>1488.92</v>
      </c>
      <c r="O10" s="533" cm="1">
        <f t="array" ref="O10">ROUNDUP(INDEX(Dem!$F$49:$H$52,MATCH(Buildings_DR!$E10,Dem!$B$5:$B$8,0),MATCH(RIGHT(O$7,3),Dem!$F$1:$H$1,0))*_xlfn.IFS(RIGHT($D10,1)="H",$H$4,RIGHT($D10,1)="M",$H$3,RIGHT($D10,1)="L",$H$2),2)</f>
        <v>0</v>
      </c>
      <c r="P10" s="533" cm="1">
        <f t="array" ref="P10">ROUNDUP(INDEX(Dem!$F$49:$H$52,MATCH(Buildings_DR!$E10,Dem!$B$5:$B$8,0),MATCH(RIGHT(P$7,3),Dem!$F$1:$H$1,0))*_xlfn.IFS(RIGHT($D10,1)="H",$H$4,RIGHT($D10,1)="M",$H$3,RIGHT($D10,1)="L",$H$2),2)</f>
        <v>0</v>
      </c>
      <c r="Q10" s="533">
        <f t="shared" si="7"/>
        <v>853.30200000000002</v>
      </c>
      <c r="R10" s="533">
        <f t="shared" si="7"/>
        <v>0</v>
      </c>
      <c r="S10" s="533">
        <f t="shared" si="7"/>
        <v>0</v>
      </c>
      <c r="T10" s="533">
        <f t="shared" ref="T10:AB10" si="14">H10*$K$2</f>
        <v>1407.9483</v>
      </c>
      <c r="U10" s="533">
        <f t="shared" si="14"/>
        <v>0</v>
      </c>
      <c r="V10" s="533">
        <f t="shared" si="14"/>
        <v>0</v>
      </c>
      <c r="W10" s="533">
        <f>K10*$K$2</f>
        <v>1452.2706000000001</v>
      </c>
      <c r="X10" s="533">
        <f t="shared" si="14"/>
        <v>0</v>
      </c>
      <c r="Y10" s="533">
        <f t="shared" si="14"/>
        <v>0</v>
      </c>
      <c r="Z10" s="533">
        <f t="shared" si="14"/>
        <v>1474.0308</v>
      </c>
      <c r="AA10" s="533">
        <f t="shared" si="14"/>
        <v>0</v>
      </c>
      <c r="AB10" s="533">
        <f t="shared" si="14"/>
        <v>0</v>
      </c>
      <c r="AC10" s="533">
        <f>Q10*$K$3</f>
        <v>844.76898000000006</v>
      </c>
      <c r="AD10" s="533">
        <f>R10*$K$3</f>
        <v>0</v>
      </c>
      <c r="AE10" s="533">
        <f>S10*$K$3</f>
        <v>0</v>
      </c>
      <c r="AF10" s="533">
        <v>5</v>
      </c>
      <c r="AG10" s="533">
        <v>5</v>
      </c>
      <c r="AH10" s="533">
        <v>5</v>
      </c>
      <c r="AI10" s="524">
        <f>ROUNDUP(SUM(H9:H15)/SUM(Boilers_DR!AB6:AB15),2)</f>
        <v>2.3499999999999996</v>
      </c>
      <c r="AJ10" s="524" t="e">
        <f>ROUNDUP(SUM(I9:I15)/SUM(Boilers_DR!AC6:AC15),2)</f>
        <v>#DIV/0!</v>
      </c>
      <c r="AK10" s="524" t="e">
        <f>ROUNDUP(SUM(J9:J15)/SUM(Boilers_DR!AD6:AD15),2)</f>
        <v>#DIV/0!</v>
      </c>
      <c r="AL10" s="524">
        <f>ROUNDUP(SUM(K9:K15)/SUM(Boilers_DR!AB46:AB55),2)*AL3</f>
        <v>2.9024799999999997</v>
      </c>
      <c r="AM10" s="524" t="e">
        <f>ROUNDUP(SUM(L9:L15)/SUM(Boilers_DR!AC46:AC55),2)*AM3</f>
        <v>#DIV/0!</v>
      </c>
      <c r="AN10" s="524" t="e">
        <f>ROUNDUP(SUM(M9:M15)/SUM(Boilers_DR!AD46:AD55),2)*AN3</f>
        <v>#DIV/0!</v>
      </c>
      <c r="AO10" s="524">
        <f>ROUNDUP(SUM(N9:N15)/SUM(Boilers_DR!AB86:AB95),2)</f>
        <v>2.96</v>
      </c>
      <c r="AP10" s="524" t="e">
        <f>ROUNDUP(SUM(O9:O15)/SUM(Boilers_DR!AC86:AC95),2)</f>
        <v>#DIV/0!</v>
      </c>
      <c r="AQ10" s="524" t="e">
        <f>ROUNDUP(SUM(P9:P15)/SUM(Boilers_DR!AD86:AD95),2)</f>
        <v>#DIV/0!</v>
      </c>
      <c r="AR10" s="524">
        <f>ROUNDUP(SUM(N9:N15)/SUM(Boilers_DR!AB126:AB135),2)</f>
        <v>2.7899999999999996</v>
      </c>
      <c r="AS10" s="524" t="e">
        <f>ROUNDUP(SUM(O9:O15)/SUM(Boilers_DR!AC126:AC135),2)</f>
        <v>#DIV/0!</v>
      </c>
      <c r="AT10" s="524" t="e">
        <f>ROUNDUP(SUM(P9:P15)/SUM(Boilers_DR!AD126:AD135),2)</f>
        <v>#DIV/0!</v>
      </c>
      <c r="AU10" s="163">
        <v>1</v>
      </c>
      <c r="AV10" s="162">
        <v>1</v>
      </c>
      <c r="AW10" s="160"/>
      <c r="AX10" s="162"/>
      <c r="AY10" s="162"/>
      <c r="AZ10" s="199"/>
      <c r="BA10" s="531">
        <f t="shared" si="10"/>
        <v>1422.17</v>
      </c>
      <c r="BB10" s="531">
        <f t="shared" si="11"/>
        <v>0</v>
      </c>
      <c r="BC10" s="531">
        <f t="shared" si="12"/>
        <v>0</v>
      </c>
      <c r="BD10" s="532">
        <f t="shared" si="13"/>
        <v>605.17872340425549</v>
      </c>
      <c r="BE10" s="532" t="e">
        <f t="shared" si="13"/>
        <v>#DIV/0!</v>
      </c>
      <c r="BF10" s="532" t="e">
        <f t="shared" si="13"/>
        <v>#DIV/0!</v>
      </c>
      <c r="BH10" s="201"/>
      <c r="BI10" s="201"/>
      <c r="BJ10" s="201"/>
      <c r="BK10" s="201"/>
      <c r="BL10" s="201"/>
      <c r="BM10" s="201"/>
      <c r="BN10" s="201"/>
      <c r="BO10" s="201"/>
      <c r="BP10" s="201"/>
      <c r="BQ10" s="201"/>
      <c r="BR10" s="201"/>
    </row>
    <row r="11" spans="1:70">
      <c r="A11" s="162"/>
      <c r="B11" s="162" t="str">
        <f>Processes!D9</f>
        <v>RDHUDH</v>
      </c>
      <c r="C11" s="162" t="str">
        <f>Processes!E9</f>
        <v xml:space="preserve">Residential Demand Heating Urban Detached -  - High </v>
      </c>
      <c r="D11" s="127" t="str">
        <f>Commodities!$C$38&amp;","&amp;Commodities!$C$42&amp;","&amp;Commodities!$C$46&amp;","&amp;Commodities!$C$83&amp;","&amp;Commodities!C60</f>
        <v>RESHUDX,RESHUDB,RESHUDBE,RESHSAV,RESHUDSH</v>
      </c>
      <c r="E11" s="191" t="str">
        <f>E10</f>
        <v>RHUDB</v>
      </c>
      <c r="G11" s="191"/>
      <c r="H11" s="533" cm="1">
        <f t="array" ref="H11">ROUNDUP(INDEX(Dem!$F$41:$H$44,MATCH(Buildings_DR!$E11,Dem!$B$5:$B$8,0),MATCH(RIGHT(H$7,3),Dem!$F$1:$H$1,0))*_xlfn.IFS(RIGHT($D11,1)="H",$H$4,RIGHT($D11,1)="M",$H$3,RIGHT($D11,1)="L",$H$2),2)</f>
        <v>0</v>
      </c>
      <c r="I11" s="533" cm="1">
        <f t="array" ref="I11">ROUNDUP(INDEX(Dem!$F$41:$H$44,MATCH(Buildings_DR!$E11,Dem!$B$5:$B$8,0),MATCH(RIGHT(I$7,3),Dem!$F$1:$H$1,0))*_xlfn.IFS(RIGHT($D11,1)="H",$H$4,RIGHT($D11,1)="M",$H$3,RIGHT($D11,1)="L",$H$2),2)</f>
        <v>0</v>
      </c>
      <c r="J11" s="533" cm="1">
        <f t="array" ref="J11">ROUNDUP(INDEX(Dem!$F$41:$H$44,MATCH(Buildings_DR!$E11,Dem!$B$5:$B$8,0),MATCH(RIGHT(J$7,3),Dem!$F$1:$H$1,0))*_xlfn.IFS(RIGHT($D11,1)="H",$H$4,RIGHT($D11,1)="M",$H$3,RIGHT($D11,1)="L",$H$2),2)</f>
        <v>0</v>
      </c>
      <c r="K11" s="533" cm="1">
        <f t="array" ref="K11">ROUNDUP(INDEX(Dem!$F$45:$H$48,MATCH(Buildings_DR!$E11,Dem!$B$5:$B$8,0),MATCH(RIGHT(K$7,3),Dem!$F$1:$H$1,0))*_xlfn.IFS(RIGHT($D11,1)="H",$H$4,RIGHT($D11,1)="M",$H$3,RIGHT($D11,1)="L",$H$2),2)</f>
        <v>0</v>
      </c>
      <c r="L11" s="533" cm="1">
        <f t="array" ref="L11">ROUNDUP(INDEX(Dem!$F$45:$H$48,MATCH(Buildings_DR!$E11,Dem!$B$5:$B$8,0),MATCH(RIGHT(L$7,3),Dem!$F$1:$H$1,0))*_xlfn.IFS(RIGHT($D11,1)="H",$H$4,RIGHT($D11,1)="M",$H$3,RIGHT($D11,1)="L",$H$2),2)</f>
        <v>0</v>
      </c>
      <c r="M11" s="533" cm="1">
        <f t="array" ref="M11">ROUNDUP(INDEX(Dem!$F$45:$H$48,MATCH(Buildings_DR!$E11,Dem!$B$5:$B$8,0),MATCH(RIGHT(M$7,3),Dem!$F$1:$H$1,0))*_xlfn.IFS(RIGHT($D11,1)="H",$H$4,RIGHT($D11,1)="M",$H$3,RIGHT($D11,1)="L",$H$2),2)</f>
        <v>0</v>
      </c>
      <c r="N11" s="533" cm="1">
        <f t="array" ref="N11">ROUNDUP(INDEX(Dem!$F$49:$H$52,MATCH(Buildings_DR!$E11,Dem!$B$5:$B$8,0),MATCH(RIGHT(N$7,3),Dem!$F$1:$H$1,0))*_xlfn.IFS(RIGHT($D11,1)="H",$H$4,RIGHT($D11,1)="M",$H$3,RIGHT($D11,1)="L",$H$2),2)</f>
        <v>0</v>
      </c>
      <c r="O11" s="533" cm="1">
        <f t="array" ref="O11">ROUNDUP(INDEX(Dem!$F$49:$H$52,MATCH(Buildings_DR!$E11,Dem!$B$5:$B$8,0),MATCH(RIGHT(O$7,3),Dem!$F$1:$H$1,0))*_xlfn.IFS(RIGHT($D11,1)="H",$H$4,RIGHT($D11,1)="M",$H$3,RIGHT($D11,1)="L",$H$2),2)</f>
        <v>0</v>
      </c>
      <c r="P11" s="533" cm="1">
        <f t="array" ref="P11">ROUNDUP(INDEX(Dem!$F$49:$H$52,MATCH(Buildings_DR!$E11,Dem!$B$5:$B$8,0),MATCH(RIGHT(P$7,3),Dem!$F$1:$H$1,0))*_xlfn.IFS(RIGHT($D11,1)="H",$H$4,RIGHT($D11,1)="M",$H$3,RIGHT($D11,1)="L",$H$2),2)</f>
        <v>0</v>
      </c>
      <c r="Q11" s="533">
        <f t="shared" si="7"/>
        <v>0</v>
      </c>
      <c r="R11" s="533">
        <f t="shared" si="7"/>
        <v>0</v>
      </c>
      <c r="S11" s="533">
        <f t="shared" si="7"/>
        <v>0</v>
      </c>
      <c r="T11" s="533">
        <f t="shared" ref="T11:AE11" si="15">H11*0.99</f>
        <v>0</v>
      </c>
      <c r="U11" s="533">
        <f t="shared" si="15"/>
        <v>0</v>
      </c>
      <c r="V11" s="533">
        <f t="shared" si="15"/>
        <v>0</v>
      </c>
      <c r="W11" s="533">
        <f t="shared" si="15"/>
        <v>0</v>
      </c>
      <c r="X11" s="533">
        <f t="shared" si="15"/>
        <v>0</v>
      </c>
      <c r="Y11" s="533">
        <f t="shared" si="15"/>
        <v>0</v>
      </c>
      <c r="Z11" s="533">
        <f t="shared" si="15"/>
        <v>0</v>
      </c>
      <c r="AA11" s="533">
        <f t="shared" si="15"/>
        <v>0</v>
      </c>
      <c r="AB11" s="533">
        <f t="shared" si="15"/>
        <v>0</v>
      </c>
      <c r="AC11" s="533">
        <f t="shared" si="15"/>
        <v>0</v>
      </c>
      <c r="AD11" s="533">
        <f t="shared" si="15"/>
        <v>0</v>
      </c>
      <c r="AE11" s="533">
        <f t="shared" si="15"/>
        <v>0</v>
      </c>
      <c r="AF11" s="533">
        <v>5</v>
      </c>
      <c r="AG11" s="533">
        <v>5</v>
      </c>
      <c r="AH11" s="533">
        <v>5</v>
      </c>
      <c r="AI11" s="524">
        <f t="shared" ref="AI11:AQ11" si="16">AI10/2+AI12/2</f>
        <v>3.1799999999999997</v>
      </c>
      <c r="AJ11" s="524" t="e">
        <f t="shared" si="16"/>
        <v>#DIV/0!</v>
      </c>
      <c r="AK11" s="524" t="e">
        <f t="shared" si="16"/>
        <v>#DIV/0!</v>
      </c>
      <c r="AL11" s="524">
        <f t="shared" si="16"/>
        <v>3.4562399999999998</v>
      </c>
      <c r="AM11" s="524" t="e">
        <f t="shared" si="16"/>
        <v>#DIV/0!</v>
      </c>
      <c r="AN11" s="524" t="e">
        <f t="shared" si="16"/>
        <v>#DIV/0!</v>
      </c>
      <c r="AO11" s="524">
        <f t="shared" si="16"/>
        <v>3.4849999999999999</v>
      </c>
      <c r="AP11" s="524" t="e">
        <f t="shared" si="16"/>
        <v>#DIV/0!</v>
      </c>
      <c r="AQ11" s="524" t="e">
        <f t="shared" si="16"/>
        <v>#DIV/0!</v>
      </c>
      <c r="AR11" s="524">
        <f t="shared" ref="AR11:AT11" si="17">AR10/2+AR12/2</f>
        <v>3.3999999999999995</v>
      </c>
      <c r="AS11" s="524" t="e">
        <f t="shared" si="17"/>
        <v>#DIV/0!</v>
      </c>
      <c r="AT11" s="524" t="e">
        <f t="shared" si="17"/>
        <v>#DIV/0!</v>
      </c>
      <c r="AU11" s="163">
        <v>1</v>
      </c>
      <c r="AV11" s="162">
        <v>1</v>
      </c>
      <c r="AW11" s="162"/>
      <c r="AX11" s="162"/>
      <c r="AY11" s="162"/>
      <c r="AZ11" s="199"/>
      <c r="BA11" s="531">
        <f t="shared" si="10"/>
        <v>0</v>
      </c>
      <c r="BB11" s="531">
        <f t="shared" si="11"/>
        <v>0</v>
      </c>
      <c r="BC11" s="531">
        <f t="shared" si="12"/>
        <v>0</v>
      </c>
      <c r="BD11" s="532">
        <f t="shared" si="13"/>
        <v>0</v>
      </c>
      <c r="BE11" s="532" t="e">
        <f t="shared" si="13"/>
        <v>#DIV/0!</v>
      </c>
      <c r="BF11" s="532" t="e">
        <f t="shared" si="13"/>
        <v>#DIV/0!</v>
      </c>
      <c r="BH11" s="201"/>
      <c r="BI11" s="201"/>
      <c r="BJ11" s="201"/>
      <c r="BK11" s="201"/>
      <c r="BL11" s="201"/>
      <c r="BM11" s="201"/>
      <c r="BN11" s="201"/>
      <c r="BO11" s="201"/>
      <c r="BP11" s="201"/>
      <c r="BQ11" s="201"/>
      <c r="BR11" s="201"/>
    </row>
    <row r="12" spans="1:70">
      <c r="B12" s="162" t="str">
        <f>Processes!D10</f>
        <v>RDHUDN</v>
      </c>
      <c r="C12" s="162" t="str">
        <f>Processes!E10</f>
        <v xml:space="preserve">Residential Demand Heating Urban Detached -  - New </v>
      </c>
      <c r="D12" s="127" t="str">
        <f>Commodities!$C$38&amp;","&amp;Commodities!$C$42&amp;","&amp;Commodities!$C$50</f>
        <v>RESHUDX,RESHUDB,RESHUDBN</v>
      </c>
      <c r="E12" s="191" t="str">
        <f>E11</f>
        <v>RHUDB</v>
      </c>
      <c r="F12" s="156">
        <v>2011</v>
      </c>
      <c r="G12" s="191">
        <v>2011</v>
      </c>
      <c r="H12" s="533"/>
      <c r="I12" s="533"/>
      <c r="J12" s="533"/>
      <c r="K12" s="533"/>
      <c r="L12" s="533"/>
      <c r="M12" s="533"/>
      <c r="N12" s="533"/>
      <c r="O12" s="533"/>
      <c r="P12" s="533"/>
      <c r="Q12" s="533"/>
      <c r="R12" s="533"/>
      <c r="S12" s="533"/>
      <c r="T12" s="533"/>
      <c r="U12" s="533"/>
      <c r="V12" s="533"/>
      <c r="W12" s="533"/>
      <c r="X12" s="533"/>
      <c r="Y12" s="533"/>
      <c r="Z12" s="533"/>
      <c r="AA12" s="533"/>
      <c r="AB12" s="533"/>
      <c r="AC12" s="533"/>
      <c r="AD12" s="533"/>
      <c r="AE12" s="533"/>
      <c r="AF12" s="533"/>
      <c r="AG12" s="533"/>
      <c r="AH12" s="533"/>
      <c r="AI12" s="525">
        <f>ROUND(Sources!$T$8,2)</f>
        <v>4.01</v>
      </c>
      <c r="AJ12" s="525">
        <f>ROUND(Sources!$T$8,2)</f>
        <v>4.01</v>
      </c>
      <c r="AK12" s="525">
        <f>ROUND(Sources!$T$8,2)</f>
        <v>4.01</v>
      </c>
      <c r="AL12" s="525">
        <f>ROUND(Sources!$T$8,2)</f>
        <v>4.01</v>
      </c>
      <c r="AM12" s="525">
        <f>ROUND(Sources!$T$8,2)</f>
        <v>4.01</v>
      </c>
      <c r="AN12" s="525">
        <f>ROUND(Sources!$T$8,2)</f>
        <v>4.01</v>
      </c>
      <c r="AO12" s="525">
        <f>ROUND(Sources!$T$8,2)</f>
        <v>4.01</v>
      </c>
      <c r="AP12" s="525">
        <f>ROUND(Sources!$T$8,2)</f>
        <v>4.01</v>
      </c>
      <c r="AQ12" s="525">
        <f>ROUND(Sources!$T$8,2)</f>
        <v>4.01</v>
      </c>
      <c r="AR12" s="525">
        <f>ROUND(Sources!$T$8,2)</f>
        <v>4.01</v>
      </c>
      <c r="AS12" s="525">
        <f>ROUND(Sources!$T$8,2)</f>
        <v>4.01</v>
      </c>
      <c r="AT12" s="525">
        <f>ROUND(Sources!$T$8,2)</f>
        <v>4.01</v>
      </c>
      <c r="AU12" s="163">
        <v>1</v>
      </c>
      <c r="AV12" s="168">
        <v>1</v>
      </c>
      <c r="AW12" s="162">
        <v>100</v>
      </c>
      <c r="AX12" s="162"/>
      <c r="BA12" s="531">
        <f t="shared" si="10"/>
        <v>0</v>
      </c>
      <c r="BB12" s="531">
        <f t="shared" si="11"/>
        <v>0</v>
      </c>
      <c r="BC12" s="531">
        <f t="shared" si="12"/>
        <v>0</v>
      </c>
      <c r="BD12" s="532">
        <f t="shared" ref="BD12:BF15" si="18">BA12/AI26</f>
        <v>0</v>
      </c>
      <c r="BE12" s="532">
        <f t="shared" si="18"/>
        <v>0</v>
      </c>
      <c r="BF12" s="532">
        <f t="shared" si="18"/>
        <v>0</v>
      </c>
      <c r="BH12" s="201"/>
      <c r="BI12" s="201"/>
      <c r="BJ12" s="201"/>
      <c r="BK12" s="201"/>
      <c r="BL12" s="201"/>
      <c r="BM12" s="201"/>
      <c r="BN12" s="201"/>
      <c r="BO12" s="201"/>
      <c r="BP12" s="201"/>
      <c r="BQ12" s="201"/>
      <c r="BR12" s="201"/>
    </row>
    <row r="13" spans="1:70">
      <c r="B13" s="162"/>
      <c r="C13" s="162"/>
      <c r="D13" s="557"/>
      <c r="E13" s="191"/>
      <c r="F13" s="156">
        <v>2016</v>
      </c>
      <c r="H13" s="533"/>
      <c r="I13" s="533"/>
      <c r="J13" s="533"/>
      <c r="K13" s="533"/>
      <c r="L13" s="533"/>
      <c r="M13" s="533"/>
      <c r="N13" s="533"/>
      <c r="O13" s="533"/>
      <c r="P13" s="533"/>
      <c r="Q13" s="533"/>
      <c r="R13" s="533"/>
      <c r="S13" s="533"/>
      <c r="T13" s="533"/>
      <c r="U13" s="533"/>
      <c r="V13" s="533"/>
      <c r="W13" s="533"/>
      <c r="X13" s="533"/>
      <c r="Y13" s="533"/>
      <c r="Z13" s="533"/>
      <c r="AA13" s="533"/>
      <c r="AB13" s="533"/>
      <c r="AC13" s="533"/>
      <c r="AD13" s="533"/>
      <c r="AE13" s="533"/>
      <c r="AF13" s="533"/>
      <c r="AG13" s="533"/>
      <c r="AH13" s="533"/>
      <c r="AI13" s="525">
        <f>ROUND(Sources!$T$9,2)</f>
        <v>4.75</v>
      </c>
      <c r="AJ13" s="525">
        <f>ROUND(Sources!$T$9,2)</f>
        <v>4.75</v>
      </c>
      <c r="AK13" s="525">
        <f>ROUND(Sources!$T$9,2)</f>
        <v>4.75</v>
      </c>
      <c r="AL13" s="525">
        <f>ROUND(Sources!$T$9,2)</f>
        <v>4.75</v>
      </c>
      <c r="AM13" s="525">
        <f>ROUND(Sources!$T$9,2)</f>
        <v>4.75</v>
      </c>
      <c r="AN13" s="525">
        <f>ROUND(Sources!$T$9,2)</f>
        <v>4.75</v>
      </c>
      <c r="AO13" s="525">
        <f>ROUND(Sources!$T$9,2)</f>
        <v>4.75</v>
      </c>
      <c r="AP13" s="525">
        <f>ROUND(Sources!$T$9,2)</f>
        <v>4.75</v>
      </c>
      <c r="AQ13" s="525">
        <f>ROUND(Sources!$T$9,2)</f>
        <v>4.75</v>
      </c>
      <c r="AR13" s="525">
        <f>ROUND(Sources!$T$9,2)</f>
        <v>4.75</v>
      </c>
      <c r="AS13" s="525">
        <f>ROUND(Sources!$T$9,2)</f>
        <v>4.75</v>
      </c>
      <c r="AT13" s="525">
        <f>ROUND(Sources!$T$9,2)</f>
        <v>4.75</v>
      </c>
      <c r="AU13" s="163">
        <v>1</v>
      </c>
      <c r="AV13" s="168">
        <v>1</v>
      </c>
      <c r="AW13" s="162">
        <v>100</v>
      </c>
      <c r="AX13" s="162"/>
      <c r="BA13" s="531">
        <f t="shared" si="10"/>
        <v>0</v>
      </c>
      <c r="BB13" s="531">
        <f t="shared" si="11"/>
        <v>0</v>
      </c>
      <c r="BC13" s="531">
        <f t="shared" si="12"/>
        <v>0</v>
      </c>
      <c r="BD13" s="532">
        <f t="shared" si="18"/>
        <v>0</v>
      </c>
      <c r="BE13" s="532">
        <f t="shared" si="18"/>
        <v>0</v>
      </c>
      <c r="BF13" s="532">
        <f t="shared" si="18"/>
        <v>0</v>
      </c>
      <c r="BH13" s="201"/>
      <c r="BI13" s="201"/>
      <c r="BJ13" s="201"/>
      <c r="BK13" s="201"/>
      <c r="BL13" s="201"/>
      <c r="BM13" s="201"/>
      <c r="BN13" s="201"/>
      <c r="BO13" s="201"/>
      <c r="BP13" s="201"/>
      <c r="BQ13" s="201"/>
      <c r="BR13" s="201"/>
    </row>
    <row r="14" spans="1:70">
      <c r="B14" s="162"/>
      <c r="C14" s="162"/>
      <c r="D14" s="557"/>
      <c r="E14" s="191"/>
      <c r="F14" s="156">
        <v>2021</v>
      </c>
      <c r="H14" s="533"/>
      <c r="I14" s="533"/>
      <c r="J14" s="533"/>
      <c r="K14" s="533"/>
      <c r="L14" s="533"/>
      <c r="M14" s="533"/>
      <c r="N14" s="533"/>
      <c r="O14" s="533"/>
      <c r="P14" s="533"/>
      <c r="Q14" s="533"/>
      <c r="R14" s="533"/>
      <c r="S14" s="533"/>
      <c r="T14" s="533"/>
      <c r="U14" s="533"/>
      <c r="V14" s="533"/>
      <c r="W14" s="533"/>
      <c r="X14" s="533"/>
      <c r="Y14" s="533"/>
      <c r="Z14" s="533"/>
      <c r="AA14" s="533"/>
      <c r="AB14" s="533"/>
      <c r="AC14" s="533"/>
      <c r="AD14" s="533"/>
      <c r="AE14" s="533"/>
      <c r="AF14" s="533"/>
      <c r="AG14" s="533"/>
      <c r="AH14" s="533"/>
      <c r="AI14" s="525">
        <f>ROUND(Sources!$T$10,2)</f>
        <v>6.08</v>
      </c>
      <c r="AJ14" s="525">
        <f>ROUND(Sources!$T$10,2)</f>
        <v>6.08</v>
      </c>
      <c r="AK14" s="525">
        <f>ROUND(Sources!$T$10,2)</f>
        <v>6.08</v>
      </c>
      <c r="AL14" s="525">
        <f>ROUND(Sources!$T$10,2)</f>
        <v>6.08</v>
      </c>
      <c r="AM14" s="525">
        <f>ROUND(Sources!$T$10,2)</f>
        <v>6.08</v>
      </c>
      <c r="AN14" s="525">
        <f>ROUND(Sources!$T$10,2)</f>
        <v>6.08</v>
      </c>
      <c r="AO14" s="525">
        <f>ROUND(Sources!$T$10,2)</f>
        <v>6.08</v>
      </c>
      <c r="AP14" s="525">
        <f>ROUND(Sources!$T$10,2)</f>
        <v>6.08</v>
      </c>
      <c r="AQ14" s="525">
        <f>ROUND(Sources!$T$10,2)</f>
        <v>6.08</v>
      </c>
      <c r="AR14" s="525">
        <f>ROUND(Sources!$T$10,2)</f>
        <v>6.08</v>
      </c>
      <c r="AS14" s="525">
        <f>ROUND(Sources!$T$10,2)</f>
        <v>6.08</v>
      </c>
      <c r="AT14" s="525">
        <f>ROUND(Sources!$T$10,2)</f>
        <v>6.08</v>
      </c>
      <c r="AU14" s="163">
        <v>1</v>
      </c>
      <c r="AV14" s="168">
        <v>1</v>
      </c>
      <c r="AW14" s="162">
        <v>100</v>
      </c>
      <c r="AX14" s="162"/>
      <c r="BA14" s="531">
        <f t="shared" si="10"/>
        <v>0</v>
      </c>
      <c r="BB14" s="531">
        <f t="shared" si="11"/>
        <v>0</v>
      </c>
      <c r="BC14" s="531">
        <f t="shared" si="12"/>
        <v>0</v>
      </c>
      <c r="BD14" s="532">
        <f t="shared" si="18"/>
        <v>0</v>
      </c>
      <c r="BE14" s="532">
        <f t="shared" si="18"/>
        <v>0</v>
      </c>
      <c r="BF14" s="532">
        <f t="shared" si="18"/>
        <v>0</v>
      </c>
      <c r="BH14" s="201"/>
      <c r="BI14" s="201"/>
      <c r="BJ14" s="201"/>
      <c r="BK14" s="201"/>
      <c r="BL14" s="201"/>
      <c r="BM14" s="201"/>
      <c r="BN14" s="201"/>
      <c r="BO14" s="201"/>
      <c r="BP14" s="201"/>
      <c r="BQ14" s="201"/>
      <c r="BR14" s="201"/>
    </row>
    <row r="15" spans="1:70" ht="13.8" thickBot="1">
      <c r="B15" s="162"/>
      <c r="C15" s="162"/>
      <c r="D15" s="557"/>
      <c r="E15" s="212"/>
      <c r="F15" s="164">
        <v>2031</v>
      </c>
      <c r="G15" s="164"/>
      <c r="H15" s="534"/>
      <c r="I15" s="534"/>
      <c r="J15" s="534"/>
      <c r="K15" s="534"/>
      <c r="L15" s="534"/>
      <c r="M15" s="534"/>
      <c r="N15" s="534"/>
      <c r="O15" s="534"/>
      <c r="P15" s="534"/>
      <c r="Q15" s="533"/>
      <c r="R15" s="533"/>
      <c r="S15" s="533"/>
      <c r="T15" s="533"/>
      <c r="U15" s="533"/>
      <c r="V15" s="533"/>
      <c r="W15" s="533"/>
      <c r="X15" s="533"/>
      <c r="Y15" s="533"/>
      <c r="Z15" s="533"/>
      <c r="AA15" s="533"/>
      <c r="AB15" s="533"/>
      <c r="AC15" s="533"/>
      <c r="AD15" s="533"/>
      <c r="AE15" s="533"/>
      <c r="AF15" s="533"/>
      <c r="AG15" s="533"/>
      <c r="AH15" s="533"/>
      <c r="AI15" s="525">
        <f>ROUND(Sources!$T$11,2)</f>
        <v>6.94</v>
      </c>
      <c r="AJ15" s="525">
        <f>ROUND(Sources!$T$11,2)</f>
        <v>6.94</v>
      </c>
      <c r="AK15" s="525">
        <f>ROUND(Sources!$T$11,2)</f>
        <v>6.94</v>
      </c>
      <c r="AL15" s="525">
        <f>ROUND(Sources!$T$11,2)</f>
        <v>6.94</v>
      </c>
      <c r="AM15" s="525">
        <f>ROUND(Sources!$T$11,2)</f>
        <v>6.94</v>
      </c>
      <c r="AN15" s="525">
        <f>ROUND(Sources!$T$11,2)</f>
        <v>6.94</v>
      </c>
      <c r="AO15" s="525">
        <f>ROUND(Sources!$T$11,2)</f>
        <v>6.94</v>
      </c>
      <c r="AP15" s="525">
        <f>ROUND(Sources!$T$11,2)</f>
        <v>6.94</v>
      </c>
      <c r="AQ15" s="525">
        <f>ROUND(Sources!$T$11,2)</f>
        <v>6.94</v>
      </c>
      <c r="AR15" s="525">
        <f>ROUND(Sources!$T$11,2)</f>
        <v>6.94</v>
      </c>
      <c r="AS15" s="525">
        <f>ROUND(Sources!$T$11,2)</f>
        <v>6.94</v>
      </c>
      <c r="AT15" s="525">
        <f>ROUND(Sources!$T$11,2)</f>
        <v>6.94</v>
      </c>
      <c r="AU15" s="163">
        <v>1</v>
      </c>
      <c r="AV15" s="168">
        <v>1</v>
      </c>
      <c r="AW15" s="162">
        <v>100</v>
      </c>
      <c r="AX15" s="162"/>
      <c r="BA15" s="531">
        <f t="shared" si="10"/>
        <v>0</v>
      </c>
      <c r="BB15" s="531">
        <f t="shared" si="11"/>
        <v>0</v>
      </c>
      <c r="BC15" s="531">
        <f t="shared" si="12"/>
        <v>0</v>
      </c>
      <c r="BD15" s="532">
        <f t="shared" si="18"/>
        <v>0</v>
      </c>
      <c r="BE15" s="532">
        <f t="shared" si="18"/>
        <v>0</v>
      </c>
      <c r="BF15" s="532">
        <f t="shared" si="18"/>
        <v>0</v>
      </c>
      <c r="BH15" s="201"/>
      <c r="BI15" s="201"/>
      <c r="BJ15" s="201"/>
      <c r="BK15" s="201"/>
      <c r="BL15" s="201"/>
      <c r="BM15" s="201"/>
      <c r="BN15" s="201"/>
      <c r="BO15" s="201"/>
      <c r="BP15" s="201"/>
      <c r="BQ15" s="201"/>
      <c r="BR15" s="201"/>
    </row>
    <row r="16" spans="1:70" ht="13.8" thickBot="1">
      <c r="B16" s="165" t="str">
        <f>Processes!D11</f>
        <v>RDHRDL</v>
      </c>
      <c r="C16" s="165" t="str">
        <f>Processes!E11</f>
        <v xml:space="preserve">Residential Demand Heating Rural Detached -  - Low </v>
      </c>
      <c r="D16" s="127" t="str">
        <f>Commodities!$C$39&amp;","&amp;Commodities!$C$43&amp;","&amp;Commodities!$C$47&amp;","&amp;Commodities!$C$83&amp;","&amp;Commodities!C61</f>
        <v>RESHRDX,RESHRDB,RESHRDBE,RESHSAV,RESHRDSL</v>
      </c>
      <c r="E16" s="7" t="str">
        <f>Commodities!C8</f>
        <v>RHRDB</v>
      </c>
      <c r="G16" s="166"/>
      <c r="H16" s="533" cm="1">
        <f t="array" ref="H16">ROUNDUP(INDEX(Dem!$F$41:$H$44,MATCH(Buildings_DR!$E16,Dem!$B$5:$B$8,0),MATCH(RIGHT(H$7,3),Dem!$F$1:$H$1,0))*_xlfn.IFS(RIGHT($D16,1)="H",$H$4,RIGHT($D16,1)="M",$H$3,RIGHT($D16,1)="L",$H$2),2)</f>
        <v>0</v>
      </c>
      <c r="I16" s="533" cm="1">
        <f t="array" ref="I16">ROUNDUP(INDEX(Dem!$F$41:$H$44,MATCH(Buildings_DR!$E16,Dem!$B$5:$B$8,0),MATCH(RIGHT(I$7,3),Dem!$F$1:$H$1,0))*_xlfn.IFS(RIGHT($D16,1)="H",$H$4,RIGHT($D16,1)="M",$H$3,RIGHT($D16,1)="L",$H$2),2)</f>
        <v>0</v>
      </c>
      <c r="J16" s="533" cm="1">
        <f t="array" ref="J16">ROUNDUP(INDEX(Dem!$F$41:$H$44,MATCH(Buildings_DR!$E16,Dem!$B$5:$B$8,0),MATCH(RIGHT(J$7,3),Dem!$F$1:$H$1,0))*_xlfn.IFS(RIGHT($D16,1)="H",$H$4,RIGHT($D16,1)="M",$H$3,RIGHT($D16,1)="L",$H$2),2)</f>
        <v>0</v>
      </c>
      <c r="K16" s="533" cm="1">
        <f t="array" ref="K16">ROUNDUP(INDEX(Dem!$F$45:$H$48,MATCH(Buildings_DR!$E16,Dem!$B$5:$B$8,0),MATCH(RIGHT(K$7,3),Dem!$F$1:$H$1,0))*_xlfn.IFS(RIGHT($D16,1)="H",$H$4,RIGHT($D16,1)="M",$H$3,RIGHT($D16,1)="L",$H$2),2)</f>
        <v>0</v>
      </c>
      <c r="L16" s="533" cm="1">
        <f t="array" ref="L16">ROUNDUP(INDEX(Dem!$F$45:$H$48,MATCH(Buildings_DR!$E16,Dem!$B$5:$B$8,0),MATCH(RIGHT(L$7,3),Dem!$F$1:$H$1,0))*_xlfn.IFS(RIGHT($D16,1)="H",$H$4,RIGHT($D16,1)="M",$H$3,RIGHT($D16,1)="L",$H$2),2)</f>
        <v>0</v>
      </c>
      <c r="M16" s="533" cm="1">
        <f t="array" ref="M16">ROUNDUP(INDEX(Dem!$F$45:$H$48,MATCH(Buildings_DR!$E16,Dem!$B$5:$B$8,0),MATCH(RIGHT(M$7,3),Dem!$F$1:$H$1,0))*_xlfn.IFS(RIGHT($D16,1)="H",$H$4,RIGHT($D16,1)="M",$H$3,RIGHT($D16,1)="L",$H$2),2)</f>
        <v>0</v>
      </c>
      <c r="N16" s="533" cm="1">
        <f t="array" ref="N16">ROUNDUP(INDEX(Dem!$F$49:$H$52,MATCH(Buildings_DR!$E16,Dem!$B$5:$B$8,0),MATCH(RIGHT(N$7,3),Dem!$F$1:$H$1,0))*_xlfn.IFS(RIGHT($D16,1)="H",$H$4,RIGHT($D16,1)="M",$H$3,RIGHT($D16,1)="L",$H$2),2)</f>
        <v>0</v>
      </c>
      <c r="O16" s="533" cm="1">
        <f t="array" ref="O16">ROUNDUP(INDEX(Dem!$F$49:$H$52,MATCH(Buildings_DR!$E16,Dem!$B$5:$B$8,0),MATCH(RIGHT(O$7,3),Dem!$F$1:$H$1,0))*_xlfn.IFS(RIGHT($D16,1)="H",$H$4,RIGHT($D16,1)="M",$H$3,RIGHT($D16,1)="L",$H$2),2)</f>
        <v>0</v>
      </c>
      <c r="P16" s="533" cm="1">
        <f t="array" ref="P16">ROUNDUP(INDEX(Dem!$F$49:$H$52,MATCH(Buildings_DR!$E16,Dem!$B$5:$B$8,0),MATCH(RIGHT(P$7,3),Dem!$F$1:$H$1,0))*_xlfn.IFS(RIGHT($D16,1)="H",$H$4,RIGHT($D16,1)="M",$H$3,RIGHT($D16,1)="L",$H$2),2)</f>
        <v>0</v>
      </c>
      <c r="Q16" s="533">
        <f t="shared" ref="Q16:S18" si="19">H16*0.6</f>
        <v>0</v>
      </c>
      <c r="R16" s="533">
        <f t="shared" si="19"/>
        <v>0</v>
      </c>
      <c r="S16" s="533">
        <f t="shared" si="19"/>
        <v>0</v>
      </c>
      <c r="T16" s="533">
        <f t="shared" ref="T16:AE16" si="20">H16*0.99</f>
        <v>0</v>
      </c>
      <c r="U16" s="533">
        <f t="shared" si="20"/>
        <v>0</v>
      </c>
      <c r="V16" s="533">
        <f t="shared" si="20"/>
        <v>0</v>
      </c>
      <c r="W16" s="533">
        <f t="shared" si="20"/>
        <v>0</v>
      </c>
      <c r="X16" s="533">
        <f t="shared" si="20"/>
        <v>0</v>
      </c>
      <c r="Y16" s="533">
        <f t="shared" si="20"/>
        <v>0</v>
      </c>
      <c r="Z16" s="533">
        <f t="shared" si="20"/>
        <v>0</v>
      </c>
      <c r="AA16" s="533">
        <f t="shared" si="20"/>
        <v>0</v>
      </c>
      <c r="AB16" s="533">
        <f t="shared" si="20"/>
        <v>0</v>
      </c>
      <c r="AC16" s="533">
        <f t="shared" si="20"/>
        <v>0</v>
      </c>
      <c r="AD16" s="533">
        <f t="shared" si="20"/>
        <v>0</v>
      </c>
      <c r="AE16" s="533">
        <f t="shared" si="20"/>
        <v>0</v>
      </c>
      <c r="AF16" s="533">
        <v>5</v>
      </c>
      <c r="AG16" s="533">
        <v>5</v>
      </c>
      <c r="AH16" s="533">
        <v>5</v>
      </c>
      <c r="AI16" s="523">
        <f t="shared" ref="AI16:AT16" si="21">AI17/2</f>
        <v>1.095</v>
      </c>
      <c r="AJ16" s="523" t="e">
        <f t="shared" si="21"/>
        <v>#DIV/0!</v>
      </c>
      <c r="AK16" s="523" t="e">
        <f t="shared" si="21"/>
        <v>#DIV/0!</v>
      </c>
      <c r="AL16" s="523">
        <f t="shared" si="21"/>
        <v>1.3518399999999999</v>
      </c>
      <c r="AM16" s="523" t="e">
        <f t="shared" si="21"/>
        <v>#DIV/0!</v>
      </c>
      <c r="AN16" s="523" t="e">
        <f t="shared" si="21"/>
        <v>#DIV/0!</v>
      </c>
      <c r="AO16" s="523">
        <f t="shared" si="21"/>
        <v>1.38</v>
      </c>
      <c r="AP16" s="523" t="e">
        <f t="shared" si="21"/>
        <v>#DIV/0!</v>
      </c>
      <c r="AQ16" s="523" t="e">
        <f t="shared" si="21"/>
        <v>#DIV/0!</v>
      </c>
      <c r="AR16" s="523">
        <f t="shared" si="21"/>
        <v>1.325</v>
      </c>
      <c r="AS16" s="523" t="e">
        <f t="shared" si="21"/>
        <v>#DIV/0!</v>
      </c>
      <c r="AT16" s="523" t="e">
        <f t="shared" si="21"/>
        <v>#DIV/0!</v>
      </c>
      <c r="AU16" s="167">
        <v>1</v>
      </c>
      <c r="AV16" s="165">
        <v>1</v>
      </c>
      <c r="AW16" s="160"/>
      <c r="AX16" s="162"/>
      <c r="AY16" s="162"/>
      <c r="AZ16" s="199"/>
      <c r="BA16" s="531">
        <f t="shared" si="10"/>
        <v>0</v>
      </c>
      <c r="BB16" s="531">
        <f t="shared" si="11"/>
        <v>0</v>
      </c>
      <c r="BC16" s="531">
        <f t="shared" si="12"/>
        <v>0</v>
      </c>
      <c r="BD16" s="532">
        <f t="shared" ref="BD16:BD25" si="22">BA16/AI16</f>
        <v>0</v>
      </c>
      <c r="BE16" s="532" t="e">
        <f t="shared" ref="BE16:BE25" si="23">BB16/AJ16</f>
        <v>#DIV/0!</v>
      </c>
      <c r="BF16" s="532" t="e">
        <f t="shared" ref="BF16:BF25" si="24">BC16/AK16</f>
        <v>#DIV/0!</v>
      </c>
      <c r="BH16" s="201"/>
      <c r="BI16" s="201"/>
      <c r="BJ16" s="201"/>
      <c r="BK16" s="201"/>
      <c r="BL16" s="201"/>
      <c r="BM16" s="201"/>
      <c r="BN16" s="201"/>
      <c r="BO16" s="201"/>
      <c r="BP16" s="201"/>
      <c r="BQ16" s="201"/>
      <c r="BR16" s="201"/>
    </row>
    <row r="17" spans="1:70">
      <c r="A17" s="162"/>
      <c r="B17" s="162" t="str">
        <f>Processes!D12</f>
        <v>RDHRDM</v>
      </c>
      <c r="C17" s="162" t="str">
        <f>Processes!E12</f>
        <v xml:space="preserve">Residential Demand Heating Rural Detached -  - Medium </v>
      </c>
      <c r="D17" s="127" t="str">
        <f>Commodities!$C$39&amp;","&amp;Commodities!$C$43&amp;","&amp;Commodities!$C$47&amp;","&amp;Commodities!$C$83&amp;","&amp;Commodities!C62</f>
        <v>RESHRDX,RESHRDB,RESHRDBE,RESHSAV,RESHRDSM</v>
      </c>
      <c r="E17" s="191" t="str">
        <f>E16</f>
        <v>RHRDB</v>
      </c>
      <c r="G17" s="191"/>
      <c r="H17" s="533" cm="1">
        <f t="array" ref="H17">ROUNDUP(INDEX(Dem!$F$41:$H$44,MATCH(Buildings_DR!$E17,Dem!$B$5:$B$8,0),MATCH(RIGHT(H$7,3),Dem!$F$1:$H$1,0))*_xlfn.IFS(RIGHT($D17,1)="H",$H$4,RIGHT($D17,1)="M",$H$3,RIGHT($D17,1)="L",$H$2),2)</f>
        <v>1082.78</v>
      </c>
      <c r="I17" s="533" cm="1">
        <f t="array" ref="I17">ROUNDUP(INDEX(Dem!$F$41:$H$44,MATCH(Buildings_DR!$E17,Dem!$B$5:$B$8,0),MATCH(RIGHT(I$7,3),Dem!$F$1:$H$1,0))*_xlfn.IFS(RIGHT($D17,1)="H",$H$4,RIGHT($D17,1)="M",$H$3,RIGHT($D17,1)="L",$H$2),2)</f>
        <v>0</v>
      </c>
      <c r="J17" s="533" cm="1">
        <f t="array" ref="J17">ROUNDUP(INDEX(Dem!$F$41:$H$44,MATCH(Buildings_DR!$E17,Dem!$B$5:$B$8,0),MATCH(RIGHT(J$7,3),Dem!$F$1:$H$1,0))*_xlfn.IFS(RIGHT($D17,1)="H",$H$4,RIGHT($D17,1)="M",$H$3,RIGHT($D17,1)="L",$H$2),2)</f>
        <v>0</v>
      </c>
      <c r="K17" s="533" cm="1">
        <f t="array" ref="K17">ROUNDUP(INDEX(Dem!$F$45:$H$48,MATCH(Buildings_DR!$E17,Dem!$B$5:$B$8,0),MATCH(RIGHT(K$7,3),Dem!$F$1:$H$1,0))*_xlfn.IFS(RIGHT($D17,1)="H",$H$4,RIGHT($D17,1)="M",$H$3,RIGHT($D17,1)="L",$H$2),2)</f>
        <v>1116.8599999999999</v>
      </c>
      <c r="L17" s="533" cm="1">
        <f t="array" ref="L17">ROUNDUP(INDEX(Dem!$F$45:$H$48,MATCH(Buildings_DR!$E17,Dem!$B$5:$B$8,0),MATCH(RIGHT(L$7,3),Dem!$F$1:$H$1,0))*_xlfn.IFS(RIGHT($D17,1)="H",$H$4,RIGHT($D17,1)="M",$H$3,RIGHT($D17,1)="L",$H$2),2)</f>
        <v>0</v>
      </c>
      <c r="M17" s="533" cm="1">
        <f t="array" ref="M17">ROUNDUP(INDEX(Dem!$F$45:$H$48,MATCH(Buildings_DR!$E17,Dem!$B$5:$B$8,0),MATCH(RIGHT(M$7,3),Dem!$F$1:$H$1,0))*_xlfn.IFS(RIGHT($D17,1)="H",$H$4,RIGHT($D17,1)="M",$H$3,RIGHT($D17,1)="L",$H$2),2)</f>
        <v>0</v>
      </c>
      <c r="N17" s="533" cm="1">
        <f t="array" ref="N17">ROUNDUP(INDEX(Dem!$F$49:$H$52,MATCH(Buildings_DR!$E17,Dem!$B$5:$B$8,0),MATCH(RIGHT(N$7,3),Dem!$F$1:$H$1,0))*_xlfn.IFS(RIGHT($D17,1)="H",$H$4,RIGHT($D17,1)="M",$H$3,RIGHT($D17,1)="L",$H$2),2)</f>
        <v>1133.5999999999999</v>
      </c>
      <c r="O17" s="533" cm="1">
        <f t="array" ref="O17">ROUNDUP(INDEX(Dem!$F$49:$H$52,MATCH(Buildings_DR!$E17,Dem!$B$5:$B$8,0),MATCH(RIGHT(O$7,3),Dem!$F$1:$H$1,0))*_xlfn.IFS(RIGHT($D17,1)="H",$H$4,RIGHT($D17,1)="M",$H$3,RIGHT($D17,1)="L",$H$2),2)</f>
        <v>0</v>
      </c>
      <c r="P17" s="533" cm="1">
        <f t="array" ref="P17">ROUNDUP(INDEX(Dem!$F$49:$H$52,MATCH(Buildings_DR!$E17,Dem!$B$5:$B$8,0),MATCH(RIGHT(P$7,3),Dem!$F$1:$H$1,0))*_xlfn.IFS(RIGHT($D17,1)="H",$H$4,RIGHT($D17,1)="M",$H$3,RIGHT($D17,1)="L",$H$2),2)</f>
        <v>0</v>
      </c>
      <c r="Q17" s="533">
        <f t="shared" si="19"/>
        <v>649.66800000000001</v>
      </c>
      <c r="R17" s="533">
        <f t="shared" si="19"/>
        <v>0</v>
      </c>
      <c r="S17" s="533">
        <f t="shared" si="19"/>
        <v>0</v>
      </c>
      <c r="T17" s="533">
        <f t="shared" ref="T17:AB17" si="25">H17*$K$2</f>
        <v>1071.9521999999999</v>
      </c>
      <c r="U17" s="533">
        <f t="shared" si="25"/>
        <v>0</v>
      </c>
      <c r="V17" s="533">
        <f t="shared" si="25"/>
        <v>0</v>
      </c>
      <c r="W17" s="533">
        <f t="shared" si="25"/>
        <v>1105.6913999999999</v>
      </c>
      <c r="X17" s="533">
        <f t="shared" si="25"/>
        <v>0</v>
      </c>
      <c r="Y17" s="533">
        <f t="shared" si="25"/>
        <v>0</v>
      </c>
      <c r="Z17" s="533">
        <f t="shared" si="25"/>
        <v>1122.2639999999999</v>
      </c>
      <c r="AA17" s="533">
        <f t="shared" si="25"/>
        <v>0</v>
      </c>
      <c r="AB17" s="533">
        <f t="shared" si="25"/>
        <v>0</v>
      </c>
      <c r="AC17" s="533">
        <f>Q17*$K$3</f>
        <v>643.17132000000004</v>
      </c>
      <c r="AD17" s="533">
        <f>R17*$K$3</f>
        <v>0</v>
      </c>
      <c r="AE17" s="533">
        <f>S17*$K$3</f>
        <v>0</v>
      </c>
      <c r="AF17" s="533">
        <v>5</v>
      </c>
      <c r="AG17" s="533">
        <v>5</v>
      </c>
      <c r="AH17" s="533">
        <v>5</v>
      </c>
      <c r="AI17" s="524">
        <f>ROUNDUP(SUM(H16:H22)/SUM(Boilers_DR!AB16:AB25),2)</f>
        <v>2.19</v>
      </c>
      <c r="AJ17" s="524" t="e">
        <f>ROUNDUP(SUM(I16:I22)/SUM(Boilers_DR!AC16:AC25),2)</f>
        <v>#DIV/0!</v>
      </c>
      <c r="AK17" s="524" t="e">
        <f>ROUNDUP(SUM(J16:J22)/SUM(Boilers_DR!AD16:AD25),2)</f>
        <v>#DIV/0!</v>
      </c>
      <c r="AL17" s="524">
        <f>ROUNDUP(SUM(K16:K22)/SUM(Boilers_DR!AB56:AB65),2)*AL3</f>
        <v>2.7036799999999999</v>
      </c>
      <c r="AM17" s="524" t="e">
        <f>ROUNDUP(SUM(L16:L22)/SUM(Boilers_DR!AC56:AC65),2)*AM3</f>
        <v>#DIV/0!</v>
      </c>
      <c r="AN17" s="524" t="e">
        <f>ROUNDUP(SUM(M16:M22)/SUM(Boilers_DR!AD56:AD65),2)*AN3</f>
        <v>#DIV/0!</v>
      </c>
      <c r="AO17" s="524">
        <f>ROUNDUP(SUM(N16:N22)/SUM(Boilers_DR!AB96:AB105),2)</f>
        <v>2.76</v>
      </c>
      <c r="AP17" s="524" t="e">
        <f>ROUNDUP(SUM(O16:O22)/SUM(Boilers_DR!AC96:AC105),2)</f>
        <v>#DIV/0!</v>
      </c>
      <c r="AQ17" s="524" t="e">
        <f>ROUNDUP(SUM(P16:P22)/SUM(Boilers_DR!AD96:AD105),2)</f>
        <v>#DIV/0!</v>
      </c>
      <c r="AR17" s="524">
        <f>ROUNDUP(SUM(N16:N22)/SUM(Boilers_DR!AB136:AB145),2)</f>
        <v>2.65</v>
      </c>
      <c r="AS17" s="524" t="e">
        <f>ROUNDUP(SUM(O16:O22)/SUM(Boilers_DR!AC136:AC145),2)</f>
        <v>#DIV/0!</v>
      </c>
      <c r="AT17" s="524" t="e">
        <f>ROUNDUP(SUM(P16:P22)/SUM(Boilers_DR!AD136:AD145),2)</f>
        <v>#DIV/0!</v>
      </c>
      <c r="AU17" s="163">
        <v>1</v>
      </c>
      <c r="AV17" s="162">
        <v>1</v>
      </c>
      <c r="AW17" s="160"/>
      <c r="AX17" s="162"/>
      <c r="AY17" s="162"/>
      <c r="AZ17" s="199"/>
      <c r="BA17" s="531">
        <f t="shared" si="10"/>
        <v>1082.78</v>
      </c>
      <c r="BB17" s="531">
        <f t="shared" si="11"/>
        <v>0</v>
      </c>
      <c r="BC17" s="531">
        <f t="shared" si="12"/>
        <v>0</v>
      </c>
      <c r="BD17" s="532">
        <f t="shared" si="22"/>
        <v>494.42009132420094</v>
      </c>
      <c r="BE17" s="532" t="e">
        <f t="shared" si="23"/>
        <v>#DIV/0!</v>
      </c>
      <c r="BF17" s="532" t="e">
        <f t="shared" si="24"/>
        <v>#DIV/0!</v>
      </c>
      <c r="BH17" s="201"/>
      <c r="BI17" s="201"/>
      <c r="BJ17" s="201"/>
      <c r="BK17" s="201"/>
      <c r="BL17" s="201"/>
      <c r="BM17" s="201"/>
      <c r="BN17" s="201"/>
      <c r="BO17" s="201"/>
      <c r="BP17" s="201"/>
      <c r="BQ17" s="201"/>
      <c r="BR17" s="201"/>
    </row>
    <row r="18" spans="1:70">
      <c r="A18" s="162"/>
      <c r="B18" s="162" t="str">
        <f>Processes!D13</f>
        <v>RDHRDH</v>
      </c>
      <c r="C18" s="162" t="str">
        <f>Processes!E13</f>
        <v xml:space="preserve">Residential Demand Heating Rural Detached -  - High </v>
      </c>
      <c r="D18" s="127" t="str">
        <f>Commodities!$C$39&amp;","&amp;Commodities!$C$43&amp;","&amp;Commodities!$C$47&amp;","&amp;Commodities!$C$83&amp;","&amp;Commodities!C63</f>
        <v>RESHRDX,RESHRDB,RESHRDBE,RESHSAV,RESHRDSH</v>
      </c>
      <c r="E18" s="191" t="str">
        <f>E17</f>
        <v>RHRDB</v>
      </c>
      <c r="G18" s="191"/>
      <c r="H18" s="533" cm="1">
        <f t="array" ref="H18">ROUNDUP(INDEX(Dem!$F$41:$H$44,MATCH(Buildings_DR!$E18,Dem!$B$5:$B$8,0),MATCH(RIGHT(H$7,3),Dem!$F$1:$H$1,0))*_xlfn.IFS(RIGHT($D18,1)="H",$H$4,RIGHT($D18,1)="M",$H$3,RIGHT($D18,1)="L",$H$2),2)</f>
        <v>0</v>
      </c>
      <c r="I18" s="533" cm="1">
        <f t="array" ref="I18">ROUNDUP(INDEX(Dem!$F$41:$H$44,MATCH(Buildings_DR!$E18,Dem!$B$5:$B$8,0),MATCH(RIGHT(I$7,3),Dem!$F$1:$H$1,0))*_xlfn.IFS(RIGHT($D18,1)="H",$H$4,RIGHT($D18,1)="M",$H$3,RIGHT($D18,1)="L",$H$2),2)</f>
        <v>0</v>
      </c>
      <c r="J18" s="533" cm="1">
        <f t="array" ref="J18">ROUNDUP(INDEX(Dem!$F$41:$H$44,MATCH(Buildings_DR!$E18,Dem!$B$5:$B$8,0),MATCH(RIGHT(J$7,3),Dem!$F$1:$H$1,0))*_xlfn.IFS(RIGHT($D18,1)="H",$H$4,RIGHT($D18,1)="M",$H$3,RIGHT($D18,1)="L",$H$2),2)</f>
        <v>0</v>
      </c>
      <c r="K18" s="533" cm="1">
        <f t="array" ref="K18">ROUNDUP(INDEX(Dem!$F$45:$H$48,MATCH(Buildings_DR!$E18,Dem!$B$5:$B$8,0),MATCH(RIGHT(K$7,3),Dem!$F$1:$H$1,0))*_xlfn.IFS(RIGHT($D18,1)="H",$H$4,RIGHT($D18,1)="M",$H$3,RIGHT($D18,1)="L",$H$2),2)</f>
        <v>0</v>
      </c>
      <c r="L18" s="533" cm="1">
        <f t="array" ref="L18">ROUNDUP(INDEX(Dem!$F$45:$H$48,MATCH(Buildings_DR!$E18,Dem!$B$5:$B$8,0),MATCH(RIGHT(L$7,3),Dem!$F$1:$H$1,0))*_xlfn.IFS(RIGHT($D18,1)="H",$H$4,RIGHT($D18,1)="M",$H$3,RIGHT($D18,1)="L",$H$2),2)</f>
        <v>0</v>
      </c>
      <c r="M18" s="533" cm="1">
        <f t="array" ref="M18">ROUNDUP(INDEX(Dem!$F$45:$H$48,MATCH(Buildings_DR!$E18,Dem!$B$5:$B$8,0),MATCH(RIGHT(M$7,3),Dem!$F$1:$H$1,0))*_xlfn.IFS(RIGHT($D18,1)="H",$H$4,RIGHT($D18,1)="M",$H$3,RIGHT($D18,1)="L",$H$2),2)</f>
        <v>0</v>
      </c>
      <c r="N18" s="533" cm="1">
        <f t="array" ref="N18">ROUNDUP(INDEX(Dem!$F$49:$H$52,MATCH(Buildings_DR!$E18,Dem!$B$5:$B$8,0),MATCH(RIGHT(N$7,3),Dem!$F$1:$H$1,0))*_xlfn.IFS(RIGHT($D18,1)="H",$H$4,RIGHT($D18,1)="M",$H$3,RIGHT($D18,1)="L",$H$2),2)</f>
        <v>0</v>
      </c>
      <c r="O18" s="533" cm="1">
        <f t="array" ref="O18">ROUNDUP(INDEX(Dem!$F$49:$H$52,MATCH(Buildings_DR!$E18,Dem!$B$5:$B$8,0),MATCH(RIGHT(O$7,3),Dem!$F$1:$H$1,0))*_xlfn.IFS(RIGHT($D18,1)="H",$H$4,RIGHT($D18,1)="M",$H$3,RIGHT($D18,1)="L",$H$2),2)</f>
        <v>0</v>
      </c>
      <c r="P18" s="533" cm="1">
        <f t="array" ref="P18">ROUNDUP(INDEX(Dem!$F$49:$H$52,MATCH(Buildings_DR!$E18,Dem!$B$5:$B$8,0),MATCH(RIGHT(P$7,3),Dem!$F$1:$H$1,0))*_xlfn.IFS(RIGHT($D18,1)="H",$H$4,RIGHT($D18,1)="M",$H$3,RIGHT($D18,1)="L",$H$2),2)</f>
        <v>0</v>
      </c>
      <c r="Q18" s="533">
        <f t="shared" si="19"/>
        <v>0</v>
      </c>
      <c r="R18" s="533">
        <f t="shared" si="19"/>
        <v>0</v>
      </c>
      <c r="S18" s="533">
        <f t="shared" si="19"/>
        <v>0</v>
      </c>
      <c r="T18" s="533">
        <f t="shared" ref="T18:AE18" si="26">H18*0.99</f>
        <v>0</v>
      </c>
      <c r="U18" s="533">
        <f t="shared" si="26"/>
        <v>0</v>
      </c>
      <c r="V18" s="533">
        <f t="shared" si="26"/>
        <v>0</v>
      </c>
      <c r="W18" s="533">
        <f t="shared" si="26"/>
        <v>0</v>
      </c>
      <c r="X18" s="533">
        <f t="shared" si="26"/>
        <v>0</v>
      </c>
      <c r="Y18" s="533">
        <f t="shared" si="26"/>
        <v>0</v>
      </c>
      <c r="Z18" s="533">
        <f t="shared" si="26"/>
        <v>0</v>
      </c>
      <c r="AA18" s="533">
        <f t="shared" si="26"/>
        <v>0</v>
      </c>
      <c r="AB18" s="533">
        <f t="shared" si="26"/>
        <v>0</v>
      </c>
      <c r="AC18" s="533">
        <f t="shared" si="26"/>
        <v>0</v>
      </c>
      <c r="AD18" s="533">
        <f t="shared" si="26"/>
        <v>0</v>
      </c>
      <c r="AE18" s="533">
        <f t="shared" si="26"/>
        <v>0</v>
      </c>
      <c r="AF18" s="533">
        <v>5</v>
      </c>
      <c r="AG18" s="533">
        <v>5</v>
      </c>
      <c r="AH18" s="533">
        <v>5</v>
      </c>
      <c r="AI18" s="524">
        <f t="shared" ref="AI18:AQ18" si="27">AI17/2+AI19/2</f>
        <v>3.0999999999999996</v>
      </c>
      <c r="AJ18" s="524" t="e">
        <f t="shared" si="27"/>
        <v>#DIV/0!</v>
      </c>
      <c r="AK18" s="524" t="e">
        <f t="shared" si="27"/>
        <v>#DIV/0!</v>
      </c>
      <c r="AL18" s="524">
        <f t="shared" si="27"/>
        <v>3.35684</v>
      </c>
      <c r="AM18" s="524" t="e">
        <f t="shared" si="27"/>
        <v>#DIV/0!</v>
      </c>
      <c r="AN18" s="524" t="e">
        <f t="shared" si="27"/>
        <v>#DIV/0!</v>
      </c>
      <c r="AO18" s="524">
        <f t="shared" si="27"/>
        <v>3.3849999999999998</v>
      </c>
      <c r="AP18" s="524" t="e">
        <f t="shared" si="27"/>
        <v>#DIV/0!</v>
      </c>
      <c r="AQ18" s="524" t="e">
        <f t="shared" si="27"/>
        <v>#DIV/0!</v>
      </c>
      <c r="AR18" s="524">
        <f t="shared" ref="AR18:AT18" si="28">AR17/2+AR19/2</f>
        <v>3.33</v>
      </c>
      <c r="AS18" s="524" t="e">
        <f t="shared" si="28"/>
        <v>#DIV/0!</v>
      </c>
      <c r="AT18" s="524" t="e">
        <f t="shared" si="28"/>
        <v>#DIV/0!</v>
      </c>
      <c r="AU18" s="163">
        <v>1</v>
      </c>
      <c r="AV18" s="162">
        <v>1</v>
      </c>
      <c r="AW18" s="162"/>
      <c r="AX18" s="162"/>
      <c r="AY18" s="162"/>
      <c r="AZ18" s="199"/>
      <c r="BA18" s="531">
        <f t="shared" si="10"/>
        <v>0</v>
      </c>
      <c r="BB18" s="531">
        <f t="shared" si="11"/>
        <v>0</v>
      </c>
      <c r="BC18" s="531">
        <f t="shared" si="12"/>
        <v>0</v>
      </c>
      <c r="BD18" s="532">
        <f t="shared" si="22"/>
        <v>0</v>
      </c>
      <c r="BE18" s="532" t="e">
        <f t="shared" si="23"/>
        <v>#DIV/0!</v>
      </c>
      <c r="BF18" s="532" t="e">
        <f t="shared" si="24"/>
        <v>#DIV/0!</v>
      </c>
      <c r="BH18" s="201"/>
      <c r="BI18" s="201"/>
      <c r="BJ18" s="201"/>
      <c r="BK18" s="201"/>
      <c r="BL18" s="201"/>
      <c r="BM18" s="201"/>
      <c r="BN18" s="201"/>
      <c r="BO18" s="201"/>
      <c r="BP18" s="201"/>
      <c r="BQ18" s="201"/>
      <c r="BR18" s="201"/>
    </row>
    <row r="19" spans="1:70">
      <c r="B19" s="162" t="str">
        <f>Processes!D14</f>
        <v>RDHRDN</v>
      </c>
      <c r="C19" s="162" t="str">
        <f>Processes!E14</f>
        <v xml:space="preserve">Residential Demand Heating Rural Detached -  - New </v>
      </c>
      <c r="D19" s="127" t="str">
        <f>Commodities!$C$39&amp;","&amp;Commodities!$C$43&amp;","&amp;Commodities!$C$51</f>
        <v>RESHRDX,RESHRDB,RESHRDBN</v>
      </c>
      <c r="E19" s="191" t="str">
        <f>E18</f>
        <v>RHRDB</v>
      </c>
      <c r="F19" s="156">
        <v>2011</v>
      </c>
      <c r="G19" s="191">
        <v>2011</v>
      </c>
      <c r="H19" s="533"/>
      <c r="I19" s="533"/>
      <c r="J19" s="533"/>
      <c r="K19" s="533"/>
      <c r="L19" s="533"/>
      <c r="M19" s="533"/>
      <c r="N19" s="533"/>
      <c r="O19" s="533"/>
      <c r="P19" s="533"/>
      <c r="Q19" s="533"/>
      <c r="R19" s="533"/>
      <c r="S19" s="533"/>
      <c r="T19" s="533"/>
      <c r="U19" s="533"/>
      <c r="V19" s="533"/>
      <c r="W19" s="533"/>
      <c r="X19" s="533"/>
      <c r="Y19" s="533"/>
      <c r="Z19" s="533"/>
      <c r="AA19" s="533"/>
      <c r="AB19" s="533"/>
      <c r="AC19" s="533"/>
      <c r="AD19" s="533"/>
      <c r="AE19" s="533"/>
      <c r="AF19" s="533"/>
      <c r="AG19" s="533"/>
      <c r="AH19" s="533"/>
      <c r="AI19" s="525">
        <f>ROUND(Sources!$T$8,2)</f>
        <v>4.01</v>
      </c>
      <c r="AJ19" s="525">
        <f>ROUND(Sources!$T$8,2)</f>
        <v>4.01</v>
      </c>
      <c r="AK19" s="525">
        <f>ROUND(Sources!$T$8,2)</f>
        <v>4.01</v>
      </c>
      <c r="AL19" s="525">
        <f>ROUND(Sources!$T$8,2)</f>
        <v>4.01</v>
      </c>
      <c r="AM19" s="525">
        <f>ROUND(Sources!$T$8,2)</f>
        <v>4.01</v>
      </c>
      <c r="AN19" s="525">
        <f>ROUND(Sources!$T$8,2)</f>
        <v>4.01</v>
      </c>
      <c r="AO19" s="525">
        <f>ROUND(Sources!$T$8,2)</f>
        <v>4.01</v>
      </c>
      <c r="AP19" s="525">
        <f>ROUND(Sources!$T$8,2)</f>
        <v>4.01</v>
      </c>
      <c r="AQ19" s="525">
        <f>ROUND(Sources!$T$8,2)</f>
        <v>4.01</v>
      </c>
      <c r="AR19" s="525">
        <f>ROUND(Sources!$T$8,2)</f>
        <v>4.01</v>
      </c>
      <c r="AS19" s="525">
        <f>ROUND(Sources!$T$8,2)</f>
        <v>4.01</v>
      </c>
      <c r="AT19" s="525">
        <f>ROUND(Sources!$T$8,2)</f>
        <v>4.01</v>
      </c>
      <c r="AU19" s="163">
        <v>1</v>
      </c>
      <c r="AV19" s="168">
        <v>1</v>
      </c>
      <c r="AW19" s="162">
        <v>100</v>
      </c>
      <c r="AX19" s="162"/>
      <c r="AY19" s="162"/>
      <c r="BA19" s="531">
        <f t="shared" si="10"/>
        <v>0</v>
      </c>
      <c r="BB19" s="531">
        <f t="shared" si="11"/>
        <v>0</v>
      </c>
      <c r="BC19" s="531">
        <f t="shared" si="12"/>
        <v>0</v>
      </c>
      <c r="BD19" s="532">
        <f t="shared" si="22"/>
        <v>0</v>
      </c>
      <c r="BE19" s="532">
        <f t="shared" si="23"/>
        <v>0</v>
      </c>
      <c r="BF19" s="532">
        <f t="shared" si="24"/>
        <v>0</v>
      </c>
      <c r="BH19" s="201"/>
      <c r="BI19" s="201"/>
      <c r="BJ19" s="201"/>
      <c r="BK19" s="201"/>
      <c r="BL19" s="661"/>
      <c r="BM19" s="661"/>
      <c r="BN19" s="661"/>
      <c r="BO19" s="201"/>
      <c r="BP19" s="201"/>
      <c r="BQ19" s="201"/>
      <c r="BR19" s="201"/>
    </row>
    <row r="20" spans="1:70">
      <c r="B20" s="162"/>
      <c r="C20" s="162"/>
      <c r="D20" s="557"/>
      <c r="E20" s="191"/>
      <c r="F20" s="156">
        <v>2016</v>
      </c>
      <c r="H20" s="533"/>
      <c r="I20" s="533"/>
      <c r="J20" s="533"/>
      <c r="K20" s="533"/>
      <c r="L20" s="533"/>
      <c r="M20" s="533"/>
      <c r="N20" s="533"/>
      <c r="O20" s="533"/>
      <c r="P20" s="533"/>
      <c r="Q20" s="533"/>
      <c r="R20" s="533"/>
      <c r="S20" s="533"/>
      <c r="T20" s="533"/>
      <c r="U20" s="533"/>
      <c r="V20" s="533"/>
      <c r="W20" s="533"/>
      <c r="X20" s="533"/>
      <c r="Y20" s="533"/>
      <c r="Z20" s="533"/>
      <c r="AA20" s="533"/>
      <c r="AB20" s="533"/>
      <c r="AC20" s="533"/>
      <c r="AD20" s="533"/>
      <c r="AE20" s="533"/>
      <c r="AF20" s="533"/>
      <c r="AG20" s="533"/>
      <c r="AH20" s="533"/>
      <c r="AI20" s="525">
        <f>ROUND(Sources!$T$9,2)</f>
        <v>4.75</v>
      </c>
      <c r="AJ20" s="525">
        <f>ROUND(Sources!$T$9,2)</f>
        <v>4.75</v>
      </c>
      <c r="AK20" s="525">
        <f>ROUND(Sources!$T$9,2)</f>
        <v>4.75</v>
      </c>
      <c r="AL20" s="525">
        <f>ROUND(Sources!$T$9,2)</f>
        <v>4.75</v>
      </c>
      <c r="AM20" s="525">
        <f>ROUND(Sources!$T$9,2)</f>
        <v>4.75</v>
      </c>
      <c r="AN20" s="525">
        <f>ROUND(Sources!$T$9,2)</f>
        <v>4.75</v>
      </c>
      <c r="AO20" s="525">
        <f>ROUND(Sources!$T$9,2)</f>
        <v>4.75</v>
      </c>
      <c r="AP20" s="525">
        <f>ROUND(Sources!$T$9,2)</f>
        <v>4.75</v>
      </c>
      <c r="AQ20" s="525">
        <f>ROUND(Sources!$T$9,2)</f>
        <v>4.75</v>
      </c>
      <c r="AR20" s="525">
        <f>ROUND(Sources!$T$9,2)</f>
        <v>4.75</v>
      </c>
      <c r="AS20" s="525">
        <f>ROUND(Sources!$T$9,2)</f>
        <v>4.75</v>
      </c>
      <c r="AT20" s="525">
        <f>ROUND(Sources!$T$9,2)</f>
        <v>4.75</v>
      </c>
      <c r="AU20" s="163">
        <v>1</v>
      </c>
      <c r="AV20" s="168">
        <v>1</v>
      </c>
      <c r="AW20" s="162">
        <v>100</v>
      </c>
      <c r="AX20" s="162"/>
      <c r="AY20" s="162"/>
      <c r="BA20" s="531">
        <f t="shared" si="10"/>
        <v>0</v>
      </c>
      <c r="BB20" s="531">
        <f t="shared" si="11"/>
        <v>0</v>
      </c>
      <c r="BC20" s="531">
        <f t="shared" si="12"/>
        <v>0</v>
      </c>
      <c r="BD20" s="532">
        <f t="shared" si="22"/>
        <v>0</v>
      </c>
      <c r="BE20" s="532">
        <f t="shared" si="23"/>
        <v>0</v>
      </c>
      <c r="BF20" s="532">
        <f t="shared" si="24"/>
        <v>0</v>
      </c>
      <c r="BH20" s="201"/>
      <c r="BI20" s="201"/>
      <c r="BJ20" s="201"/>
      <c r="BK20" s="201"/>
      <c r="BL20" s="201"/>
      <c r="BM20" s="201"/>
      <c r="BN20" s="201"/>
      <c r="BO20" s="201"/>
      <c r="BP20" s="201"/>
      <c r="BQ20" s="201"/>
      <c r="BR20" s="201"/>
    </row>
    <row r="21" spans="1:70">
      <c r="B21" s="162"/>
      <c r="C21" s="162"/>
      <c r="D21" s="557"/>
      <c r="E21" s="191"/>
      <c r="F21" s="156">
        <v>2021</v>
      </c>
      <c r="H21" s="533"/>
      <c r="I21" s="533"/>
      <c r="J21" s="533"/>
      <c r="K21" s="533"/>
      <c r="L21" s="533"/>
      <c r="M21" s="533"/>
      <c r="N21" s="533"/>
      <c r="O21" s="533"/>
      <c r="P21" s="533"/>
      <c r="Q21" s="533"/>
      <c r="R21" s="533"/>
      <c r="S21" s="533"/>
      <c r="T21" s="533"/>
      <c r="U21" s="533"/>
      <c r="V21" s="533"/>
      <c r="W21" s="533"/>
      <c r="X21" s="533"/>
      <c r="Y21" s="533"/>
      <c r="Z21" s="533"/>
      <c r="AA21" s="533"/>
      <c r="AB21" s="533"/>
      <c r="AC21" s="533"/>
      <c r="AD21" s="533"/>
      <c r="AE21" s="533"/>
      <c r="AF21" s="533"/>
      <c r="AG21" s="533"/>
      <c r="AH21" s="533"/>
      <c r="AI21" s="525">
        <f>ROUND(Sources!$T$10,2)</f>
        <v>6.08</v>
      </c>
      <c r="AJ21" s="525">
        <f>ROUND(Sources!$T$10,2)</f>
        <v>6.08</v>
      </c>
      <c r="AK21" s="525">
        <f>ROUND(Sources!$T$10,2)</f>
        <v>6.08</v>
      </c>
      <c r="AL21" s="525">
        <f>ROUND(Sources!$T$10,2)</f>
        <v>6.08</v>
      </c>
      <c r="AM21" s="525">
        <f>ROUND(Sources!$T$10,2)</f>
        <v>6.08</v>
      </c>
      <c r="AN21" s="525">
        <f>ROUND(Sources!$T$10,2)</f>
        <v>6.08</v>
      </c>
      <c r="AO21" s="525">
        <f>ROUND(Sources!$T$10,2)</f>
        <v>6.08</v>
      </c>
      <c r="AP21" s="525">
        <f>ROUND(Sources!$T$10,2)</f>
        <v>6.08</v>
      </c>
      <c r="AQ21" s="525">
        <f>ROUND(Sources!$T$10,2)</f>
        <v>6.08</v>
      </c>
      <c r="AR21" s="525">
        <f>ROUND(Sources!$T$10,2)</f>
        <v>6.08</v>
      </c>
      <c r="AS21" s="525">
        <f>ROUND(Sources!$T$10,2)</f>
        <v>6.08</v>
      </c>
      <c r="AT21" s="525">
        <f>ROUND(Sources!$T$10,2)</f>
        <v>6.08</v>
      </c>
      <c r="AU21" s="163">
        <v>1</v>
      </c>
      <c r="AV21" s="168">
        <v>1</v>
      </c>
      <c r="AW21" s="162">
        <v>100</v>
      </c>
      <c r="AX21" s="162"/>
      <c r="AY21" s="162"/>
      <c r="BA21" s="531">
        <f t="shared" si="10"/>
        <v>0</v>
      </c>
      <c r="BB21" s="531">
        <f t="shared" si="11"/>
        <v>0</v>
      </c>
      <c r="BC21" s="531">
        <f t="shared" si="12"/>
        <v>0</v>
      </c>
      <c r="BD21" s="532">
        <f t="shared" si="22"/>
        <v>0</v>
      </c>
      <c r="BE21" s="532">
        <f t="shared" si="23"/>
        <v>0</v>
      </c>
      <c r="BF21" s="532">
        <f t="shared" si="24"/>
        <v>0</v>
      </c>
      <c r="BH21" s="201"/>
      <c r="BI21" s="201"/>
      <c r="BJ21" s="201"/>
      <c r="BK21" s="201"/>
      <c r="BL21" s="201"/>
      <c r="BM21" s="201"/>
      <c r="BN21" s="201"/>
      <c r="BO21" s="201"/>
      <c r="BP21" s="201"/>
      <c r="BQ21" s="201"/>
      <c r="BR21" s="201"/>
    </row>
    <row r="22" spans="1:70" ht="13.8" thickBot="1">
      <c r="B22" s="162"/>
      <c r="C22" s="162"/>
      <c r="D22" s="557"/>
      <c r="E22" s="212"/>
      <c r="F22" s="164">
        <v>2031</v>
      </c>
      <c r="G22" s="164"/>
      <c r="H22" s="534"/>
      <c r="I22" s="534"/>
      <c r="J22" s="534"/>
      <c r="K22" s="534"/>
      <c r="L22" s="534"/>
      <c r="M22" s="534"/>
      <c r="N22" s="534"/>
      <c r="O22" s="534"/>
      <c r="P22" s="534"/>
      <c r="Q22" s="533"/>
      <c r="R22" s="533"/>
      <c r="S22" s="533"/>
      <c r="T22" s="533"/>
      <c r="U22" s="533"/>
      <c r="V22" s="533"/>
      <c r="W22" s="533"/>
      <c r="X22" s="533"/>
      <c r="Y22" s="533"/>
      <c r="Z22" s="533"/>
      <c r="AA22" s="533"/>
      <c r="AB22" s="533"/>
      <c r="AC22" s="533"/>
      <c r="AD22" s="533"/>
      <c r="AE22" s="533"/>
      <c r="AF22" s="533"/>
      <c r="AG22" s="533"/>
      <c r="AH22" s="533"/>
      <c r="AI22" s="525">
        <f>ROUND(Sources!$T$11,2)</f>
        <v>6.94</v>
      </c>
      <c r="AJ22" s="525">
        <f>ROUND(Sources!$T$11,2)</f>
        <v>6.94</v>
      </c>
      <c r="AK22" s="525">
        <f>ROUND(Sources!$T$11,2)</f>
        <v>6.94</v>
      </c>
      <c r="AL22" s="525">
        <f>ROUND(Sources!$T$11,2)</f>
        <v>6.94</v>
      </c>
      <c r="AM22" s="525">
        <f>ROUND(Sources!$T$11,2)</f>
        <v>6.94</v>
      </c>
      <c r="AN22" s="525">
        <f>ROUND(Sources!$T$11,2)</f>
        <v>6.94</v>
      </c>
      <c r="AO22" s="525">
        <f>ROUND(Sources!$T$11,2)</f>
        <v>6.94</v>
      </c>
      <c r="AP22" s="525">
        <f>ROUND(Sources!$T$11,2)</f>
        <v>6.94</v>
      </c>
      <c r="AQ22" s="525">
        <f>ROUND(Sources!$T$11,2)</f>
        <v>6.94</v>
      </c>
      <c r="AR22" s="525">
        <f>ROUND(Sources!$T$11,2)</f>
        <v>6.94</v>
      </c>
      <c r="AS22" s="525">
        <f>ROUND(Sources!$T$11,2)</f>
        <v>6.94</v>
      </c>
      <c r="AT22" s="525">
        <f>ROUND(Sources!$T$11,2)</f>
        <v>6.94</v>
      </c>
      <c r="AU22" s="163">
        <v>1</v>
      </c>
      <c r="AV22" s="168">
        <v>1</v>
      </c>
      <c r="AW22" s="162">
        <v>100</v>
      </c>
      <c r="AX22" s="162"/>
      <c r="AY22" s="162"/>
      <c r="AZ22" s="199"/>
      <c r="BA22" s="531">
        <f t="shared" si="10"/>
        <v>0</v>
      </c>
      <c r="BB22" s="531">
        <f t="shared" si="11"/>
        <v>0</v>
      </c>
      <c r="BC22" s="531">
        <f t="shared" si="12"/>
        <v>0</v>
      </c>
      <c r="BD22" s="532">
        <f t="shared" si="22"/>
        <v>0</v>
      </c>
      <c r="BE22" s="532">
        <f t="shared" si="23"/>
        <v>0</v>
      </c>
      <c r="BF22" s="532">
        <f t="shared" si="24"/>
        <v>0</v>
      </c>
      <c r="BH22" s="201"/>
      <c r="BI22" s="201"/>
      <c r="BJ22" s="201"/>
      <c r="BK22" s="201"/>
      <c r="BL22" s="201"/>
      <c r="BM22" s="201"/>
      <c r="BN22" s="201"/>
      <c r="BO22" s="201"/>
      <c r="BP22" s="201"/>
      <c r="BQ22" s="201"/>
      <c r="BR22" s="201"/>
    </row>
    <row r="23" spans="1:70" ht="13.8" thickBot="1">
      <c r="B23" s="165" t="str">
        <f>Processes!D15</f>
        <v>RDHUML</v>
      </c>
      <c r="C23" s="165" t="str">
        <f>Processes!E15</f>
        <v xml:space="preserve">Residential Demand Heating Urban Multi -  - Low </v>
      </c>
      <c r="D23" s="127" t="str">
        <f>Commodities!$C$40&amp;","&amp;Commodities!$C$44&amp;","&amp;Commodities!$C$48&amp;","&amp;Commodities!$C$83&amp;","&amp;Commodities!C64</f>
        <v>RESHUMX,RESHUMB,RESHUMBE,RESHSAV,RESHUMSL</v>
      </c>
      <c r="E23" s="7" t="str">
        <f>Commodities!C9</f>
        <v>RHUMB</v>
      </c>
      <c r="G23" s="166"/>
      <c r="H23" s="533" cm="1">
        <f t="array" ref="H23">ROUNDUP(INDEX(Dem!$F$41:$H$44,MATCH(Buildings_DR!$E23,Dem!$B$5:$B$8,0),MATCH(RIGHT(H$7,3),Dem!$F$1:$H$1,0))*_xlfn.IFS(RIGHT($D23,1)="H",$H$4,RIGHT($D23,1)="M",$H$3,RIGHT($D23,1)="L",$H$2),2)</f>
        <v>0</v>
      </c>
      <c r="I23" s="533" cm="1">
        <f t="array" ref="I23">ROUNDUP(INDEX(Dem!$F$41:$H$44,MATCH(Buildings_DR!$E23,Dem!$B$5:$B$8,0),MATCH(RIGHT(I$7,3),Dem!$F$1:$H$1,0))*_xlfn.IFS(RIGHT($D23,1)="H",$H$4,RIGHT($D23,1)="M",$H$3,RIGHT($D23,1)="L",$H$2),2)</f>
        <v>0</v>
      </c>
      <c r="J23" s="533" cm="1">
        <f t="array" ref="J23">ROUNDUP(INDEX(Dem!$F$41:$H$44,MATCH(Buildings_DR!$E23,Dem!$B$5:$B$8,0),MATCH(RIGHT(J$7,3),Dem!$F$1:$H$1,0))*_xlfn.IFS(RIGHT($D23,1)="H",$H$4,RIGHT($D23,1)="M",$H$3,RIGHT($D23,1)="L",$H$2),2)</f>
        <v>0</v>
      </c>
      <c r="K23" s="533" cm="1">
        <f t="array" ref="K23">ROUNDUP(INDEX(Dem!$F$45:$H$48,MATCH(Buildings_DR!$E23,Dem!$B$5:$B$8,0),MATCH(RIGHT(K$7,3),Dem!$F$1:$H$1,0))*_xlfn.IFS(RIGHT($D23,1)="H",$H$4,RIGHT($D23,1)="M",$H$3,RIGHT($D23,1)="L",$H$2),2)</f>
        <v>0</v>
      </c>
      <c r="L23" s="533" cm="1">
        <f t="array" ref="L23">ROUNDUP(INDEX(Dem!$F$45:$H$48,MATCH(Buildings_DR!$E23,Dem!$B$5:$B$8,0),MATCH(RIGHT(L$7,3),Dem!$F$1:$H$1,0))*_xlfn.IFS(RIGHT($D23,1)="H",$H$4,RIGHT($D23,1)="M",$H$3,RIGHT($D23,1)="L",$H$2),2)</f>
        <v>0</v>
      </c>
      <c r="M23" s="533" cm="1">
        <f t="array" ref="M23">ROUNDUP(INDEX(Dem!$F$45:$H$48,MATCH(Buildings_DR!$E23,Dem!$B$5:$B$8,0),MATCH(RIGHT(M$7,3),Dem!$F$1:$H$1,0))*_xlfn.IFS(RIGHT($D23,1)="H",$H$4,RIGHT($D23,1)="M",$H$3,RIGHT($D23,1)="L",$H$2),2)</f>
        <v>0</v>
      </c>
      <c r="N23" s="533" cm="1">
        <f t="array" ref="N23">ROUNDUP(INDEX(Dem!$F$49:$H$52,MATCH(Buildings_DR!$E23,Dem!$B$5:$B$8,0),MATCH(RIGHT(N$7,3),Dem!$F$1:$H$1,0))*_xlfn.IFS(RIGHT($D23,1)="H",$H$4,RIGHT($D23,1)="M",$H$3,RIGHT($D23,1)="L",$H$2),2)</f>
        <v>0</v>
      </c>
      <c r="O23" s="533" cm="1">
        <f t="array" ref="O23">ROUNDUP(INDEX(Dem!$F$49:$H$52,MATCH(Buildings_DR!$E23,Dem!$B$5:$B$8,0),MATCH(RIGHT(O$7,3),Dem!$F$1:$H$1,0))*_xlfn.IFS(RIGHT($D23,1)="H",$H$4,RIGHT($D23,1)="M",$H$3,RIGHT($D23,1)="L",$H$2),2)</f>
        <v>0</v>
      </c>
      <c r="P23" s="533" cm="1">
        <f t="array" ref="P23">ROUNDUP(INDEX(Dem!$F$49:$H$52,MATCH(Buildings_DR!$E23,Dem!$B$5:$B$8,0),MATCH(RIGHT(P$7,3),Dem!$F$1:$H$1,0))*_xlfn.IFS(RIGHT($D23,1)="H",$H$4,RIGHT($D23,1)="M",$H$3,RIGHT($D23,1)="L",$H$2),2)</f>
        <v>0</v>
      </c>
      <c r="Q23" s="533">
        <f t="shared" ref="Q23:S25" si="29">H23*0.6</f>
        <v>0</v>
      </c>
      <c r="R23" s="533">
        <f t="shared" si="29"/>
        <v>0</v>
      </c>
      <c r="S23" s="533">
        <f t="shared" si="29"/>
        <v>0</v>
      </c>
      <c r="T23" s="533">
        <f t="shared" ref="T23:AE23" si="30">H23*0.99</f>
        <v>0</v>
      </c>
      <c r="U23" s="533">
        <f t="shared" si="30"/>
        <v>0</v>
      </c>
      <c r="V23" s="533">
        <f t="shared" si="30"/>
        <v>0</v>
      </c>
      <c r="W23" s="533">
        <f t="shared" si="30"/>
        <v>0</v>
      </c>
      <c r="X23" s="533">
        <f t="shared" si="30"/>
        <v>0</v>
      </c>
      <c r="Y23" s="533">
        <f t="shared" si="30"/>
        <v>0</v>
      </c>
      <c r="Z23" s="533">
        <f t="shared" si="30"/>
        <v>0</v>
      </c>
      <c r="AA23" s="533">
        <f t="shared" si="30"/>
        <v>0</v>
      </c>
      <c r="AB23" s="533">
        <f t="shared" si="30"/>
        <v>0</v>
      </c>
      <c r="AC23" s="533">
        <f t="shared" si="30"/>
        <v>0</v>
      </c>
      <c r="AD23" s="533">
        <f t="shared" si="30"/>
        <v>0</v>
      </c>
      <c r="AE23" s="533">
        <f t="shared" si="30"/>
        <v>0</v>
      </c>
      <c r="AF23" s="533">
        <v>5</v>
      </c>
      <c r="AG23" s="533">
        <v>5</v>
      </c>
      <c r="AH23" s="533">
        <v>5</v>
      </c>
      <c r="AI23" s="523">
        <f t="shared" ref="AI23:AT23" si="31">AI24/2</f>
        <v>1.4</v>
      </c>
      <c r="AJ23" s="523" t="e">
        <f t="shared" si="31"/>
        <v>#DIV/0!</v>
      </c>
      <c r="AK23" s="523" t="e">
        <f t="shared" si="31"/>
        <v>#DIV/0!</v>
      </c>
      <c r="AL23" s="523">
        <f t="shared" si="31"/>
        <v>1.72956</v>
      </c>
      <c r="AM23" s="523" t="e">
        <f t="shared" si="31"/>
        <v>#DIV/0!</v>
      </c>
      <c r="AN23" s="523" t="e">
        <f t="shared" si="31"/>
        <v>#DIV/0!</v>
      </c>
      <c r="AO23" s="523">
        <f t="shared" si="31"/>
        <v>1.72</v>
      </c>
      <c r="AP23" s="523" t="e">
        <f t="shared" si="31"/>
        <v>#DIV/0!</v>
      </c>
      <c r="AQ23" s="523" t="e">
        <f t="shared" si="31"/>
        <v>#DIV/0!</v>
      </c>
      <c r="AR23" s="523">
        <f t="shared" si="31"/>
        <v>1.6949999999999998</v>
      </c>
      <c r="AS23" s="523" t="e">
        <f t="shared" si="31"/>
        <v>#DIV/0!</v>
      </c>
      <c r="AT23" s="523" t="e">
        <f t="shared" si="31"/>
        <v>#DIV/0!</v>
      </c>
      <c r="AU23" s="167">
        <v>1</v>
      </c>
      <c r="AV23" s="165">
        <v>1</v>
      </c>
      <c r="AW23" s="160"/>
      <c r="AX23" s="162"/>
      <c r="AY23" s="162"/>
      <c r="AZ23" s="199"/>
      <c r="BA23" s="531">
        <f t="shared" si="10"/>
        <v>0</v>
      </c>
      <c r="BB23" s="531">
        <f t="shared" si="11"/>
        <v>0</v>
      </c>
      <c r="BC23" s="531">
        <f t="shared" si="12"/>
        <v>0</v>
      </c>
      <c r="BD23" s="532">
        <f t="shared" si="22"/>
        <v>0</v>
      </c>
      <c r="BE23" s="532" t="e">
        <f t="shared" si="23"/>
        <v>#DIV/0!</v>
      </c>
      <c r="BF23" s="532" t="e">
        <f t="shared" si="24"/>
        <v>#DIV/0!</v>
      </c>
      <c r="BH23" s="201"/>
      <c r="BI23" s="201"/>
      <c r="BJ23" s="201"/>
      <c r="BK23" s="201"/>
      <c r="BL23" s="201"/>
      <c r="BM23" s="201"/>
      <c r="BN23" s="201"/>
      <c r="BO23" s="201"/>
      <c r="BP23" s="201"/>
      <c r="BQ23" s="201"/>
      <c r="BR23" s="201"/>
    </row>
    <row r="24" spans="1:70">
      <c r="A24" s="162"/>
      <c r="B24" s="162" t="str">
        <f>Processes!D16</f>
        <v>RDHUMM</v>
      </c>
      <c r="C24" s="162" t="str">
        <f>Processes!E16</f>
        <v xml:space="preserve">Residential Demand Heating Urban Multi -  - Medium </v>
      </c>
      <c r="D24" s="127" t="str">
        <f>Commodities!$C$40&amp;","&amp;Commodities!$C$44&amp;","&amp;Commodities!$C$48&amp;","&amp;Commodities!$C$83&amp;","&amp;Commodities!C65</f>
        <v>RESHUMX,RESHUMB,RESHUMBE,RESHSAV,RESHUMSM</v>
      </c>
      <c r="E24" s="191" t="str">
        <f>E23</f>
        <v>RHUMB</v>
      </c>
      <c r="G24" s="191"/>
      <c r="H24" s="533" cm="1">
        <f t="array" ref="H24">ROUNDUP(INDEX(Dem!$F$41:$H$44,MATCH(Buildings_DR!$E24,Dem!$B$5:$B$8,0),MATCH(RIGHT(H$7,3),Dem!$F$1:$H$1,0))*_xlfn.IFS(RIGHT($D24,1)="H",$H$4,RIGHT($D24,1)="M",$H$3,RIGHT($D24,1)="L",$H$2),2)</f>
        <v>997.28</v>
      </c>
      <c r="I24" s="533" cm="1">
        <f t="array" ref="I24">ROUNDUP(INDEX(Dem!$F$41:$H$44,MATCH(Buildings_DR!$E24,Dem!$B$5:$B$8,0),MATCH(RIGHT(I$7,3),Dem!$F$1:$H$1,0))*_xlfn.IFS(RIGHT($D24,1)="H",$H$4,RIGHT($D24,1)="M",$H$3,RIGHT($D24,1)="L",$H$2),2)</f>
        <v>0</v>
      </c>
      <c r="J24" s="533" cm="1">
        <f t="array" ref="J24">ROUNDUP(INDEX(Dem!$F$41:$H$44,MATCH(Buildings_DR!$E24,Dem!$B$5:$B$8,0),MATCH(RIGHT(J$7,3),Dem!$F$1:$H$1,0))*_xlfn.IFS(RIGHT($D24,1)="H",$H$4,RIGHT($D24,1)="M",$H$3,RIGHT($D24,1)="L",$H$2),2)</f>
        <v>0</v>
      </c>
      <c r="K24" s="533" cm="1">
        <f t="array" ref="K24">ROUNDUP(INDEX(Dem!$F$45:$H$48,MATCH(Buildings_DR!$E24,Dem!$B$5:$B$8,0),MATCH(RIGHT(K$7,3),Dem!$F$1:$H$1,0))*_xlfn.IFS(RIGHT($D24,1)="H",$H$4,RIGHT($D24,1)="M",$H$3,RIGHT($D24,1)="L",$H$2),2)</f>
        <v>1028.67</v>
      </c>
      <c r="L24" s="533" cm="1">
        <f t="array" ref="L24">ROUNDUP(INDEX(Dem!$F$45:$H$48,MATCH(Buildings_DR!$E24,Dem!$B$5:$B$8,0),MATCH(RIGHT(L$7,3),Dem!$F$1:$H$1,0))*_xlfn.IFS(RIGHT($D24,1)="H",$H$4,RIGHT($D24,1)="M",$H$3,RIGHT($D24,1)="L",$H$2),2)</f>
        <v>0</v>
      </c>
      <c r="M24" s="533" cm="1">
        <f t="array" ref="M24">ROUNDUP(INDEX(Dem!$F$45:$H$48,MATCH(Buildings_DR!$E24,Dem!$B$5:$B$8,0),MATCH(RIGHT(M$7,3),Dem!$F$1:$H$1,0))*_xlfn.IFS(RIGHT($D24,1)="H",$H$4,RIGHT($D24,1)="M",$H$3,RIGHT($D24,1)="L",$H$2),2)</f>
        <v>0</v>
      </c>
      <c r="N24" s="533" cm="1">
        <f t="array" ref="N24">ROUNDUP(INDEX(Dem!$F$49:$H$52,MATCH(Buildings_DR!$E24,Dem!$B$5:$B$8,0),MATCH(RIGHT(N$7,3),Dem!$F$1:$H$1,0))*_xlfn.IFS(RIGHT($D24,1)="H",$H$4,RIGHT($D24,1)="M",$H$3,RIGHT($D24,1)="L",$H$2),2)</f>
        <v>1044.0899999999999</v>
      </c>
      <c r="O24" s="533" cm="1">
        <f t="array" ref="O24">ROUNDUP(INDEX(Dem!$F$49:$H$52,MATCH(Buildings_DR!$E24,Dem!$B$5:$B$8,0),MATCH(RIGHT(O$7,3),Dem!$F$1:$H$1,0))*_xlfn.IFS(RIGHT($D24,1)="H",$H$4,RIGHT($D24,1)="M",$H$3,RIGHT($D24,1)="L",$H$2),2)</f>
        <v>0</v>
      </c>
      <c r="P24" s="533" cm="1">
        <f t="array" ref="P24">ROUNDUP(INDEX(Dem!$F$49:$H$52,MATCH(Buildings_DR!$E24,Dem!$B$5:$B$8,0),MATCH(RIGHT(P$7,3),Dem!$F$1:$H$1,0))*_xlfn.IFS(RIGHT($D24,1)="H",$H$4,RIGHT($D24,1)="M",$H$3,RIGHT($D24,1)="L",$H$2),2)</f>
        <v>0</v>
      </c>
      <c r="Q24" s="533">
        <f t="shared" si="29"/>
        <v>598.36799999999994</v>
      </c>
      <c r="R24" s="533">
        <f t="shared" si="29"/>
        <v>0</v>
      </c>
      <c r="S24" s="533">
        <f t="shared" si="29"/>
        <v>0</v>
      </c>
      <c r="T24" s="533">
        <f t="shared" ref="T24:AB24" si="32">H24*$K$2</f>
        <v>987.30719999999997</v>
      </c>
      <c r="U24" s="533">
        <f t="shared" si="32"/>
        <v>0</v>
      </c>
      <c r="V24" s="533">
        <f t="shared" si="32"/>
        <v>0</v>
      </c>
      <c r="W24" s="533">
        <f>K24*$K$2</f>
        <v>1018.3833000000001</v>
      </c>
      <c r="X24" s="533">
        <f t="shared" si="32"/>
        <v>0</v>
      </c>
      <c r="Y24" s="533">
        <f t="shared" si="32"/>
        <v>0</v>
      </c>
      <c r="Z24" s="533">
        <f>N24*$K$2</f>
        <v>1033.6490999999999</v>
      </c>
      <c r="AA24" s="533">
        <f t="shared" si="32"/>
        <v>0</v>
      </c>
      <c r="AB24" s="533">
        <f t="shared" si="32"/>
        <v>0</v>
      </c>
      <c r="AC24" s="533">
        <f>Q24*$K$3</f>
        <v>592.38431999999989</v>
      </c>
      <c r="AD24" s="533">
        <f>R24*$K$3</f>
        <v>0</v>
      </c>
      <c r="AE24" s="533">
        <f>S24*$K$3</f>
        <v>0</v>
      </c>
      <c r="AF24" s="533">
        <v>5</v>
      </c>
      <c r="AG24" s="533">
        <v>5</v>
      </c>
      <c r="AH24" s="533">
        <v>5</v>
      </c>
      <c r="AI24" s="524">
        <f>ROUNDUP(SUM(H23:H29)/SUM(Boilers_DR!AB26:AB35),2)</f>
        <v>2.8</v>
      </c>
      <c r="AJ24" s="524" t="e">
        <f>ROUNDUP(SUM(I23:I29)/SUM(Boilers_DR!AC26:AC35),2)</f>
        <v>#DIV/0!</v>
      </c>
      <c r="AK24" s="524" t="e">
        <f>ROUNDUP(SUM(J23:J29)/SUM(Boilers_DR!AD26:AD35),2)</f>
        <v>#DIV/0!</v>
      </c>
      <c r="AL24" s="524">
        <f>ROUNDUP(SUM(K23:K29)/SUM(Boilers_DR!AB66:AB75),2)*AL3</f>
        <v>3.45912</v>
      </c>
      <c r="AM24" s="524" t="e">
        <f>ROUNDUP(SUM(L23:L29)/SUM(Boilers_DR!AC66:AC75),2)*AM3</f>
        <v>#DIV/0!</v>
      </c>
      <c r="AN24" s="524" t="e">
        <f>ROUNDUP(SUM(M23:M29)/SUM(Boilers_DR!AD66:AD75),2)*AN3</f>
        <v>#DIV/0!</v>
      </c>
      <c r="AO24" s="524">
        <f>ROUNDUP(SUM(N23:N29)/SUM(Boilers_DR!AB106:AB115),2)</f>
        <v>3.44</v>
      </c>
      <c r="AP24" s="524" t="e">
        <f>ROUNDUP(SUM(O23:O29)/SUM(Boilers_DR!AC106:AC115),2)</f>
        <v>#DIV/0!</v>
      </c>
      <c r="AQ24" s="524" t="e">
        <f>ROUNDUP(SUM(P23:P29)/SUM(Boilers_DR!AD106:AD115),2)</f>
        <v>#DIV/0!</v>
      </c>
      <c r="AR24" s="524">
        <f>ROUNDUP(SUM(N23:N29)/SUM(Boilers_DR!AB146:AB155),2)</f>
        <v>3.3899999999999997</v>
      </c>
      <c r="AS24" s="524" t="e">
        <f>ROUNDUP(SUM(O23:O29)/SUM(Boilers_DR!AC146:AC155),2)</f>
        <v>#DIV/0!</v>
      </c>
      <c r="AT24" s="524" t="e">
        <f>ROUNDUP(SUM(P23:P29)/SUM(Boilers_DR!AD146:AD155),2)</f>
        <v>#DIV/0!</v>
      </c>
      <c r="AU24" s="163">
        <v>1</v>
      </c>
      <c r="AV24" s="162">
        <v>1</v>
      </c>
      <c r="AW24" s="160"/>
      <c r="AX24" s="162"/>
      <c r="AY24" s="162"/>
      <c r="AZ24" s="199"/>
      <c r="BA24" s="531">
        <f t="shared" si="10"/>
        <v>997.28</v>
      </c>
      <c r="BB24" s="531">
        <f t="shared" si="11"/>
        <v>0</v>
      </c>
      <c r="BC24" s="531">
        <f t="shared" si="12"/>
        <v>0</v>
      </c>
      <c r="BD24" s="532">
        <f t="shared" si="22"/>
        <v>356.17142857142858</v>
      </c>
      <c r="BE24" s="532" t="e">
        <f t="shared" si="23"/>
        <v>#DIV/0!</v>
      </c>
      <c r="BF24" s="532" t="e">
        <f t="shared" si="24"/>
        <v>#DIV/0!</v>
      </c>
      <c r="BH24" s="201"/>
      <c r="BI24" s="201"/>
      <c r="BJ24" s="201"/>
      <c r="BK24" s="201"/>
      <c r="BL24" s="201"/>
      <c r="BM24" s="201"/>
      <c r="BN24" s="201"/>
      <c r="BO24" s="201"/>
      <c r="BP24" s="201"/>
      <c r="BQ24" s="201"/>
      <c r="BR24" s="201"/>
    </row>
    <row r="25" spans="1:70">
      <c r="A25" s="162"/>
      <c r="B25" s="162" t="str">
        <f>Processes!D17</f>
        <v>RDHUMH</v>
      </c>
      <c r="C25" s="162" t="str">
        <f>Processes!E17</f>
        <v xml:space="preserve">Residential Demand Heating Urban Multi -  - High </v>
      </c>
      <c r="D25" s="127" t="str">
        <f>Commodities!$C$40&amp;","&amp;Commodities!$C$44&amp;","&amp;Commodities!$C$48&amp;","&amp;Commodities!$C$83&amp;","&amp;Commodities!C66</f>
        <v>RESHUMX,RESHUMB,RESHUMBE,RESHSAV,RESHUMSH</v>
      </c>
      <c r="E25" s="191" t="str">
        <f>E24</f>
        <v>RHUMB</v>
      </c>
      <c r="G25" s="191"/>
      <c r="H25" s="533" cm="1">
        <f t="array" ref="H25">ROUNDUP(INDEX(Dem!$F$41:$H$44,MATCH(Buildings_DR!$E25,Dem!$B$5:$B$8,0),MATCH(RIGHT(H$7,3),Dem!$F$1:$H$1,0))*_xlfn.IFS(RIGHT($D25,1)="H",$H$4,RIGHT($D25,1)="M",$H$3,RIGHT($D25,1)="L",$H$2),2)</f>
        <v>0</v>
      </c>
      <c r="I25" s="533" cm="1">
        <f t="array" ref="I25">ROUNDUP(INDEX(Dem!$F$41:$H$44,MATCH(Buildings_DR!$E25,Dem!$B$5:$B$8,0),MATCH(RIGHT(I$7,3),Dem!$F$1:$H$1,0))*_xlfn.IFS(RIGHT($D25,1)="H",$H$4,RIGHT($D25,1)="M",$H$3,RIGHT($D25,1)="L",$H$2),2)</f>
        <v>0</v>
      </c>
      <c r="J25" s="533" cm="1">
        <f t="array" ref="J25">ROUNDUP(INDEX(Dem!$F$41:$H$44,MATCH(Buildings_DR!$E25,Dem!$B$5:$B$8,0),MATCH(RIGHT(J$7,3),Dem!$F$1:$H$1,0))*_xlfn.IFS(RIGHT($D25,1)="H",$H$4,RIGHT($D25,1)="M",$H$3,RIGHT($D25,1)="L",$H$2),2)</f>
        <v>0</v>
      </c>
      <c r="K25" s="533" cm="1">
        <f t="array" ref="K25">ROUNDUP(INDEX(Dem!$F$45:$H$48,MATCH(Buildings_DR!$E25,Dem!$B$5:$B$8,0),MATCH(RIGHT(K$7,3),Dem!$F$1:$H$1,0))*_xlfn.IFS(RIGHT($D25,1)="H",$H$4,RIGHT($D25,1)="M",$H$3,RIGHT($D25,1)="L",$H$2),2)</f>
        <v>0</v>
      </c>
      <c r="L25" s="533" cm="1">
        <f t="array" ref="L25">ROUNDUP(INDEX(Dem!$F$45:$H$48,MATCH(Buildings_DR!$E25,Dem!$B$5:$B$8,0),MATCH(RIGHT(L$7,3),Dem!$F$1:$H$1,0))*_xlfn.IFS(RIGHT($D25,1)="H",$H$4,RIGHT($D25,1)="M",$H$3,RIGHT($D25,1)="L",$H$2),2)</f>
        <v>0</v>
      </c>
      <c r="M25" s="533" cm="1">
        <f t="array" ref="M25">ROUNDUP(INDEX(Dem!$F$45:$H$48,MATCH(Buildings_DR!$E25,Dem!$B$5:$B$8,0),MATCH(RIGHT(M$7,3),Dem!$F$1:$H$1,0))*_xlfn.IFS(RIGHT($D25,1)="H",$H$4,RIGHT($D25,1)="M",$H$3,RIGHT($D25,1)="L",$H$2),2)</f>
        <v>0</v>
      </c>
      <c r="N25" s="533" cm="1">
        <f t="array" ref="N25">ROUNDUP(INDEX(Dem!$F$49:$H$52,MATCH(Buildings_DR!$E25,Dem!$B$5:$B$8,0),MATCH(RIGHT(N$7,3),Dem!$F$1:$H$1,0))*_xlfn.IFS(RIGHT($D25,1)="H",$H$4,RIGHT($D25,1)="M",$H$3,RIGHT($D25,1)="L",$H$2),2)</f>
        <v>0</v>
      </c>
      <c r="O25" s="533" cm="1">
        <f t="array" ref="O25">ROUNDUP(INDEX(Dem!$F$49:$H$52,MATCH(Buildings_DR!$E25,Dem!$B$5:$B$8,0),MATCH(RIGHT(O$7,3),Dem!$F$1:$H$1,0))*_xlfn.IFS(RIGHT($D25,1)="H",$H$4,RIGHT($D25,1)="M",$H$3,RIGHT($D25,1)="L",$H$2),2)</f>
        <v>0</v>
      </c>
      <c r="P25" s="533" cm="1">
        <f t="array" ref="P25">ROUNDUP(INDEX(Dem!$F$49:$H$52,MATCH(Buildings_DR!$E25,Dem!$B$5:$B$8,0),MATCH(RIGHT(P$7,3),Dem!$F$1:$H$1,0))*_xlfn.IFS(RIGHT($D25,1)="H",$H$4,RIGHT($D25,1)="M",$H$3,RIGHT($D25,1)="L",$H$2),2)</f>
        <v>0</v>
      </c>
      <c r="Q25" s="533">
        <f t="shared" si="29"/>
        <v>0</v>
      </c>
      <c r="R25" s="533">
        <f t="shared" si="29"/>
        <v>0</v>
      </c>
      <c r="S25" s="533">
        <f t="shared" si="29"/>
        <v>0</v>
      </c>
      <c r="T25" s="533">
        <f t="shared" ref="T25:AE25" si="33">H25*0.99</f>
        <v>0</v>
      </c>
      <c r="U25" s="533">
        <f t="shared" si="33"/>
        <v>0</v>
      </c>
      <c r="V25" s="533">
        <f t="shared" si="33"/>
        <v>0</v>
      </c>
      <c r="W25" s="533">
        <f t="shared" si="33"/>
        <v>0</v>
      </c>
      <c r="X25" s="533">
        <f t="shared" si="33"/>
        <v>0</v>
      </c>
      <c r="Y25" s="533">
        <f t="shared" si="33"/>
        <v>0</v>
      </c>
      <c r="Z25" s="533">
        <f t="shared" si="33"/>
        <v>0</v>
      </c>
      <c r="AA25" s="533">
        <f t="shared" si="33"/>
        <v>0</v>
      </c>
      <c r="AB25" s="533">
        <f t="shared" si="33"/>
        <v>0</v>
      </c>
      <c r="AC25" s="533">
        <f t="shared" si="33"/>
        <v>0</v>
      </c>
      <c r="AD25" s="533">
        <f t="shared" si="33"/>
        <v>0</v>
      </c>
      <c r="AE25" s="533">
        <f t="shared" si="33"/>
        <v>0</v>
      </c>
      <c r="AF25" s="533">
        <v>5</v>
      </c>
      <c r="AG25" s="533">
        <v>5</v>
      </c>
      <c r="AH25" s="533">
        <v>5</v>
      </c>
      <c r="AI25" s="524">
        <f t="shared" ref="AI25:AQ25" si="34">AI24/2+AI26/2</f>
        <v>2.9699999999999998</v>
      </c>
      <c r="AJ25" s="524" t="e">
        <f t="shared" si="34"/>
        <v>#DIV/0!</v>
      </c>
      <c r="AK25" s="524" t="e">
        <f t="shared" si="34"/>
        <v>#DIV/0!</v>
      </c>
      <c r="AL25" s="524">
        <f t="shared" si="34"/>
        <v>3.29956</v>
      </c>
      <c r="AM25" s="524" t="e">
        <f t="shared" si="34"/>
        <v>#DIV/0!</v>
      </c>
      <c r="AN25" s="524" t="e">
        <f t="shared" si="34"/>
        <v>#DIV/0!</v>
      </c>
      <c r="AO25" s="524">
        <f t="shared" si="34"/>
        <v>3.29</v>
      </c>
      <c r="AP25" s="524" t="e">
        <f t="shared" si="34"/>
        <v>#DIV/0!</v>
      </c>
      <c r="AQ25" s="524" t="e">
        <f t="shared" si="34"/>
        <v>#DIV/0!</v>
      </c>
      <c r="AR25" s="524">
        <f t="shared" ref="AR25:AT25" si="35">AR24/2+AR26/2</f>
        <v>3.2649999999999997</v>
      </c>
      <c r="AS25" s="524" t="e">
        <f t="shared" si="35"/>
        <v>#DIV/0!</v>
      </c>
      <c r="AT25" s="524" t="e">
        <f t="shared" si="35"/>
        <v>#DIV/0!</v>
      </c>
      <c r="AU25" s="163">
        <v>1</v>
      </c>
      <c r="AV25" s="162">
        <v>1</v>
      </c>
      <c r="AW25" s="162"/>
      <c r="AX25" s="162"/>
      <c r="AY25" s="162"/>
      <c r="AZ25" s="199"/>
      <c r="BA25" s="531">
        <f t="shared" si="10"/>
        <v>0</v>
      </c>
      <c r="BB25" s="531">
        <f t="shared" si="11"/>
        <v>0</v>
      </c>
      <c r="BC25" s="531">
        <f t="shared" si="12"/>
        <v>0</v>
      </c>
      <c r="BD25" s="532">
        <f t="shared" si="22"/>
        <v>0</v>
      </c>
      <c r="BE25" s="532" t="e">
        <f t="shared" si="23"/>
        <v>#DIV/0!</v>
      </c>
      <c r="BF25" s="532" t="e">
        <f t="shared" si="24"/>
        <v>#DIV/0!</v>
      </c>
      <c r="BH25" s="201"/>
      <c r="BI25" s="201"/>
      <c r="BJ25" s="201"/>
      <c r="BK25" s="201"/>
      <c r="BL25" s="201"/>
      <c r="BM25" s="201"/>
      <c r="BN25" s="201"/>
      <c r="BO25" s="201"/>
      <c r="BP25" s="201"/>
      <c r="BQ25" s="201"/>
      <c r="BR25" s="201"/>
    </row>
    <row r="26" spans="1:70">
      <c r="B26" s="162" t="str">
        <f>Processes!D18</f>
        <v>RDHUMN</v>
      </c>
      <c r="C26" s="162" t="str">
        <f>Processes!E18</f>
        <v xml:space="preserve">Residential Demand Heating Urban Multi -  - New </v>
      </c>
      <c r="D26" s="127" t="str">
        <f>Commodities!$C$40&amp;","&amp;Commodities!$C$44&amp;","&amp;Commodities!$C$52</f>
        <v>RESHUMX,RESHUMB,RESHUMBN</v>
      </c>
      <c r="E26" s="191" t="str">
        <f>E25</f>
        <v>RHUMB</v>
      </c>
      <c r="F26" s="156">
        <v>2011</v>
      </c>
      <c r="G26" s="191">
        <v>2011</v>
      </c>
      <c r="H26" s="533"/>
      <c r="I26" s="533"/>
      <c r="J26" s="533"/>
      <c r="K26" s="533"/>
      <c r="L26" s="533"/>
      <c r="M26" s="533"/>
      <c r="N26" s="533"/>
      <c r="O26" s="533"/>
      <c r="P26" s="533"/>
      <c r="Q26" s="533"/>
      <c r="R26" s="533"/>
      <c r="S26" s="533"/>
      <c r="T26" s="533"/>
      <c r="U26" s="533"/>
      <c r="V26" s="533"/>
      <c r="W26" s="533"/>
      <c r="X26" s="533"/>
      <c r="Y26" s="533"/>
      <c r="Z26" s="533"/>
      <c r="AA26" s="533"/>
      <c r="AB26" s="533"/>
      <c r="AC26" s="533"/>
      <c r="AD26" s="533"/>
      <c r="AE26" s="533"/>
      <c r="AF26" s="533"/>
      <c r="AG26" s="533"/>
      <c r="AH26" s="533"/>
      <c r="AI26" s="525">
        <f>ROUND(Sources!$U$8,2)</f>
        <v>3.14</v>
      </c>
      <c r="AJ26" s="525">
        <f>ROUND(Sources!$U$8,2)</f>
        <v>3.14</v>
      </c>
      <c r="AK26" s="525">
        <f>ROUND(Sources!$U$8,2)</f>
        <v>3.14</v>
      </c>
      <c r="AL26" s="525">
        <f>ROUND(Sources!$U$8,2)</f>
        <v>3.14</v>
      </c>
      <c r="AM26" s="525">
        <f>ROUND(Sources!$U$8,2)</f>
        <v>3.14</v>
      </c>
      <c r="AN26" s="525">
        <f>ROUND(Sources!$U$8,2)</f>
        <v>3.14</v>
      </c>
      <c r="AO26" s="525">
        <f>ROUND(Sources!$U$8,2)</f>
        <v>3.14</v>
      </c>
      <c r="AP26" s="525">
        <f>ROUND(Sources!$U$8,2)</f>
        <v>3.14</v>
      </c>
      <c r="AQ26" s="525">
        <f>ROUND(Sources!$U$8,2)</f>
        <v>3.14</v>
      </c>
      <c r="AR26" s="525">
        <f>ROUND(Sources!$U$8,2)</f>
        <v>3.14</v>
      </c>
      <c r="AS26" s="525">
        <f>ROUND(Sources!$U$8,2)</f>
        <v>3.14</v>
      </c>
      <c r="AT26" s="525">
        <f>ROUND(Sources!$U$8,2)</f>
        <v>3.14</v>
      </c>
      <c r="AU26" s="163">
        <v>1</v>
      </c>
      <c r="AV26" s="168">
        <v>1</v>
      </c>
      <c r="AW26" s="162">
        <v>100</v>
      </c>
      <c r="AX26" s="162"/>
      <c r="AY26" s="162"/>
      <c r="BA26" s="531">
        <f t="shared" si="10"/>
        <v>0</v>
      </c>
      <c r="BB26" s="531">
        <f t="shared" si="11"/>
        <v>0</v>
      </c>
      <c r="BC26" s="531">
        <f t="shared" si="12"/>
        <v>0</v>
      </c>
      <c r="BD26" s="532">
        <f t="shared" ref="BD26:BF29" si="36">BA26/AI12</f>
        <v>0</v>
      </c>
      <c r="BE26" s="532">
        <f t="shared" si="36"/>
        <v>0</v>
      </c>
      <c r="BF26" s="532">
        <f t="shared" si="36"/>
        <v>0</v>
      </c>
      <c r="BH26" s="201"/>
      <c r="BI26" s="201"/>
      <c r="BJ26" s="201"/>
      <c r="BK26" s="201"/>
      <c r="BL26" s="201"/>
      <c r="BM26" s="201"/>
      <c r="BN26" s="201"/>
      <c r="BO26" s="201"/>
      <c r="BP26" s="201"/>
      <c r="BQ26" s="201"/>
      <c r="BR26" s="201"/>
    </row>
    <row r="27" spans="1:70">
      <c r="B27" s="162"/>
      <c r="C27" s="162"/>
      <c r="D27" s="557"/>
      <c r="E27" s="191"/>
      <c r="F27" s="156">
        <v>2016</v>
      </c>
      <c r="H27" s="533"/>
      <c r="I27" s="533"/>
      <c r="J27" s="533"/>
      <c r="K27" s="533"/>
      <c r="L27" s="533"/>
      <c r="M27" s="533"/>
      <c r="N27" s="533"/>
      <c r="O27" s="533"/>
      <c r="P27" s="533"/>
      <c r="Q27" s="533"/>
      <c r="R27" s="533"/>
      <c r="S27" s="533"/>
      <c r="T27" s="533"/>
      <c r="U27" s="533"/>
      <c r="V27" s="533"/>
      <c r="W27" s="533"/>
      <c r="X27" s="533"/>
      <c r="Y27" s="533"/>
      <c r="Z27" s="533"/>
      <c r="AA27" s="533"/>
      <c r="AB27" s="533"/>
      <c r="AC27" s="533"/>
      <c r="AD27" s="533"/>
      <c r="AE27" s="533"/>
      <c r="AF27" s="533"/>
      <c r="AG27" s="533"/>
      <c r="AH27" s="533"/>
      <c r="AI27" s="525">
        <f>ROUND(Sources!$U$9,2)</f>
        <v>3.69</v>
      </c>
      <c r="AJ27" s="525">
        <f>ROUND(Sources!$U$9,2)</f>
        <v>3.69</v>
      </c>
      <c r="AK27" s="525">
        <f>ROUND(Sources!$U$9,2)</f>
        <v>3.69</v>
      </c>
      <c r="AL27" s="525">
        <f>ROUND(Sources!$U$9,2)</f>
        <v>3.69</v>
      </c>
      <c r="AM27" s="525">
        <f>ROUND(Sources!$U$9,2)</f>
        <v>3.69</v>
      </c>
      <c r="AN27" s="525">
        <f>ROUND(Sources!$U$9,2)</f>
        <v>3.69</v>
      </c>
      <c r="AO27" s="525">
        <f>ROUND(Sources!$U$9,2)</f>
        <v>3.69</v>
      </c>
      <c r="AP27" s="525">
        <f>ROUND(Sources!$U$9,2)</f>
        <v>3.69</v>
      </c>
      <c r="AQ27" s="525">
        <f>ROUND(Sources!$U$9,2)</f>
        <v>3.69</v>
      </c>
      <c r="AR27" s="525">
        <f>ROUND(Sources!$U$9,2)</f>
        <v>3.69</v>
      </c>
      <c r="AS27" s="525">
        <f>ROUND(Sources!$U$9,2)</f>
        <v>3.69</v>
      </c>
      <c r="AT27" s="525">
        <f>ROUND(Sources!$U$9,2)</f>
        <v>3.69</v>
      </c>
      <c r="AU27" s="163">
        <v>1</v>
      </c>
      <c r="AV27" s="168">
        <v>1</v>
      </c>
      <c r="AW27" s="162">
        <v>100</v>
      </c>
      <c r="AX27" s="162"/>
      <c r="AY27" s="162"/>
      <c r="BA27" s="531">
        <f t="shared" si="10"/>
        <v>0</v>
      </c>
      <c r="BB27" s="531">
        <f t="shared" si="11"/>
        <v>0</v>
      </c>
      <c r="BC27" s="531">
        <f t="shared" si="12"/>
        <v>0</v>
      </c>
      <c r="BD27" s="532">
        <f t="shared" si="36"/>
        <v>0</v>
      </c>
      <c r="BE27" s="532">
        <f t="shared" si="36"/>
        <v>0</v>
      </c>
      <c r="BF27" s="532">
        <f t="shared" si="36"/>
        <v>0</v>
      </c>
      <c r="BH27" s="201"/>
      <c r="BI27" s="201"/>
      <c r="BJ27" s="201"/>
      <c r="BK27" s="201"/>
      <c r="BL27" s="201"/>
      <c r="BM27" s="201"/>
      <c r="BN27" s="201"/>
      <c r="BO27" s="201"/>
      <c r="BP27" s="201"/>
      <c r="BQ27" s="201"/>
      <c r="BR27" s="201"/>
    </row>
    <row r="28" spans="1:70">
      <c r="B28" s="162"/>
      <c r="C28" s="162"/>
      <c r="D28" s="557"/>
      <c r="E28" s="191"/>
      <c r="F28" s="156">
        <v>2021</v>
      </c>
      <c r="H28" s="533"/>
      <c r="I28" s="533"/>
      <c r="J28" s="533"/>
      <c r="K28" s="533"/>
      <c r="L28" s="533"/>
      <c r="M28" s="533"/>
      <c r="N28" s="533"/>
      <c r="O28" s="533"/>
      <c r="P28" s="533"/>
      <c r="Q28" s="533"/>
      <c r="R28" s="533"/>
      <c r="S28" s="533"/>
      <c r="T28" s="533"/>
      <c r="U28" s="533"/>
      <c r="V28" s="533"/>
      <c r="W28" s="533"/>
      <c r="X28" s="533"/>
      <c r="Y28" s="533"/>
      <c r="Z28" s="533"/>
      <c r="AA28" s="533"/>
      <c r="AB28" s="533"/>
      <c r="AC28" s="533"/>
      <c r="AD28" s="533"/>
      <c r="AE28" s="533"/>
      <c r="AF28" s="533"/>
      <c r="AG28" s="533"/>
      <c r="AH28" s="533"/>
      <c r="AI28" s="525">
        <f>ROUND(Sources!$U$10,2)</f>
        <v>6.08</v>
      </c>
      <c r="AJ28" s="525">
        <f>ROUND(Sources!$U$10,2)</f>
        <v>6.08</v>
      </c>
      <c r="AK28" s="525">
        <f>ROUND(Sources!$U$10,2)</f>
        <v>6.08</v>
      </c>
      <c r="AL28" s="525">
        <f>ROUND(Sources!$U$10,2)</f>
        <v>6.08</v>
      </c>
      <c r="AM28" s="525">
        <f>ROUND(Sources!$U$10,2)</f>
        <v>6.08</v>
      </c>
      <c r="AN28" s="525">
        <f>ROUND(Sources!$U$10,2)</f>
        <v>6.08</v>
      </c>
      <c r="AO28" s="525">
        <f>ROUND(Sources!$U$10,2)</f>
        <v>6.08</v>
      </c>
      <c r="AP28" s="525">
        <f>ROUND(Sources!$U$10,2)</f>
        <v>6.08</v>
      </c>
      <c r="AQ28" s="525">
        <f>ROUND(Sources!$U$10,2)</f>
        <v>6.08</v>
      </c>
      <c r="AR28" s="525">
        <f>ROUND(Sources!$U$10,2)</f>
        <v>6.08</v>
      </c>
      <c r="AS28" s="525">
        <f>ROUND(Sources!$U$10,2)</f>
        <v>6.08</v>
      </c>
      <c r="AT28" s="525">
        <f>ROUND(Sources!$U$10,2)</f>
        <v>6.08</v>
      </c>
      <c r="AU28" s="163">
        <v>1</v>
      </c>
      <c r="AV28" s="168">
        <v>1</v>
      </c>
      <c r="AW28" s="162">
        <v>100</v>
      </c>
      <c r="AX28" s="162"/>
      <c r="AY28" s="162"/>
      <c r="BA28" s="531">
        <f t="shared" si="10"/>
        <v>0</v>
      </c>
      <c r="BB28" s="531">
        <f t="shared" si="11"/>
        <v>0</v>
      </c>
      <c r="BC28" s="531">
        <f t="shared" si="12"/>
        <v>0</v>
      </c>
      <c r="BD28" s="532">
        <f t="shared" si="36"/>
        <v>0</v>
      </c>
      <c r="BE28" s="532">
        <f t="shared" si="36"/>
        <v>0</v>
      </c>
      <c r="BF28" s="532">
        <f t="shared" si="36"/>
        <v>0</v>
      </c>
      <c r="BH28" s="201"/>
      <c r="BI28" s="201"/>
      <c r="BJ28" s="201"/>
      <c r="BK28" s="201"/>
      <c r="BL28" s="201"/>
      <c r="BM28" s="201"/>
      <c r="BN28" s="201"/>
      <c r="BO28" s="201"/>
      <c r="BP28" s="201"/>
      <c r="BQ28" s="201"/>
      <c r="BR28" s="201"/>
    </row>
    <row r="29" spans="1:70" ht="13.8" thickBot="1">
      <c r="B29" s="162"/>
      <c r="C29" s="162"/>
      <c r="D29" s="557"/>
      <c r="E29" s="212"/>
      <c r="F29" s="164">
        <v>2031</v>
      </c>
      <c r="G29" s="164"/>
      <c r="H29" s="534"/>
      <c r="I29" s="534"/>
      <c r="J29" s="534"/>
      <c r="K29" s="534"/>
      <c r="L29" s="534"/>
      <c r="M29" s="534"/>
      <c r="N29" s="534"/>
      <c r="O29" s="534"/>
      <c r="P29" s="534"/>
      <c r="Q29" s="534"/>
      <c r="R29" s="534"/>
      <c r="S29" s="534"/>
      <c r="T29" s="534"/>
      <c r="U29" s="534"/>
      <c r="V29" s="534"/>
      <c r="W29" s="534"/>
      <c r="X29" s="534"/>
      <c r="Y29" s="534"/>
      <c r="Z29" s="534"/>
      <c r="AA29" s="534"/>
      <c r="AB29" s="534"/>
      <c r="AC29" s="534"/>
      <c r="AD29" s="534"/>
      <c r="AE29" s="534"/>
      <c r="AF29" s="534"/>
      <c r="AG29" s="534"/>
      <c r="AH29" s="534"/>
      <c r="AI29" s="529">
        <f>ROUND(Sources!$U$11,2)</f>
        <v>6.94</v>
      </c>
      <c r="AJ29" s="525">
        <f>ROUND(Sources!$U$11,2)</f>
        <v>6.94</v>
      </c>
      <c r="AK29" s="525">
        <f>ROUND(Sources!$U$11,2)</f>
        <v>6.94</v>
      </c>
      <c r="AL29" s="529">
        <f>ROUND(Sources!$U$11,2)</f>
        <v>6.94</v>
      </c>
      <c r="AM29" s="525">
        <f>ROUND(Sources!$U$11,2)</f>
        <v>6.94</v>
      </c>
      <c r="AN29" s="525">
        <f>ROUND(Sources!$U$11,2)</f>
        <v>6.94</v>
      </c>
      <c r="AO29" s="529">
        <f>ROUND(Sources!$U$11,2)</f>
        <v>6.94</v>
      </c>
      <c r="AP29" s="525">
        <f>ROUND(Sources!$U$11,2)</f>
        <v>6.94</v>
      </c>
      <c r="AQ29" s="525">
        <f>ROUND(Sources!$U$11,2)</f>
        <v>6.94</v>
      </c>
      <c r="AR29" s="529">
        <f>ROUND(Sources!$U$11,2)</f>
        <v>6.94</v>
      </c>
      <c r="AS29" s="525">
        <f>ROUND(Sources!$U$11,2)</f>
        <v>6.94</v>
      </c>
      <c r="AT29" s="525">
        <f>ROUND(Sources!$U$11,2)</f>
        <v>6.94</v>
      </c>
      <c r="AU29" s="163">
        <v>1</v>
      </c>
      <c r="AV29" s="168">
        <v>1</v>
      </c>
      <c r="AW29" s="162">
        <v>100</v>
      </c>
      <c r="AX29" s="162"/>
      <c r="AY29" s="162"/>
      <c r="BA29" s="531">
        <f t="shared" si="10"/>
        <v>0</v>
      </c>
      <c r="BB29" s="531">
        <f t="shared" si="11"/>
        <v>0</v>
      </c>
      <c r="BC29" s="531">
        <f t="shared" si="12"/>
        <v>0</v>
      </c>
      <c r="BD29" s="532">
        <f t="shared" si="36"/>
        <v>0</v>
      </c>
      <c r="BE29" s="532">
        <f t="shared" si="36"/>
        <v>0</v>
      </c>
      <c r="BF29" s="532">
        <f t="shared" si="36"/>
        <v>0</v>
      </c>
      <c r="BH29" s="201"/>
      <c r="BI29" s="201"/>
      <c r="BJ29" s="201"/>
      <c r="BK29" s="201"/>
      <c r="BL29" s="201"/>
      <c r="BM29" s="201"/>
      <c r="BN29" s="201"/>
      <c r="BO29" s="201"/>
      <c r="BP29" s="201"/>
      <c r="BQ29" s="201"/>
      <c r="BR29" s="201"/>
    </row>
    <row r="30" spans="1:70" ht="13.8" thickBot="1">
      <c r="B30" s="165" t="str">
        <f>Processes!D19</f>
        <v>RDHRML</v>
      </c>
      <c r="C30" s="165" t="str">
        <f>Processes!E19</f>
        <v xml:space="preserve">Residential Demand Heating Rural Multi -  - Low </v>
      </c>
      <c r="D30" s="127" t="str">
        <f>Commodities!$C$41&amp;","&amp;Commodities!$C$45&amp;","&amp;Commodities!$C$49&amp;","&amp;Commodities!$C$83&amp;","&amp;Commodities!C67</f>
        <v>RESHRMX,RESHRMB,RESHRMBE,RESHSAV,RESHRMSL</v>
      </c>
      <c r="E30" s="7" t="str">
        <f>Commodities!C10</f>
        <v>RHRMB</v>
      </c>
      <c r="F30" s="209"/>
      <c r="G30" s="209"/>
      <c r="H30" s="533" cm="1">
        <f t="array" ref="H30">ROUNDUP(INDEX(Dem!$F$41:$H$44,MATCH(Buildings_DR!$E30,Dem!$B$5:$B$8,0),MATCH(RIGHT(H$7,3),Dem!$F$1:$H$1,0))*_xlfn.IFS(RIGHT($D30,1)="H",$H$4,RIGHT($D30,1)="M",$H$3,RIGHT($D30,1)="L",$H$2),2)</f>
        <v>0</v>
      </c>
      <c r="I30" s="533" cm="1">
        <f t="array" ref="I30">ROUNDUP(INDEX(Dem!$F$41:$H$44,MATCH(Buildings_DR!$E30,Dem!$B$5:$B$8,0),MATCH(RIGHT(I$7,3),Dem!$F$1:$H$1,0))*_xlfn.IFS(RIGHT($D30,1)="H",$H$4,RIGHT($D30,1)="M",$H$3,RIGHT($D30,1)="L",$H$2),2)</f>
        <v>0</v>
      </c>
      <c r="J30" s="533" cm="1">
        <f t="array" ref="J30">ROUNDUP(INDEX(Dem!$F$41:$H$44,MATCH(Buildings_DR!$E30,Dem!$B$5:$B$8,0),MATCH(RIGHT(J$7,3),Dem!$F$1:$H$1,0))*_xlfn.IFS(RIGHT($D30,1)="H",$H$4,RIGHT($D30,1)="M",$H$3,RIGHT($D30,1)="L",$H$2),2)</f>
        <v>0</v>
      </c>
      <c r="K30" s="533" cm="1">
        <f t="array" ref="K30">ROUNDUP(INDEX(Dem!$F$45:$H$48,MATCH(Buildings_DR!$E30,Dem!$B$5:$B$8,0),MATCH(RIGHT(K$7,3),Dem!$F$1:$H$1,0))*_xlfn.IFS(RIGHT($D30,1)="H",$H$4,RIGHT($D30,1)="M",$H$3,RIGHT($D30,1)="L",$H$2),2)</f>
        <v>0</v>
      </c>
      <c r="L30" s="533" cm="1">
        <f t="array" ref="L30">ROUNDUP(INDEX(Dem!$F$45:$H$48,MATCH(Buildings_DR!$E30,Dem!$B$5:$B$8,0),MATCH(RIGHT(L$7,3),Dem!$F$1:$H$1,0))*_xlfn.IFS(RIGHT($D30,1)="H",$H$4,RIGHT($D30,1)="M",$H$3,RIGHT($D30,1)="L",$H$2),2)</f>
        <v>0</v>
      </c>
      <c r="M30" s="533" cm="1">
        <f t="array" ref="M30">ROUNDUP(INDEX(Dem!$F$45:$H$48,MATCH(Buildings_DR!$E30,Dem!$B$5:$B$8,0),MATCH(RIGHT(M$7,3),Dem!$F$1:$H$1,0))*_xlfn.IFS(RIGHT($D30,1)="H",$H$4,RIGHT($D30,1)="M",$H$3,RIGHT($D30,1)="L",$H$2),2)</f>
        <v>0</v>
      </c>
      <c r="N30" s="533" cm="1">
        <f t="array" ref="N30">ROUNDUP(INDEX(Dem!$F$49:$H$52,MATCH(Buildings_DR!$E30,Dem!$B$5:$B$8,0),MATCH(RIGHT(N$7,3),Dem!$F$1:$H$1,0))*_xlfn.IFS(RIGHT($D30,1)="H",$H$4,RIGHT($D30,1)="M",$H$3,RIGHT($D30,1)="L",$H$2),2)</f>
        <v>0</v>
      </c>
      <c r="O30" s="533" cm="1">
        <f t="array" ref="O30">ROUNDUP(INDEX(Dem!$F$49:$H$52,MATCH(Buildings_DR!$E30,Dem!$B$5:$B$8,0),MATCH(RIGHT(O$7,3),Dem!$F$1:$H$1,0))*_xlfn.IFS(RIGHT($D30,1)="H",$H$4,RIGHT($D30,1)="M",$H$3,RIGHT($D30,1)="L",$H$2),2)</f>
        <v>0</v>
      </c>
      <c r="P30" s="533" cm="1">
        <f t="array" ref="P30">ROUNDUP(INDEX(Dem!$F$49:$H$52,MATCH(Buildings_DR!$E30,Dem!$B$5:$B$8,0),MATCH(RIGHT(P$7,3),Dem!$F$1:$H$1,0))*_xlfn.IFS(RIGHT($D30,1)="H",$H$4,RIGHT($D30,1)="M",$H$3,RIGHT($D30,1)="L",$H$2),2)</f>
        <v>0</v>
      </c>
      <c r="Q30" s="533">
        <f t="shared" ref="Q30:S32" si="37">H30*0.6</f>
        <v>0</v>
      </c>
      <c r="R30" s="533">
        <f t="shared" si="37"/>
        <v>0</v>
      </c>
      <c r="S30" s="533">
        <f t="shared" si="37"/>
        <v>0</v>
      </c>
      <c r="T30" s="533">
        <f t="shared" ref="T30:AE30" si="38">H30*0.99</f>
        <v>0</v>
      </c>
      <c r="U30" s="533">
        <f t="shared" si="38"/>
        <v>0</v>
      </c>
      <c r="V30" s="533">
        <f t="shared" si="38"/>
        <v>0</v>
      </c>
      <c r="W30" s="533">
        <f t="shared" si="38"/>
        <v>0</v>
      </c>
      <c r="X30" s="533">
        <f t="shared" si="38"/>
        <v>0</v>
      </c>
      <c r="Y30" s="533">
        <f t="shared" si="38"/>
        <v>0</v>
      </c>
      <c r="Z30" s="533">
        <f t="shared" si="38"/>
        <v>0</v>
      </c>
      <c r="AA30" s="533">
        <f t="shared" si="38"/>
        <v>0</v>
      </c>
      <c r="AB30" s="533">
        <f t="shared" si="38"/>
        <v>0</v>
      </c>
      <c r="AC30" s="533">
        <f t="shared" si="38"/>
        <v>0</v>
      </c>
      <c r="AD30" s="533">
        <f t="shared" si="38"/>
        <v>0</v>
      </c>
      <c r="AE30" s="533">
        <f t="shared" si="38"/>
        <v>0</v>
      </c>
      <c r="AF30" s="533">
        <v>5</v>
      </c>
      <c r="AG30" s="533">
        <v>5</v>
      </c>
      <c r="AH30" s="533">
        <v>5</v>
      </c>
      <c r="AI30" s="524">
        <f t="shared" ref="AI30:AT30" si="39">AI31/2</f>
        <v>1.2849999999999999</v>
      </c>
      <c r="AJ30" s="523" t="e">
        <f t="shared" si="39"/>
        <v>#DIV/0!</v>
      </c>
      <c r="AK30" s="523" t="e">
        <f t="shared" si="39"/>
        <v>#DIV/0!</v>
      </c>
      <c r="AL30" s="524">
        <f t="shared" si="39"/>
        <v>1.5903999999999998</v>
      </c>
      <c r="AM30" s="523" t="e">
        <f t="shared" si="39"/>
        <v>#DIV/0!</v>
      </c>
      <c r="AN30" s="523" t="e">
        <f t="shared" si="39"/>
        <v>#DIV/0!</v>
      </c>
      <c r="AO30" s="524">
        <f t="shared" si="39"/>
        <v>1.6199999999999999</v>
      </c>
      <c r="AP30" s="523" t="e">
        <f t="shared" si="39"/>
        <v>#DIV/0!</v>
      </c>
      <c r="AQ30" s="523" t="e">
        <f t="shared" si="39"/>
        <v>#DIV/0!</v>
      </c>
      <c r="AR30" s="524">
        <f t="shared" si="39"/>
        <v>1.5549999999999999</v>
      </c>
      <c r="AS30" s="523" t="e">
        <f t="shared" si="39"/>
        <v>#DIV/0!</v>
      </c>
      <c r="AT30" s="523" t="e">
        <f t="shared" si="39"/>
        <v>#DIV/0!</v>
      </c>
      <c r="AU30" s="210">
        <v>1</v>
      </c>
      <c r="AV30" s="208">
        <v>1</v>
      </c>
      <c r="AW30" s="160"/>
      <c r="AX30" s="162"/>
      <c r="AY30" s="162"/>
      <c r="AZ30" s="199"/>
      <c r="BA30" s="531">
        <f t="shared" si="10"/>
        <v>0</v>
      </c>
      <c r="BB30" s="531">
        <f t="shared" si="11"/>
        <v>0</v>
      </c>
      <c r="BC30" s="531">
        <f t="shared" si="12"/>
        <v>0</v>
      </c>
      <c r="BD30" s="532">
        <f t="shared" ref="BD30:BF36" si="40">BA30/AI30</f>
        <v>0</v>
      </c>
      <c r="BE30" s="532" t="e">
        <f t="shared" si="40"/>
        <v>#DIV/0!</v>
      </c>
      <c r="BF30" s="532" t="e">
        <f t="shared" si="40"/>
        <v>#DIV/0!</v>
      </c>
      <c r="BH30" s="201"/>
      <c r="BI30" s="201"/>
      <c r="BJ30" s="201"/>
      <c r="BK30" s="201"/>
      <c r="BL30" s="201"/>
      <c r="BM30" s="201"/>
      <c r="BN30" s="201"/>
      <c r="BO30" s="201"/>
      <c r="BP30" s="201"/>
      <c r="BQ30" s="201"/>
      <c r="BR30" s="201"/>
    </row>
    <row r="31" spans="1:70">
      <c r="A31" s="162"/>
      <c r="B31" s="162" t="str">
        <f>Processes!D20</f>
        <v>RDHRMM</v>
      </c>
      <c r="C31" s="162" t="str">
        <f>Processes!E20</f>
        <v xml:space="preserve">Residential Demand Heating Rural Multi -  - Medium </v>
      </c>
      <c r="D31" s="127" t="str">
        <f>Commodities!$C$41&amp;","&amp;Commodities!$C$45&amp;","&amp;Commodities!$C$49&amp;","&amp;Commodities!$C$83&amp;","&amp;Commodities!C68</f>
        <v>RESHRMX,RESHRMB,RESHRMBE,RESHSAV,RESHRMSM</v>
      </c>
      <c r="E31" s="191" t="str">
        <f>E30</f>
        <v>RHRMB</v>
      </c>
      <c r="F31" s="191"/>
      <c r="G31" s="191"/>
      <c r="H31" s="533" cm="1">
        <f t="array" ref="H31">ROUNDUP(INDEX(Dem!$F$41:$H$44,MATCH(Buildings_DR!$E31,Dem!$B$5:$B$8,0),MATCH(RIGHT(H$7,3),Dem!$F$1:$H$1,0))*_xlfn.IFS(RIGHT($D31,1)="H",$H$4,RIGHT($D31,1)="M",$H$3,RIGHT($D31,1)="L",$H$2),2)</f>
        <v>55.79</v>
      </c>
      <c r="I31" s="533" cm="1">
        <f t="array" ref="I31">ROUNDUP(INDEX(Dem!$F$41:$H$44,MATCH(Buildings_DR!$E31,Dem!$B$5:$B$8,0),MATCH(RIGHT(I$7,3),Dem!$F$1:$H$1,0))*_xlfn.IFS(RIGHT($D31,1)="H",$H$4,RIGHT($D31,1)="M",$H$3,RIGHT($D31,1)="L",$H$2),2)</f>
        <v>0</v>
      </c>
      <c r="J31" s="533" cm="1">
        <f t="array" ref="J31">ROUNDUP(INDEX(Dem!$F$41:$H$44,MATCH(Buildings_DR!$E31,Dem!$B$5:$B$8,0),MATCH(RIGHT(J$7,3),Dem!$F$1:$H$1,0))*_xlfn.IFS(RIGHT($D31,1)="H",$H$4,RIGHT($D31,1)="M",$H$3,RIGHT($D31,1)="L",$H$2),2)</f>
        <v>0</v>
      </c>
      <c r="K31" s="533" cm="1">
        <f t="array" ref="K31">ROUNDUP(INDEX(Dem!$F$45:$H$48,MATCH(Buildings_DR!$E31,Dem!$B$5:$B$8,0),MATCH(RIGHT(K$7,3),Dem!$F$1:$H$1,0))*_xlfn.IFS(RIGHT($D31,1)="H",$H$4,RIGHT($D31,1)="M",$H$3,RIGHT($D31,1)="L",$H$2),2)</f>
        <v>57.55</v>
      </c>
      <c r="L31" s="533" cm="1">
        <f t="array" ref="L31">ROUNDUP(INDEX(Dem!$F$45:$H$48,MATCH(Buildings_DR!$E31,Dem!$B$5:$B$8,0),MATCH(RIGHT(L$7,3),Dem!$F$1:$H$1,0))*_xlfn.IFS(RIGHT($D31,1)="H",$H$4,RIGHT($D31,1)="M",$H$3,RIGHT($D31,1)="L",$H$2),2)</f>
        <v>0</v>
      </c>
      <c r="M31" s="533" cm="1">
        <f t="array" ref="M31">ROUNDUP(INDEX(Dem!$F$45:$H$48,MATCH(Buildings_DR!$E31,Dem!$B$5:$B$8,0),MATCH(RIGHT(M$7,3),Dem!$F$1:$H$1,0))*_xlfn.IFS(RIGHT($D31,1)="H",$H$4,RIGHT($D31,1)="M",$H$3,RIGHT($D31,1)="L",$H$2),2)</f>
        <v>0</v>
      </c>
      <c r="N31" s="533" cm="1">
        <f t="array" ref="N31">ROUNDUP(INDEX(Dem!$F$49:$H$52,MATCH(Buildings_DR!$E31,Dem!$B$5:$B$8,0),MATCH(RIGHT(N$7,3),Dem!$F$1:$H$1,0))*_xlfn.IFS(RIGHT($D31,1)="H",$H$4,RIGHT($D31,1)="M",$H$3,RIGHT($D31,1)="L",$H$2),2)</f>
        <v>58.41</v>
      </c>
      <c r="O31" s="533" cm="1">
        <f t="array" ref="O31">ROUNDUP(INDEX(Dem!$F$49:$H$52,MATCH(Buildings_DR!$E31,Dem!$B$5:$B$8,0),MATCH(RIGHT(O$7,3),Dem!$F$1:$H$1,0))*_xlfn.IFS(RIGHT($D31,1)="H",$H$4,RIGHT($D31,1)="M",$H$3,RIGHT($D31,1)="L",$H$2),2)</f>
        <v>0</v>
      </c>
      <c r="P31" s="533" cm="1">
        <f t="array" ref="P31">ROUNDUP(INDEX(Dem!$F$49:$H$52,MATCH(Buildings_DR!$E31,Dem!$B$5:$B$8,0),MATCH(RIGHT(P$7,3),Dem!$F$1:$H$1,0))*_xlfn.IFS(RIGHT($D31,1)="H",$H$4,RIGHT($D31,1)="M",$H$3,RIGHT($D31,1)="L",$H$2),2)</f>
        <v>0</v>
      </c>
      <c r="Q31" s="533">
        <f t="shared" si="37"/>
        <v>33.473999999999997</v>
      </c>
      <c r="R31" s="533">
        <f t="shared" si="37"/>
        <v>0</v>
      </c>
      <c r="S31" s="533">
        <f t="shared" si="37"/>
        <v>0</v>
      </c>
      <c r="T31" s="533">
        <f t="shared" ref="T31:AB31" si="41">H31*$K$2</f>
        <v>55.232099999999996</v>
      </c>
      <c r="U31" s="533">
        <f t="shared" si="41"/>
        <v>0</v>
      </c>
      <c r="V31" s="533">
        <f t="shared" si="41"/>
        <v>0</v>
      </c>
      <c r="W31" s="533">
        <f t="shared" si="41"/>
        <v>56.974499999999999</v>
      </c>
      <c r="X31" s="533">
        <f t="shared" si="41"/>
        <v>0</v>
      </c>
      <c r="Y31" s="533">
        <f t="shared" si="41"/>
        <v>0</v>
      </c>
      <c r="Z31" s="533">
        <f t="shared" si="41"/>
        <v>57.825899999999997</v>
      </c>
      <c r="AA31" s="533">
        <f t="shared" si="41"/>
        <v>0</v>
      </c>
      <c r="AB31" s="533">
        <f t="shared" si="41"/>
        <v>0</v>
      </c>
      <c r="AC31" s="533">
        <f>Q31*$K$3</f>
        <v>33.139259999999993</v>
      </c>
      <c r="AD31" s="533">
        <f>R31*$K$3</f>
        <v>0</v>
      </c>
      <c r="AE31" s="533">
        <f>S31*$K$3</f>
        <v>0</v>
      </c>
      <c r="AF31" s="533">
        <v>5</v>
      </c>
      <c r="AG31" s="533">
        <v>5</v>
      </c>
      <c r="AH31" s="533">
        <v>5</v>
      </c>
      <c r="AI31" s="524">
        <f>ROUNDUP(SUM(H30:H36)/SUM(Boilers_DR!AB36:AB45),2)</f>
        <v>2.57</v>
      </c>
      <c r="AJ31" s="524" t="e">
        <f>ROUNDUP(SUM(I30:I36)/SUM(Boilers_DR!AC36:AC45),2)</f>
        <v>#DIV/0!</v>
      </c>
      <c r="AK31" s="524" t="e">
        <f>ROUNDUP(SUM(J30:J36)/SUM(Boilers_DR!AD36:AD45),2)</f>
        <v>#DIV/0!</v>
      </c>
      <c r="AL31" s="524">
        <f>ROUNDUP(SUM(K30:K36)/SUM(Boilers_DR!AB76:AB85),2)*AL3</f>
        <v>3.1807999999999996</v>
      </c>
      <c r="AM31" s="524" t="e">
        <f>ROUNDUP(SUM(L30:L36)/SUM(Boilers_DR!AC76:AC85),2)*AM3</f>
        <v>#DIV/0!</v>
      </c>
      <c r="AN31" s="524" t="e">
        <f>ROUNDUP(SUM(M30:M36)/SUM(Boilers_DR!AD76:AD85),2)*AN3</f>
        <v>#DIV/0!</v>
      </c>
      <c r="AO31" s="524">
        <f>ROUNDUP(SUM(N30:N36)/SUM(Boilers_DR!AB116:AB125),2)</f>
        <v>3.2399999999999998</v>
      </c>
      <c r="AP31" s="524" t="e">
        <f>ROUNDUP(SUM(O30:O36)/SUM(Boilers_DR!AC116:AC125),2)</f>
        <v>#DIV/0!</v>
      </c>
      <c r="AQ31" s="524" t="e">
        <f>ROUNDUP(SUM(P30:P36)/SUM(Boilers_DR!AD116:AD125),2)</f>
        <v>#DIV/0!</v>
      </c>
      <c r="AR31" s="524">
        <f>ROUNDUP(SUM(N30:N36)/SUM(Boilers_DR!AB156:AB165),2)</f>
        <v>3.11</v>
      </c>
      <c r="AS31" s="524" t="e">
        <f>ROUNDUP(SUM(O30:O36)/SUM(Boilers_DR!AC156:AC165),2)</f>
        <v>#DIV/0!</v>
      </c>
      <c r="AT31" s="524" t="e">
        <f>ROUNDUP(SUM(P30:P36)/SUM(Boilers_DR!AD156:AD165),2)</f>
        <v>#DIV/0!</v>
      </c>
      <c r="AU31" s="163">
        <v>1</v>
      </c>
      <c r="AV31" s="162">
        <v>1</v>
      </c>
      <c r="AW31" s="160"/>
      <c r="AX31" s="162"/>
      <c r="AY31" s="162"/>
      <c r="AZ31" s="199"/>
      <c r="BA31" s="531">
        <f t="shared" si="10"/>
        <v>55.79</v>
      </c>
      <c r="BB31" s="531">
        <f t="shared" si="11"/>
        <v>0</v>
      </c>
      <c r="BC31" s="531">
        <f t="shared" si="12"/>
        <v>0</v>
      </c>
      <c r="BD31" s="532">
        <f t="shared" si="40"/>
        <v>21.708171206225682</v>
      </c>
      <c r="BE31" s="532" t="e">
        <f t="shared" si="40"/>
        <v>#DIV/0!</v>
      </c>
      <c r="BF31" s="532" t="e">
        <f t="shared" si="40"/>
        <v>#DIV/0!</v>
      </c>
      <c r="BH31" s="201"/>
      <c r="BI31" s="201"/>
      <c r="BJ31" s="201"/>
      <c r="BK31" s="201"/>
      <c r="BL31" s="201"/>
      <c r="BM31" s="201"/>
      <c r="BN31" s="201"/>
      <c r="BO31" s="201"/>
      <c r="BP31" s="201"/>
      <c r="BQ31" s="201"/>
      <c r="BR31" s="201"/>
    </row>
    <row r="32" spans="1:70">
      <c r="A32" s="162"/>
      <c r="B32" s="162" t="str">
        <f>Processes!D21</f>
        <v>RDHRMH</v>
      </c>
      <c r="C32" s="162" t="str">
        <f>Processes!E21</f>
        <v xml:space="preserve">Residential Demand Heating Rural Multi -  - High </v>
      </c>
      <c r="D32" s="127" t="str">
        <f>Commodities!$C$41&amp;","&amp;Commodities!$C$45&amp;","&amp;Commodities!$C$49&amp;","&amp;Commodities!$C$83&amp;","&amp;Commodities!C69</f>
        <v>RESHRMX,RESHRMB,RESHRMBE,RESHSAV,RESHRMSH</v>
      </c>
      <c r="E32" s="191" t="str">
        <f>E31</f>
        <v>RHRMB</v>
      </c>
      <c r="F32" s="191"/>
      <c r="G32" s="191"/>
      <c r="H32" s="533" cm="1">
        <f t="array" ref="H32">ROUNDUP(INDEX(Dem!$F$41:$H$44,MATCH(Buildings_DR!$E32,Dem!$B$5:$B$8,0),MATCH(RIGHT(H$7,3),Dem!$F$1:$H$1,0))*_xlfn.IFS(RIGHT($D32,1)="H",$H$4,RIGHT($D32,1)="M",$H$3,RIGHT($D32,1)="L",$H$2),2)</f>
        <v>0</v>
      </c>
      <c r="I32" s="533" cm="1">
        <f t="array" ref="I32">ROUNDUP(INDEX(Dem!$F$41:$H$44,MATCH(Buildings_DR!$E32,Dem!$B$5:$B$8,0),MATCH(RIGHT(I$7,3),Dem!$F$1:$H$1,0))*_xlfn.IFS(RIGHT($D32,1)="H",$H$4,RIGHT($D32,1)="M",$H$3,RIGHT($D32,1)="L",$H$2),2)</f>
        <v>0</v>
      </c>
      <c r="J32" s="533" cm="1">
        <f t="array" ref="J32">ROUNDUP(INDEX(Dem!$F$41:$H$44,MATCH(Buildings_DR!$E32,Dem!$B$5:$B$8,0),MATCH(RIGHT(J$7,3),Dem!$F$1:$H$1,0))*_xlfn.IFS(RIGHT($D32,1)="H",$H$4,RIGHT($D32,1)="M",$H$3,RIGHT($D32,1)="L",$H$2),2)</f>
        <v>0</v>
      </c>
      <c r="K32" s="533" cm="1">
        <f t="array" ref="K32">ROUNDUP(INDEX(Dem!$F$45:$H$48,MATCH(Buildings_DR!$E32,Dem!$B$5:$B$8,0),MATCH(RIGHT(K$7,3),Dem!$F$1:$H$1,0))*_xlfn.IFS(RIGHT($D32,1)="H",$H$4,RIGHT($D32,1)="M",$H$3,RIGHT($D32,1)="L",$H$2),2)</f>
        <v>0</v>
      </c>
      <c r="L32" s="533" cm="1">
        <f t="array" ref="L32">ROUNDUP(INDEX(Dem!$F$45:$H$48,MATCH(Buildings_DR!$E32,Dem!$B$5:$B$8,0),MATCH(RIGHT(L$7,3),Dem!$F$1:$H$1,0))*_xlfn.IFS(RIGHT($D32,1)="H",$H$4,RIGHT($D32,1)="M",$H$3,RIGHT($D32,1)="L",$H$2),2)</f>
        <v>0</v>
      </c>
      <c r="M32" s="533" cm="1">
        <f t="array" ref="M32">ROUNDUP(INDEX(Dem!$F$45:$H$48,MATCH(Buildings_DR!$E32,Dem!$B$5:$B$8,0),MATCH(RIGHT(M$7,3),Dem!$F$1:$H$1,0))*_xlfn.IFS(RIGHT($D32,1)="H",$H$4,RIGHT($D32,1)="M",$H$3,RIGHT($D32,1)="L",$H$2),2)</f>
        <v>0</v>
      </c>
      <c r="N32" s="533" cm="1">
        <f t="array" ref="N32">ROUNDUP(INDEX(Dem!$F$49:$H$52,MATCH(Buildings_DR!$E32,Dem!$B$5:$B$8,0),MATCH(RIGHT(N$7,3),Dem!$F$1:$H$1,0))*_xlfn.IFS(RIGHT($D32,1)="H",$H$4,RIGHT($D32,1)="M",$H$3,RIGHT($D32,1)="L",$H$2),2)</f>
        <v>0</v>
      </c>
      <c r="O32" s="533" cm="1">
        <f t="array" ref="O32">ROUNDUP(INDEX(Dem!$F$49:$H$52,MATCH(Buildings_DR!$E32,Dem!$B$5:$B$8,0),MATCH(RIGHT(O$7,3),Dem!$F$1:$H$1,0))*_xlfn.IFS(RIGHT($D32,1)="H",$H$4,RIGHT($D32,1)="M",$H$3,RIGHT($D32,1)="L",$H$2),2)</f>
        <v>0</v>
      </c>
      <c r="P32" s="533" cm="1">
        <f t="array" ref="P32">ROUNDUP(INDEX(Dem!$F$49:$H$52,MATCH(Buildings_DR!$E32,Dem!$B$5:$B$8,0),MATCH(RIGHT(P$7,3),Dem!$F$1:$H$1,0))*_xlfn.IFS(RIGHT($D32,1)="H",$H$4,RIGHT($D32,1)="M",$H$3,RIGHT($D32,1)="L",$H$2),2)</f>
        <v>0</v>
      </c>
      <c r="Q32" s="533">
        <f t="shared" si="37"/>
        <v>0</v>
      </c>
      <c r="R32" s="533">
        <f t="shared" si="37"/>
        <v>0</v>
      </c>
      <c r="S32" s="533">
        <f t="shared" si="37"/>
        <v>0</v>
      </c>
      <c r="T32" s="533">
        <f t="shared" ref="T32:AE32" si="42">H32*0.99</f>
        <v>0</v>
      </c>
      <c r="U32" s="533">
        <f t="shared" si="42"/>
        <v>0</v>
      </c>
      <c r="V32" s="533">
        <f t="shared" si="42"/>
        <v>0</v>
      </c>
      <c r="W32" s="533">
        <f t="shared" si="42"/>
        <v>0</v>
      </c>
      <c r="X32" s="533">
        <f t="shared" si="42"/>
        <v>0</v>
      </c>
      <c r="Y32" s="533">
        <f t="shared" si="42"/>
        <v>0</v>
      </c>
      <c r="Z32" s="533">
        <f t="shared" si="42"/>
        <v>0</v>
      </c>
      <c r="AA32" s="533">
        <f t="shared" si="42"/>
        <v>0</v>
      </c>
      <c r="AB32" s="533">
        <f t="shared" si="42"/>
        <v>0</v>
      </c>
      <c r="AC32" s="533">
        <f t="shared" si="42"/>
        <v>0</v>
      </c>
      <c r="AD32" s="533">
        <f t="shared" si="42"/>
        <v>0</v>
      </c>
      <c r="AE32" s="533">
        <f t="shared" si="42"/>
        <v>0</v>
      </c>
      <c r="AF32" s="533">
        <v>5</v>
      </c>
      <c r="AG32" s="533">
        <v>5</v>
      </c>
      <c r="AH32" s="533">
        <v>5</v>
      </c>
      <c r="AI32" s="524">
        <f t="shared" ref="AI32:AQ32" si="43">AI31/2+AI33/2</f>
        <v>2.855</v>
      </c>
      <c r="AJ32" s="524" t="e">
        <f t="shared" si="43"/>
        <v>#DIV/0!</v>
      </c>
      <c r="AK32" s="524" t="e">
        <f t="shared" si="43"/>
        <v>#DIV/0!</v>
      </c>
      <c r="AL32" s="524">
        <f t="shared" si="43"/>
        <v>3.1604000000000001</v>
      </c>
      <c r="AM32" s="524" t="e">
        <f t="shared" si="43"/>
        <v>#DIV/0!</v>
      </c>
      <c r="AN32" s="524" t="e">
        <f t="shared" si="43"/>
        <v>#DIV/0!</v>
      </c>
      <c r="AO32" s="524">
        <f t="shared" si="43"/>
        <v>3.19</v>
      </c>
      <c r="AP32" s="524" t="e">
        <f t="shared" si="43"/>
        <v>#DIV/0!</v>
      </c>
      <c r="AQ32" s="524" t="e">
        <f t="shared" si="43"/>
        <v>#DIV/0!</v>
      </c>
      <c r="AR32" s="524">
        <f t="shared" ref="AR32:AT32" si="44">AR31/2+AR33/2</f>
        <v>3.125</v>
      </c>
      <c r="AS32" s="524" t="e">
        <f t="shared" si="44"/>
        <v>#DIV/0!</v>
      </c>
      <c r="AT32" s="524" t="e">
        <f t="shared" si="44"/>
        <v>#DIV/0!</v>
      </c>
      <c r="AU32" s="163">
        <v>1</v>
      </c>
      <c r="AV32" s="162">
        <v>1</v>
      </c>
      <c r="AW32" s="162"/>
      <c r="AX32" s="162"/>
      <c r="AY32" s="162"/>
      <c r="AZ32" s="199"/>
      <c r="BA32" s="531">
        <f t="shared" si="10"/>
        <v>0</v>
      </c>
      <c r="BB32" s="531">
        <f t="shared" si="11"/>
        <v>0</v>
      </c>
      <c r="BC32" s="531">
        <f t="shared" si="12"/>
        <v>0</v>
      </c>
      <c r="BD32" s="203">
        <f t="shared" si="40"/>
        <v>0</v>
      </c>
      <c r="BE32" s="203" t="e">
        <f t="shared" si="40"/>
        <v>#DIV/0!</v>
      </c>
      <c r="BF32" s="203" t="e">
        <f t="shared" si="40"/>
        <v>#DIV/0!</v>
      </c>
      <c r="BH32" s="201"/>
      <c r="BI32" s="201"/>
      <c r="BJ32" s="201"/>
      <c r="BK32" s="201"/>
      <c r="BL32" s="201"/>
      <c r="BM32" s="201"/>
      <c r="BN32" s="201"/>
      <c r="BO32" s="201"/>
      <c r="BP32" s="201"/>
      <c r="BQ32" s="201"/>
      <c r="BR32" s="201"/>
    </row>
    <row r="33" spans="2:72">
      <c r="B33" s="162" t="str">
        <f>Processes!D22</f>
        <v>RDHRMN</v>
      </c>
      <c r="C33" s="162" t="str">
        <f>Processes!E22</f>
        <v xml:space="preserve">Residential Demand Heating Rural Multi -  - New </v>
      </c>
      <c r="D33" s="127" t="str">
        <f>Commodities!$C$41&amp;","&amp;Commodities!$C$45&amp;","&amp;Commodities!$C$53</f>
        <v>RESHRMX,RESHRMB,RESHRMBN</v>
      </c>
      <c r="E33" s="191" t="str">
        <f>E32</f>
        <v>RHRMB</v>
      </c>
      <c r="F33" s="191">
        <v>2011</v>
      </c>
      <c r="G33" s="191">
        <v>2011</v>
      </c>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525">
        <f>ROUND(Sources!$U$8,2)</f>
        <v>3.14</v>
      </c>
      <c r="AJ33" s="525">
        <f>ROUND(Sources!$U$8,2)</f>
        <v>3.14</v>
      </c>
      <c r="AK33" s="525">
        <f>ROUND(Sources!$U$8,2)</f>
        <v>3.14</v>
      </c>
      <c r="AL33" s="525">
        <f>ROUND(Sources!$U$8,2)</f>
        <v>3.14</v>
      </c>
      <c r="AM33" s="525">
        <f>ROUND(Sources!$U$8,2)</f>
        <v>3.14</v>
      </c>
      <c r="AN33" s="525">
        <f>ROUND(Sources!$U$8,2)</f>
        <v>3.14</v>
      </c>
      <c r="AO33" s="525">
        <f>ROUND(Sources!$U$8,2)</f>
        <v>3.14</v>
      </c>
      <c r="AP33" s="525">
        <f>ROUND(Sources!$U$8,2)</f>
        <v>3.14</v>
      </c>
      <c r="AQ33" s="525">
        <f>ROUND(Sources!$U$8,2)</f>
        <v>3.14</v>
      </c>
      <c r="AR33" s="525">
        <f>ROUND(Sources!$U$8,2)</f>
        <v>3.14</v>
      </c>
      <c r="AS33" s="525">
        <f>ROUND(Sources!$U$8,2)</f>
        <v>3.14</v>
      </c>
      <c r="AT33" s="525">
        <f>ROUND(Sources!$U$8,2)</f>
        <v>3.14</v>
      </c>
      <c r="AU33" s="163">
        <v>1</v>
      </c>
      <c r="AV33" s="168">
        <v>1</v>
      </c>
      <c r="AW33" s="162">
        <v>100</v>
      </c>
      <c r="AX33" s="162"/>
      <c r="AY33" s="162"/>
      <c r="BA33" s="531">
        <f t="shared" si="10"/>
        <v>0</v>
      </c>
      <c r="BB33" s="531">
        <f t="shared" si="11"/>
        <v>0</v>
      </c>
      <c r="BC33" s="531">
        <f t="shared" si="12"/>
        <v>0</v>
      </c>
      <c r="BD33" s="203">
        <f t="shared" si="40"/>
        <v>0</v>
      </c>
      <c r="BE33" s="203">
        <f t="shared" si="40"/>
        <v>0</v>
      </c>
      <c r="BF33" s="203">
        <f t="shared" si="40"/>
        <v>0</v>
      </c>
      <c r="BH33" s="201"/>
      <c r="BI33" s="201"/>
      <c r="BJ33" s="201"/>
      <c r="BK33" s="201"/>
      <c r="BL33" s="201"/>
      <c r="BM33" s="201"/>
      <c r="BN33" s="201"/>
      <c r="BO33" s="201"/>
      <c r="BP33" s="201"/>
      <c r="BQ33" s="201"/>
      <c r="BR33" s="201"/>
    </row>
    <row r="34" spans="2:72">
      <c r="B34" s="162"/>
      <c r="C34" s="162"/>
      <c r="D34" s="557"/>
      <c r="E34" s="191"/>
      <c r="F34" s="191">
        <v>2016</v>
      </c>
      <c r="G34" s="191"/>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525">
        <f>ROUND(Sources!$U$9,2)</f>
        <v>3.69</v>
      </c>
      <c r="AJ34" s="525">
        <f>ROUND(Sources!$U$9,2)</f>
        <v>3.69</v>
      </c>
      <c r="AK34" s="525">
        <f>ROUND(Sources!$U$9,2)</f>
        <v>3.69</v>
      </c>
      <c r="AL34" s="525">
        <f>ROUND(Sources!$U$9,2)</f>
        <v>3.69</v>
      </c>
      <c r="AM34" s="525">
        <f>ROUND(Sources!$U$9,2)</f>
        <v>3.69</v>
      </c>
      <c r="AN34" s="525">
        <f>ROUND(Sources!$U$9,2)</f>
        <v>3.69</v>
      </c>
      <c r="AO34" s="525">
        <f>ROUND(Sources!$U$9,2)</f>
        <v>3.69</v>
      </c>
      <c r="AP34" s="525">
        <f>ROUND(Sources!$U$9,2)</f>
        <v>3.69</v>
      </c>
      <c r="AQ34" s="525">
        <f>ROUND(Sources!$U$9,2)</f>
        <v>3.69</v>
      </c>
      <c r="AR34" s="525">
        <f>ROUND(Sources!$U$9,2)</f>
        <v>3.69</v>
      </c>
      <c r="AS34" s="525">
        <f>ROUND(Sources!$U$9,2)</f>
        <v>3.69</v>
      </c>
      <c r="AT34" s="525">
        <f>ROUND(Sources!$U$9,2)</f>
        <v>3.69</v>
      </c>
      <c r="AU34" s="163">
        <v>1</v>
      </c>
      <c r="AV34" s="168">
        <v>1</v>
      </c>
      <c r="AW34" s="162">
        <v>100</v>
      </c>
      <c r="AX34" s="162"/>
      <c r="AY34" s="162"/>
      <c r="BA34" s="531">
        <f t="shared" si="10"/>
        <v>0</v>
      </c>
      <c r="BB34" s="531">
        <f t="shared" si="11"/>
        <v>0</v>
      </c>
      <c r="BC34" s="531">
        <f t="shared" si="12"/>
        <v>0</v>
      </c>
      <c r="BD34" s="203">
        <f t="shared" si="40"/>
        <v>0</v>
      </c>
      <c r="BE34" s="203">
        <f t="shared" si="40"/>
        <v>0</v>
      </c>
      <c r="BF34" s="203">
        <f t="shared" si="40"/>
        <v>0</v>
      </c>
      <c r="BH34" s="201"/>
      <c r="BI34" s="201"/>
      <c r="BJ34" s="201"/>
      <c r="BK34" s="201"/>
      <c r="BL34" s="201"/>
      <c r="BM34" s="201"/>
      <c r="BN34" s="201"/>
      <c r="BO34" s="201"/>
      <c r="BP34" s="201"/>
      <c r="BQ34" s="201"/>
      <c r="BR34" s="201"/>
    </row>
    <row r="35" spans="2:72">
      <c r="B35" s="162"/>
      <c r="C35" s="162"/>
      <c r="D35" s="557"/>
      <c r="E35" s="191"/>
      <c r="F35" s="191">
        <v>2021</v>
      </c>
      <c r="G35" s="191"/>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525">
        <f>ROUND(Sources!$U$10,2)</f>
        <v>6.08</v>
      </c>
      <c r="AJ35" s="525">
        <f>ROUND(Sources!$U$10,2)</f>
        <v>6.08</v>
      </c>
      <c r="AK35" s="525">
        <f>ROUND(Sources!$U$10,2)</f>
        <v>6.08</v>
      </c>
      <c r="AL35" s="525">
        <f>ROUND(Sources!$U$10,2)</f>
        <v>6.08</v>
      </c>
      <c r="AM35" s="525">
        <f>ROUND(Sources!$U$10,2)</f>
        <v>6.08</v>
      </c>
      <c r="AN35" s="525">
        <f>ROUND(Sources!$U$10,2)</f>
        <v>6.08</v>
      </c>
      <c r="AO35" s="525">
        <f>ROUND(Sources!$U$10,2)</f>
        <v>6.08</v>
      </c>
      <c r="AP35" s="525">
        <f>ROUND(Sources!$U$10,2)</f>
        <v>6.08</v>
      </c>
      <c r="AQ35" s="525">
        <f>ROUND(Sources!$U$10,2)</f>
        <v>6.08</v>
      </c>
      <c r="AR35" s="525">
        <f>ROUND(Sources!$U$10,2)</f>
        <v>6.08</v>
      </c>
      <c r="AS35" s="525">
        <f>ROUND(Sources!$U$10,2)</f>
        <v>6.08</v>
      </c>
      <c r="AT35" s="525">
        <f>ROUND(Sources!$U$10,2)</f>
        <v>6.08</v>
      </c>
      <c r="AU35" s="163">
        <v>1</v>
      </c>
      <c r="AV35" s="168">
        <v>1</v>
      </c>
      <c r="AW35" s="162">
        <v>100</v>
      </c>
      <c r="AX35" s="162"/>
      <c r="AY35" s="162"/>
      <c r="BA35" s="531">
        <f t="shared" si="10"/>
        <v>0</v>
      </c>
      <c r="BB35" s="531">
        <f t="shared" si="11"/>
        <v>0</v>
      </c>
      <c r="BC35" s="531">
        <f t="shared" si="12"/>
        <v>0</v>
      </c>
      <c r="BD35" s="203">
        <f t="shared" si="40"/>
        <v>0</v>
      </c>
      <c r="BE35" s="203">
        <f t="shared" si="40"/>
        <v>0</v>
      </c>
      <c r="BF35" s="203">
        <f t="shared" si="40"/>
        <v>0</v>
      </c>
      <c r="BH35" s="201"/>
      <c r="BI35" s="201"/>
      <c r="BJ35" s="201"/>
      <c r="BK35" s="201"/>
      <c r="BL35" s="201"/>
      <c r="BM35" s="201"/>
      <c r="BN35" s="201"/>
      <c r="BO35" s="201"/>
      <c r="BP35" s="201"/>
      <c r="BQ35" s="201"/>
      <c r="BR35" s="201"/>
    </row>
    <row r="36" spans="2:72">
      <c r="B36" s="211"/>
      <c r="C36" s="211"/>
      <c r="D36" s="558"/>
      <c r="E36" s="212"/>
      <c r="F36" s="212">
        <v>2031</v>
      </c>
      <c r="G36" s="212"/>
      <c r="H36" s="212"/>
      <c r="I36" s="212"/>
      <c r="J36" s="212"/>
      <c r="K36" s="212"/>
      <c r="L36" s="212"/>
      <c r="M36" s="212"/>
      <c r="N36" s="212"/>
      <c r="O36" s="212"/>
      <c r="P36" s="212"/>
      <c r="Q36" s="212"/>
      <c r="R36" s="212"/>
      <c r="S36" s="212"/>
      <c r="T36" s="212"/>
      <c r="U36" s="212"/>
      <c r="V36" s="212"/>
      <c r="W36" s="212"/>
      <c r="X36" s="212"/>
      <c r="Y36" s="212"/>
      <c r="Z36" s="212"/>
      <c r="AA36" s="212"/>
      <c r="AB36" s="212"/>
      <c r="AC36" s="212"/>
      <c r="AD36" s="212"/>
      <c r="AE36" s="212"/>
      <c r="AF36" s="212"/>
      <c r="AG36" s="212"/>
      <c r="AH36" s="212"/>
      <c r="AI36" s="529">
        <f>ROUND(Sources!$U$11,2)</f>
        <v>6.94</v>
      </c>
      <c r="AJ36" s="529">
        <f>ROUND(Sources!$U$11,2)</f>
        <v>6.94</v>
      </c>
      <c r="AK36" s="529">
        <f>ROUND(Sources!$U$11,2)</f>
        <v>6.94</v>
      </c>
      <c r="AL36" s="529">
        <f>ROUND(Sources!$U$11,2)</f>
        <v>6.94</v>
      </c>
      <c r="AM36" s="529">
        <f>ROUND(Sources!$U$11,2)</f>
        <v>6.94</v>
      </c>
      <c r="AN36" s="529">
        <f>ROUND(Sources!$U$11,2)</f>
        <v>6.94</v>
      </c>
      <c r="AO36" s="529">
        <f>ROUND(Sources!$U$11,2)</f>
        <v>6.94</v>
      </c>
      <c r="AP36" s="529">
        <f>ROUND(Sources!$U$11,2)</f>
        <v>6.94</v>
      </c>
      <c r="AQ36" s="529">
        <f>ROUND(Sources!$U$11,2)</f>
        <v>6.94</v>
      </c>
      <c r="AR36" s="529">
        <f>ROUND(Sources!$U$11,2)</f>
        <v>6.94</v>
      </c>
      <c r="AS36" s="529">
        <f>ROUND(Sources!$U$11,2)</f>
        <v>6.94</v>
      </c>
      <c r="AT36" s="529">
        <f>ROUND(Sources!$U$11,2)</f>
        <v>6.94</v>
      </c>
      <c r="AU36" s="213">
        <v>1</v>
      </c>
      <c r="AV36" s="214">
        <v>1</v>
      </c>
      <c r="AW36" s="211">
        <v>100</v>
      </c>
      <c r="AX36" s="162"/>
      <c r="AY36" s="162"/>
      <c r="BA36" s="531">
        <f t="shared" si="10"/>
        <v>0</v>
      </c>
      <c r="BB36" s="531">
        <f t="shared" si="11"/>
        <v>0</v>
      </c>
      <c r="BC36" s="531">
        <f t="shared" si="12"/>
        <v>0</v>
      </c>
      <c r="BD36" s="219">
        <f t="shared" si="40"/>
        <v>0</v>
      </c>
      <c r="BE36" s="219">
        <f t="shared" si="40"/>
        <v>0</v>
      </c>
      <c r="BF36" s="219">
        <f t="shared" si="40"/>
        <v>0</v>
      </c>
      <c r="BH36" s="201"/>
      <c r="BI36" s="201"/>
      <c r="BJ36" s="201"/>
      <c r="BK36" s="201"/>
      <c r="BL36" s="201"/>
      <c r="BM36" s="201"/>
      <c r="BN36" s="201"/>
      <c r="BO36" s="201"/>
      <c r="BP36" s="201"/>
      <c r="BQ36" s="201"/>
      <c r="BR36" s="201"/>
    </row>
    <row r="37" spans="2:72">
      <c r="B37" s="162"/>
      <c r="C37" s="162"/>
      <c r="D37" s="557"/>
      <c r="E37" s="191"/>
      <c r="F37" s="191"/>
      <c r="G37" s="191"/>
      <c r="AC37" s="156"/>
      <c r="AD37" s="156"/>
      <c r="AE37" s="156"/>
      <c r="AF37" s="156"/>
      <c r="AG37" s="156"/>
      <c r="AH37" s="156"/>
      <c r="AI37" s="190"/>
      <c r="AJ37" s="190"/>
      <c r="AK37" s="190"/>
      <c r="AL37" s="190"/>
      <c r="AM37" s="190"/>
      <c r="AN37" s="190"/>
      <c r="AO37" s="190"/>
      <c r="AP37" s="190"/>
      <c r="AQ37" s="190"/>
      <c r="AR37" s="190"/>
      <c r="AS37" s="190"/>
      <c r="AT37" s="190"/>
      <c r="AZ37" s="287" t="s">
        <v>195</v>
      </c>
      <c r="BD37" s="289">
        <f>SUM(Boilers_DR!AB6:AB25)</f>
        <v>1102.3706839984193</v>
      </c>
      <c r="BE37" s="289">
        <f>SUM(Boilers_DR!AC6:AC25)</f>
        <v>0</v>
      </c>
      <c r="BF37" s="289">
        <f>SUM(Boilers_DR!AD6:AD25)</f>
        <v>0</v>
      </c>
      <c r="BG37" s="287"/>
      <c r="BH37" s="201"/>
      <c r="BI37" s="201"/>
      <c r="BJ37" s="201"/>
      <c r="BK37" s="201"/>
      <c r="BL37" s="201"/>
      <c r="BM37" s="201"/>
      <c r="BN37" s="201"/>
      <c r="BO37" s="201"/>
      <c r="BP37" s="201"/>
      <c r="BQ37" s="201"/>
      <c r="BR37" s="201"/>
    </row>
    <row r="38" spans="2:72">
      <c r="B38" s="162"/>
      <c r="C38" s="162"/>
      <c r="D38" s="557"/>
      <c r="E38" s="191"/>
      <c r="F38" s="191"/>
      <c r="G38" s="191"/>
      <c r="H38" s="224"/>
      <c r="I38" s="224"/>
      <c r="J38" s="224"/>
      <c r="K38" s="224"/>
      <c r="L38" s="224"/>
      <c r="M38" s="224"/>
      <c r="N38" s="224"/>
      <c r="O38" s="224"/>
      <c r="P38" s="224"/>
      <c r="Q38" s="224"/>
      <c r="R38" s="224"/>
      <c r="S38" s="224"/>
      <c r="T38" s="224"/>
      <c r="U38" s="224"/>
      <c r="V38" s="224"/>
      <c r="W38" s="224"/>
      <c r="X38" s="224"/>
      <c r="Y38" s="224"/>
      <c r="Z38" s="224"/>
      <c r="AA38" s="224"/>
      <c r="AB38" s="224"/>
      <c r="AC38" s="224"/>
      <c r="AD38" s="224"/>
      <c r="AE38" s="224"/>
      <c r="AF38" s="224"/>
      <c r="AG38" s="224"/>
      <c r="AH38" s="224"/>
      <c r="AI38" s="190"/>
      <c r="AJ38" s="190"/>
      <c r="AK38" s="190"/>
      <c r="AL38" s="190"/>
      <c r="AM38" s="190"/>
      <c r="AN38" s="190"/>
      <c r="AO38" s="190"/>
      <c r="AP38" s="190"/>
      <c r="AQ38" s="190"/>
      <c r="AR38" s="190"/>
      <c r="AS38" s="190"/>
      <c r="AT38" s="190"/>
      <c r="BD38" s="289">
        <f>SUM(Boilers_DR!AB26:AB45)</f>
        <v>378.21755962285459</v>
      </c>
      <c r="BE38" s="289">
        <f>SUM(Boilers_DR!AC26:AC45)</f>
        <v>0</v>
      </c>
      <c r="BF38" s="289">
        <f>SUM(Boilers_DR!AD26:AD45)</f>
        <v>0</v>
      </c>
      <c r="BG38" s="288"/>
      <c r="BH38" s="201"/>
      <c r="BI38" s="201"/>
      <c r="BJ38" s="201"/>
      <c r="BK38" s="201"/>
      <c r="BL38" s="201"/>
      <c r="BM38" s="201"/>
      <c r="BN38" s="201"/>
      <c r="BO38" s="201"/>
      <c r="BP38" s="201"/>
      <c r="BQ38" s="201"/>
      <c r="BR38" s="201"/>
    </row>
    <row r="39" spans="2:72">
      <c r="B39" s="162"/>
      <c r="C39" s="162"/>
      <c r="D39" s="557"/>
      <c r="E39" s="191"/>
      <c r="F39" s="191"/>
      <c r="G39" s="191"/>
      <c r="H39" s="224"/>
      <c r="I39" s="224"/>
      <c r="J39" s="224"/>
      <c r="K39" s="224"/>
      <c r="L39" s="224"/>
      <c r="M39" s="224"/>
      <c r="N39" s="224"/>
      <c r="O39" s="224"/>
      <c r="P39" s="224"/>
      <c r="Q39" s="224"/>
      <c r="R39" s="224"/>
      <c r="S39" s="224"/>
      <c r="T39" s="224"/>
      <c r="U39" s="224"/>
      <c r="V39" s="224"/>
      <c r="W39" s="224"/>
      <c r="X39" s="224"/>
      <c r="Y39" s="224"/>
      <c r="Z39" s="224"/>
      <c r="AA39" s="224"/>
      <c r="AB39" s="224"/>
      <c r="AC39" s="224"/>
      <c r="AD39" s="224"/>
      <c r="AE39" s="224"/>
      <c r="AF39" s="224"/>
      <c r="AG39" s="224"/>
      <c r="AH39" s="224"/>
      <c r="AI39" s="190"/>
      <c r="AJ39" s="190"/>
      <c r="AK39" s="190"/>
      <c r="AL39" s="190"/>
      <c r="AM39" s="190"/>
      <c r="AN39" s="190"/>
      <c r="AO39" s="190"/>
      <c r="AP39" s="190"/>
      <c r="AQ39" s="190"/>
      <c r="AR39" s="190"/>
      <c r="AS39" s="190"/>
      <c r="AT39" s="190"/>
      <c r="AU39" s="190"/>
      <c r="AZ39" s="282" t="s">
        <v>194</v>
      </c>
      <c r="BA39"/>
      <c r="BB39"/>
      <c r="BC39"/>
      <c r="BD39" s="283">
        <f>SUM(BD9:BD22)</f>
        <v>1099.5988147284565</v>
      </c>
      <c r="BE39" s="283" t="e">
        <f>SUM(BE9:BE22)</f>
        <v>#DIV/0!</v>
      </c>
      <c r="BF39" s="283" t="e">
        <f>SUM(BF9:BF22)</f>
        <v>#DIV/0!</v>
      </c>
      <c r="BG39" s="283"/>
      <c r="BH39" s="285"/>
      <c r="BI39" s="201"/>
      <c r="BJ39" s="201"/>
      <c r="BK39" s="201"/>
      <c r="BL39" s="201"/>
      <c r="BM39" s="201"/>
      <c r="BN39" s="201"/>
      <c r="BO39" s="201"/>
      <c r="BP39" s="201"/>
      <c r="BQ39" s="201"/>
      <c r="BR39" s="201"/>
      <c r="BS39" s="201"/>
    </row>
    <row r="40" spans="2:72">
      <c r="B40" s="162"/>
      <c r="C40" s="162"/>
      <c r="D40" s="557"/>
      <c r="E40" s="191"/>
      <c r="F40" s="191"/>
      <c r="G40" s="191"/>
      <c r="H40" s="224"/>
      <c r="I40" s="224"/>
      <c r="J40" s="224"/>
      <c r="K40" s="224"/>
      <c r="L40" s="224"/>
      <c r="M40" s="224"/>
      <c r="N40" s="224"/>
      <c r="O40" s="224"/>
      <c r="P40" s="224"/>
      <c r="Q40" s="224"/>
      <c r="R40" s="224"/>
      <c r="S40" s="224"/>
      <c r="T40" s="224"/>
      <c r="U40" s="224"/>
      <c r="V40" s="224"/>
      <c r="W40" s="224"/>
      <c r="X40" s="224"/>
      <c r="Y40" s="224"/>
      <c r="Z40" s="224"/>
      <c r="AA40" s="224"/>
      <c r="AB40" s="224"/>
      <c r="AC40" s="224"/>
      <c r="AD40" s="224"/>
      <c r="AE40" s="224"/>
      <c r="AF40" s="224"/>
      <c r="AG40" s="224"/>
      <c r="AH40" s="224"/>
      <c r="AI40" s="225"/>
      <c r="AJ40" s="225"/>
      <c r="AK40" s="225"/>
      <c r="AL40" s="225"/>
      <c r="AM40" s="225"/>
      <c r="AN40" s="225"/>
      <c r="AO40" s="225"/>
      <c r="AP40" s="225"/>
      <c r="AQ40" s="225"/>
      <c r="AR40" s="225"/>
      <c r="AS40" s="225"/>
      <c r="AT40" s="225"/>
      <c r="AU40" s="190"/>
      <c r="AV40" s="190"/>
      <c r="BD40" s="283">
        <f>SUM(BD23:BD36)</f>
        <v>377.87959977765428</v>
      </c>
      <c r="BE40" s="283" t="e">
        <f>SUM(BE23:BE36)</f>
        <v>#DIV/0!</v>
      </c>
      <c r="BF40" s="283" t="e">
        <f>SUM(BF23:BF36)</f>
        <v>#DIV/0!</v>
      </c>
      <c r="BG40" s="284"/>
      <c r="BH40" s="283"/>
      <c r="BI40" s="286"/>
      <c r="BJ40" s="201"/>
      <c r="BK40" s="201"/>
      <c r="BL40" s="201"/>
      <c r="BM40" s="201"/>
      <c r="BN40" s="201"/>
      <c r="BO40" s="201"/>
      <c r="BP40" s="201"/>
      <c r="BQ40" s="201"/>
      <c r="BR40" s="201"/>
      <c r="BS40" s="201"/>
      <c r="BT40" s="201"/>
    </row>
    <row r="41" spans="2:72">
      <c r="B41" s="162"/>
      <c r="C41" s="162"/>
      <c r="D41" s="557"/>
      <c r="E41" s="191"/>
      <c r="F41" s="191"/>
      <c r="G41" s="191"/>
      <c r="H41" s="224"/>
      <c r="I41" s="224"/>
      <c r="J41" s="224"/>
      <c r="K41" s="224"/>
      <c r="L41" s="224"/>
      <c r="M41" s="224"/>
      <c r="N41" s="224"/>
      <c r="O41" s="224"/>
      <c r="P41" s="224"/>
      <c r="Q41" s="224"/>
      <c r="R41" s="224"/>
      <c r="S41" s="224"/>
      <c r="T41" s="224"/>
      <c r="U41" s="224"/>
      <c r="V41" s="224"/>
      <c r="W41" s="224"/>
      <c r="X41" s="224"/>
      <c r="Y41" s="224"/>
      <c r="Z41" s="224"/>
      <c r="AA41" s="224"/>
      <c r="AB41" s="224"/>
      <c r="AC41" s="224"/>
      <c r="AD41" s="224"/>
      <c r="AE41" s="224"/>
      <c r="AF41" s="224"/>
      <c r="AG41" s="224"/>
      <c r="AH41" s="224"/>
      <c r="AI41" s="225"/>
      <c r="AJ41" s="225"/>
      <c r="AK41" s="225"/>
      <c r="AL41" s="225"/>
      <c r="AM41" s="225"/>
      <c r="AN41" s="225"/>
      <c r="AO41" s="225"/>
      <c r="AP41" s="225"/>
      <c r="AQ41" s="225"/>
      <c r="AR41" s="225"/>
      <c r="AS41" s="225"/>
      <c r="AT41" s="225"/>
      <c r="AU41" s="190"/>
      <c r="AV41" s="190"/>
      <c r="BD41" s="221">
        <f t="shared" ref="BD41:BF42" si="45">BD37-BD39</f>
        <v>2.7718692699627354</v>
      </c>
      <c r="BE41" s="221" t="e">
        <f t="shared" si="45"/>
        <v>#DIV/0!</v>
      </c>
      <c r="BF41" s="221" t="e">
        <f t="shared" si="45"/>
        <v>#DIV/0!</v>
      </c>
      <c r="BG41" s="221"/>
      <c r="BH41" s="221"/>
      <c r="BJ41" s="201"/>
      <c r="BK41" s="201"/>
      <c r="BL41" s="201"/>
      <c r="BM41" s="201"/>
      <c r="BN41" s="201"/>
      <c r="BO41" s="201"/>
      <c r="BP41" s="201"/>
      <c r="BQ41" s="201"/>
      <c r="BR41" s="201"/>
      <c r="BS41" s="201"/>
      <c r="BT41" s="201"/>
    </row>
    <row r="42" spans="2:72">
      <c r="B42" s="162"/>
      <c r="C42" s="162"/>
      <c r="D42" s="557"/>
      <c r="E42" s="191"/>
      <c r="F42" s="191"/>
      <c r="G42" s="191"/>
      <c r="AC42" s="156"/>
      <c r="AD42" s="156"/>
      <c r="AE42" s="156"/>
      <c r="AF42" s="156"/>
      <c r="AG42" s="156"/>
      <c r="AH42" s="156"/>
      <c r="AN42" s="155"/>
      <c r="AO42" s="155"/>
      <c r="AP42" s="155"/>
      <c r="AQ42" s="155"/>
      <c r="AR42" s="155"/>
      <c r="AS42" s="155"/>
      <c r="AT42" s="155"/>
      <c r="AU42" s="190"/>
      <c r="AV42" s="190"/>
      <c r="BD42" s="221">
        <f t="shared" si="45"/>
        <v>0.33795984520031652</v>
      </c>
      <c r="BE42" s="221" t="e">
        <f t="shared" si="45"/>
        <v>#DIV/0!</v>
      </c>
      <c r="BF42" s="221" t="e">
        <f t="shared" si="45"/>
        <v>#DIV/0!</v>
      </c>
      <c r="BG42" s="221"/>
      <c r="BH42" s="221"/>
      <c r="BJ42" s="201"/>
      <c r="BK42" s="201"/>
      <c r="BL42" s="201"/>
      <c r="BM42" s="201"/>
      <c r="BN42" s="201"/>
      <c r="BO42" s="201"/>
      <c r="BP42" s="201"/>
      <c r="BQ42" s="201"/>
      <c r="BR42" s="201"/>
      <c r="BS42" s="201"/>
      <c r="BT42" s="201"/>
    </row>
    <row r="43" spans="2:72" s="211" customFormat="1">
      <c r="D43" s="558"/>
      <c r="E43" s="212"/>
      <c r="F43" s="212"/>
      <c r="G43" s="212"/>
      <c r="H43" s="212"/>
      <c r="I43" s="212"/>
      <c r="J43" s="212"/>
      <c r="K43" s="212"/>
      <c r="L43" s="212"/>
      <c r="M43" s="212"/>
      <c r="N43" s="212"/>
      <c r="O43" s="212"/>
      <c r="P43" s="212"/>
      <c r="Q43" s="212"/>
      <c r="R43" s="212"/>
      <c r="S43" s="212"/>
      <c r="T43" s="212"/>
      <c r="U43" s="212"/>
      <c r="V43" s="212"/>
      <c r="W43" s="212"/>
      <c r="X43" s="212"/>
      <c r="Y43" s="212"/>
      <c r="Z43" s="212"/>
      <c r="AA43" s="212"/>
      <c r="AB43" s="212"/>
      <c r="AC43" s="212"/>
      <c r="AD43" s="212"/>
      <c r="AE43" s="212"/>
      <c r="AF43" s="212"/>
      <c r="AG43" s="212"/>
      <c r="AH43" s="212"/>
      <c r="AI43" s="469"/>
      <c r="AJ43" s="469"/>
      <c r="AK43" s="470"/>
      <c r="AL43" s="469"/>
      <c r="AM43" s="469"/>
      <c r="AN43" s="470"/>
      <c r="AO43" s="469"/>
      <c r="AP43" s="469"/>
      <c r="AQ43" s="470"/>
      <c r="AR43" s="469"/>
      <c r="AS43" s="469"/>
      <c r="AT43" s="470"/>
      <c r="BD43" s="471"/>
      <c r="BE43" s="471"/>
      <c r="BF43" s="471"/>
      <c r="BG43" s="472"/>
      <c r="BH43" s="472"/>
      <c r="BI43" s="472"/>
      <c r="BJ43" s="472"/>
      <c r="BK43" s="472"/>
      <c r="BL43" s="472"/>
      <c r="BM43" s="472"/>
      <c r="BN43" s="472"/>
      <c r="BO43" s="472"/>
      <c r="BP43" s="472"/>
    </row>
    <row r="44" spans="2:72" ht="13.8">
      <c r="B44" s="162"/>
      <c r="D44" s="559"/>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H44" s="190"/>
      <c r="AK44" s="190"/>
      <c r="AN44" s="190"/>
      <c r="AO44" s="190"/>
      <c r="AP44" s="190"/>
      <c r="AQ44" s="190"/>
      <c r="AR44" s="190"/>
      <c r="AS44" s="190"/>
      <c r="AT44" s="190"/>
      <c r="AU44" s="190"/>
      <c r="AV44" s="190"/>
      <c r="AW44" s="190"/>
      <c r="BH44" s="223"/>
      <c r="BI44" s="222"/>
    </row>
    <row r="45" spans="2:72">
      <c r="D45" s="560"/>
      <c r="E45" s="154"/>
      <c r="F45" s="154"/>
      <c r="G45" s="154" t="s">
        <v>745</v>
      </c>
      <c r="H45" s="154"/>
      <c r="I45" s="154"/>
      <c r="J45" s="154"/>
      <c r="K45" s="154"/>
      <c r="L45" s="154"/>
      <c r="M45" s="154"/>
      <c r="N45" s="154"/>
      <c r="O45" s="154"/>
      <c r="P45" s="154"/>
      <c r="Q45" s="154"/>
      <c r="R45" s="154"/>
      <c r="S45" s="154"/>
      <c r="T45" s="154"/>
      <c r="U45" s="154"/>
      <c r="V45" s="154"/>
      <c r="W45" s="154"/>
      <c r="X45" s="154"/>
      <c r="Y45" s="154"/>
      <c r="Z45" s="154"/>
      <c r="AA45" s="154"/>
      <c r="AB45" s="154"/>
      <c r="AC45" s="154"/>
      <c r="AD45" s="154"/>
      <c r="AE45" s="154"/>
      <c r="AN45" s="155"/>
      <c r="AO45" s="155"/>
      <c r="AP45" s="155"/>
      <c r="AR45" s="155"/>
      <c r="AS45" s="155"/>
    </row>
    <row r="46" spans="2:72">
      <c r="D46" s="560"/>
      <c r="E46" s="154"/>
      <c r="F46" s="154"/>
      <c r="G46" s="154" t="s">
        <v>746</v>
      </c>
      <c r="H46" s="154">
        <v>0</v>
      </c>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N46" s="155"/>
      <c r="AO46" s="155"/>
      <c r="AP46" s="155"/>
      <c r="AR46" s="155"/>
      <c r="AS46" s="155"/>
    </row>
    <row r="47" spans="2:72" ht="21">
      <c r="B47" s="468" t="s">
        <v>758</v>
      </c>
      <c r="D47" s="560"/>
      <c r="E47" s="154"/>
      <c r="F47" s="154"/>
      <c r="G47" s="154" t="s">
        <v>747</v>
      </c>
      <c r="H47" s="154">
        <v>1</v>
      </c>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N47" s="155"/>
      <c r="AO47" s="155"/>
      <c r="AP47" s="155"/>
      <c r="AR47" s="155"/>
      <c r="AS47" s="155"/>
    </row>
    <row r="48" spans="2:72">
      <c r="D48" s="560"/>
      <c r="E48" s="154"/>
      <c r="F48" s="154"/>
      <c r="G48" s="154" t="s">
        <v>748</v>
      </c>
      <c r="H48" s="154">
        <v>0</v>
      </c>
      <c r="I48" s="651"/>
      <c r="J48" s="154"/>
      <c r="K48" s="154"/>
      <c r="L48" s="154"/>
      <c r="M48" s="154"/>
      <c r="N48" s="154"/>
      <c r="O48" s="154"/>
      <c r="P48" s="154"/>
      <c r="Q48" s="154"/>
      <c r="R48" s="154"/>
      <c r="S48" s="154"/>
      <c r="T48" s="154"/>
      <c r="U48" s="154"/>
      <c r="V48" s="154"/>
      <c r="W48" s="154"/>
      <c r="X48" s="154"/>
      <c r="Y48" s="154"/>
      <c r="Z48" s="154"/>
      <c r="AA48" s="154"/>
      <c r="AB48" s="154"/>
      <c r="AC48" s="154"/>
      <c r="AD48" s="154"/>
      <c r="AE48" s="154"/>
      <c r="AN48" s="155"/>
      <c r="AO48" s="155"/>
      <c r="AP48" s="155"/>
      <c r="AR48" s="155"/>
      <c r="AS48" s="155"/>
    </row>
    <row r="49" spans="1:70">
      <c r="D49" s="561"/>
      <c r="E49" s="157"/>
      <c r="F49" s="157"/>
      <c r="G49" s="157"/>
      <c r="H49" s="157"/>
      <c r="I49" s="157"/>
      <c r="J49" s="157"/>
      <c r="K49" s="157"/>
      <c r="L49" s="157"/>
      <c r="M49" s="157"/>
      <c r="N49" s="157"/>
      <c r="O49" s="157"/>
      <c r="P49" s="157"/>
      <c r="Q49" s="157"/>
      <c r="R49" s="157"/>
      <c r="S49" s="157"/>
      <c r="T49" s="157"/>
      <c r="U49" s="157"/>
      <c r="V49" s="157"/>
      <c r="W49" s="157"/>
      <c r="X49" s="157"/>
      <c r="Y49" s="157"/>
      <c r="Z49" s="157"/>
      <c r="AA49" s="157"/>
      <c r="AB49" s="157"/>
      <c r="AC49" s="157"/>
      <c r="AD49" s="157"/>
      <c r="AE49" s="157"/>
      <c r="AN49" s="155"/>
    </row>
    <row r="50" spans="1:70">
      <c r="D50" s="561"/>
      <c r="F50" s="158" t="s">
        <v>8</v>
      </c>
      <c r="G50" s="158"/>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N50" s="155"/>
    </row>
    <row r="51" spans="1:70" ht="24.45" customHeight="1">
      <c r="B51" s="159" t="s">
        <v>2</v>
      </c>
      <c r="C51" s="159" t="s">
        <v>26</v>
      </c>
      <c r="D51" s="562" t="s">
        <v>14</v>
      </c>
      <c r="E51" s="159" t="s">
        <v>15</v>
      </c>
      <c r="F51" s="159" t="s">
        <v>117</v>
      </c>
      <c r="G51" s="159" t="s">
        <v>67</v>
      </c>
      <c r="H51" s="204" t="str">
        <f t="shared" ref="H51:J51" si="46">H7</f>
        <v>STOCK~DE1</v>
      </c>
      <c r="I51" s="204" t="str">
        <f t="shared" si="46"/>
        <v>STOCK~DE2</v>
      </c>
      <c r="J51" s="204" t="str">
        <f t="shared" si="46"/>
        <v>STOCK~DE3</v>
      </c>
      <c r="K51" s="204" t="str">
        <f>K7</f>
        <v>STOCK~2015~DE1</v>
      </c>
      <c r="L51" s="204" t="str">
        <f t="shared" ref="L51:M51" si="47">L7</f>
        <v>STOCK~2015~DE2</v>
      </c>
      <c r="M51" s="204" t="str">
        <f t="shared" si="47"/>
        <v>STOCK~2015~DE3</v>
      </c>
      <c r="N51" s="204" t="str">
        <f>N7</f>
        <v>STOCK~2017~DE1</v>
      </c>
      <c r="O51" s="204" t="str">
        <f t="shared" ref="O51:P51" si="48">O7</f>
        <v>STOCK~2017~DE2</v>
      </c>
      <c r="P51" s="204" t="str">
        <f t="shared" si="48"/>
        <v>STOCK~2017~DE3</v>
      </c>
      <c r="Q51" s="571" t="str">
        <f>H51&amp;"~2100"</f>
        <v>STOCK~DE1~2100</v>
      </c>
      <c r="R51" s="571" t="str">
        <f>I51&amp;"~2100"</f>
        <v>STOCK~DE2~2100</v>
      </c>
      <c r="S51" s="571" t="str">
        <f>J51&amp;"~2100"</f>
        <v>STOCK~DE3~2100</v>
      </c>
      <c r="T51" s="571" t="s">
        <v>911</v>
      </c>
      <c r="U51" s="571" t="s">
        <v>943</v>
      </c>
      <c r="V51" s="571" t="s">
        <v>944</v>
      </c>
      <c r="W51" s="571" t="str">
        <f t="shared" ref="W51:AB51" si="49">W7</f>
        <v>ACTBND~LO~DE1~2015</v>
      </c>
      <c r="X51" s="571" t="str">
        <f t="shared" si="49"/>
        <v>ACTBND~LO~DE2~2015</v>
      </c>
      <c r="Y51" s="571" t="str">
        <f t="shared" si="49"/>
        <v>ACTBND~LO~DE3~2015</v>
      </c>
      <c r="Z51" s="571" t="str">
        <f t="shared" si="49"/>
        <v>ACTBND~LO~DE1~2017</v>
      </c>
      <c r="AA51" s="571" t="str">
        <f t="shared" si="49"/>
        <v>ACTBND~LO~DE2~2017</v>
      </c>
      <c r="AB51" s="571" t="str">
        <f t="shared" si="49"/>
        <v>ACTBND~LO~DE3~2017</v>
      </c>
      <c r="AC51" s="571" t="s">
        <v>914</v>
      </c>
      <c r="AD51" s="571" t="s">
        <v>949</v>
      </c>
      <c r="AE51" s="571" t="s">
        <v>950</v>
      </c>
      <c r="AF51" s="571" t="s">
        <v>915</v>
      </c>
      <c r="AG51" s="571" t="s">
        <v>951</v>
      </c>
      <c r="AH51" s="571" t="s">
        <v>952</v>
      </c>
      <c r="AI51" s="205" t="str">
        <f t="shared" ref="AI51:AQ51" si="50">AI7</f>
        <v>EFF~DE1</v>
      </c>
      <c r="AJ51" s="205" t="str">
        <f t="shared" si="50"/>
        <v>*</v>
      </c>
      <c r="AK51" s="205" t="str">
        <f t="shared" si="50"/>
        <v>*</v>
      </c>
      <c r="AL51" s="205" t="str">
        <f t="shared" si="50"/>
        <v>EFF~DE1~2015</v>
      </c>
      <c r="AM51" s="205" t="str">
        <f t="shared" si="50"/>
        <v>*</v>
      </c>
      <c r="AN51" s="205" t="str">
        <f t="shared" si="50"/>
        <v>*</v>
      </c>
      <c r="AO51" s="205" t="str">
        <f t="shared" si="50"/>
        <v>EFF~DE1~2018</v>
      </c>
      <c r="AP51" s="205" t="str">
        <f t="shared" si="50"/>
        <v>*</v>
      </c>
      <c r="AQ51" s="205" t="str">
        <f t="shared" si="50"/>
        <v>*</v>
      </c>
      <c r="AR51" s="205" t="str">
        <f t="shared" ref="AR51:AT51" si="51">AR7</f>
        <v>EFF~DE1~2019</v>
      </c>
      <c r="AS51" s="205" t="str">
        <f t="shared" si="51"/>
        <v>*</v>
      </c>
      <c r="AT51" s="205" t="str">
        <f t="shared" si="51"/>
        <v>*</v>
      </c>
      <c r="AU51" s="159" t="s">
        <v>114</v>
      </c>
      <c r="AV51" s="159" t="s">
        <v>184</v>
      </c>
      <c r="AW51" s="159" t="s">
        <v>107</v>
      </c>
      <c r="AX51" s="298"/>
      <c r="AY51" s="198"/>
      <c r="AZ51" s="199"/>
      <c r="BA51" s="216" t="str">
        <f t="shared" ref="BA51:BD51" si="52">BA7</f>
        <v>DE1</v>
      </c>
      <c r="BB51" s="216" t="str">
        <f t="shared" si="52"/>
        <v>DE2</v>
      </c>
      <c r="BC51" s="216" t="str">
        <f t="shared" si="52"/>
        <v>DE3</v>
      </c>
      <c r="BD51" s="216" t="str">
        <f t="shared" si="52"/>
        <v>DE1</v>
      </c>
      <c r="BE51" s="216" t="s">
        <v>956</v>
      </c>
      <c r="BF51" s="216" t="s">
        <v>956</v>
      </c>
      <c r="BH51" s="201"/>
      <c r="BI51" s="201"/>
      <c r="BJ51" s="201"/>
      <c r="BK51" s="201"/>
      <c r="BL51" s="201"/>
      <c r="BM51" s="201"/>
      <c r="BN51" s="201"/>
      <c r="BO51" s="201"/>
      <c r="BP51" s="201"/>
      <c r="BQ51" s="201"/>
      <c r="BR51" s="201"/>
    </row>
    <row r="52" spans="1:70" ht="13.8" thickBot="1">
      <c r="B52" s="161" t="s">
        <v>27</v>
      </c>
      <c r="C52" s="161" t="s">
        <v>138</v>
      </c>
      <c r="D52" s="563"/>
      <c r="E52" s="161"/>
      <c r="F52" s="161"/>
      <c r="G52" s="161"/>
      <c r="H52" s="206" t="s">
        <v>46</v>
      </c>
      <c r="I52" s="206" t="s">
        <v>46</v>
      </c>
      <c r="J52" s="206" t="s">
        <v>46</v>
      </c>
      <c r="K52" s="206" t="s">
        <v>46</v>
      </c>
      <c r="L52" s="206" t="s">
        <v>46</v>
      </c>
      <c r="M52" s="206" t="s">
        <v>46</v>
      </c>
      <c r="N52" s="206" t="s">
        <v>46</v>
      </c>
      <c r="O52" s="206" t="s">
        <v>46</v>
      </c>
      <c r="P52" s="206" t="s">
        <v>46</v>
      </c>
      <c r="Q52" s="206" t="str">
        <f>H52</f>
        <v>Mm2</v>
      </c>
      <c r="R52" s="206" t="str">
        <f>I52</f>
        <v>Mm2</v>
      </c>
      <c r="S52" s="206" t="str">
        <f>J52</f>
        <v>Mm2</v>
      </c>
      <c r="T52" s="206" t="str">
        <f t="shared" ref="T52:AH52" si="53">Q52</f>
        <v>Mm2</v>
      </c>
      <c r="U52" s="206" t="str">
        <f t="shared" si="53"/>
        <v>Mm2</v>
      </c>
      <c r="V52" s="206" t="str">
        <f t="shared" si="53"/>
        <v>Mm2</v>
      </c>
      <c r="W52" s="206" t="str">
        <f t="shared" ref="W52" si="54">T52</f>
        <v>Mm2</v>
      </c>
      <c r="X52" s="206" t="str">
        <f t="shared" ref="X52" si="55">U52</f>
        <v>Mm2</v>
      </c>
      <c r="Y52" s="206" t="str">
        <f t="shared" ref="Y52" si="56">V52</f>
        <v>Mm2</v>
      </c>
      <c r="Z52" s="206" t="str">
        <f t="shared" ref="Z52" si="57">W52</f>
        <v>Mm2</v>
      </c>
      <c r="AA52" s="206" t="str">
        <f t="shared" ref="AA52" si="58">X52</f>
        <v>Mm2</v>
      </c>
      <c r="AB52" s="206" t="str">
        <f t="shared" ref="AB52" si="59">Y52</f>
        <v>Mm2</v>
      </c>
      <c r="AC52" s="206" t="str">
        <f>T52</f>
        <v>Mm2</v>
      </c>
      <c r="AD52" s="206" t="str">
        <f>U52</f>
        <v>Mm2</v>
      </c>
      <c r="AE52" s="206" t="str">
        <f>V52</f>
        <v>Mm2</v>
      </c>
      <c r="AF52" s="206" t="str">
        <f t="shared" si="53"/>
        <v>Mm2</v>
      </c>
      <c r="AG52" s="206" t="str">
        <f t="shared" si="53"/>
        <v>Mm2</v>
      </c>
      <c r="AH52" s="206" t="str">
        <f t="shared" si="53"/>
        <v>Mm2</v>
      </c>
      <c r="AI52" s="206" t="s">
        <v>111</v>
      </c>
      <c r="AJ52" s="206" t="s">
        <v>111</v>
      </c>
      <c r="AK52" s="206" t="s">
        <v>111</v>
      </c>
      <c r="AL52" s="206" t="s">
        <v>111</v>
      </c>
      <c r="AM52" s="206" t="s">
        <v>111</v>
      </c>
      <c r="AN52" s="206" t="s">
        <v>111</v>
      </c>
      <c r="AO52" s="206" t="s">
        <v>111</v>
      </c>
      <c r="AP52" s="206" t="s">
        <v>111</v>
      </c>
      <c r="AQ52" s="206" t="s">
        <v>111</v>
      </c>
      <c r="AR52" s="206" t="s">
        <v>111</v>
      </c>
      <c r="AS52" s="206" t="s">
        <v>111</v>
      </c>
      <c r="AT52" s="206" t="s">
        <v>111</v>
      </c>
      <c r="AU52" s="161"/>
      <c r="AV52" s="161"/>
      <c r="AW52" s="161"/>
      <c r="AX52" s="299"/>
      <c r="AY52" s="200"/>
      <c r="AZ52" s="199"/>
      <c r="BA52" s="218" t="s">
        <v>68</v>
      </c>
      <c r="BB52" s="218" t="s">
        <v>68</v>
      </c>
      <c r="BC52" s="218" t="s">
        <v>68</v>
      </c>
      <c r="BD52" s="215" t="s">
        <v>48</v>
      </c>
      <c r="BE52" s="215" t="s">
        <v>48</v>
      </c>
      <c r="BF52" s="215" t="s">
        <v>48</v>
      </c>
      <c r="BH52" s="201"/>
      <c r="BI52" s="201"/>
      <c r="BJ52" s="201"/>
      <c r="BK52" s="201"/>
      <c r="BL52" s="201"/>
      <c r="BM52" s="201"/>
      <c r="BN52" s="201"/>
      <c r="BO52" s="201"/>
      <c r="BP52" s="201"/>
      <c r="BQ52" s="201"/>
      <c r="BR52" s="201"/>
    </row>
    <row r="53" spans="1:70" ht="13.8" thickBot="1">
      <c r="B53" s="165" t="str">
        <f>Processes!D23</f>
        <v>RDCUDL</v>
      </c>
      <c r="C53" s="165" t="str">
        <f>Processes!E23</f>
        <v xml:space="preserve">Residential Demand Cooling Urban Detached -  - Low </v>
      </c>
      <c r="D53" s="127" t="str">
        <f>Commodities!$C$54&amp;","&amp;Commodities!C70</f>
        <v>RESCUDB,RESCUDSL</v>
      </c>
      <c r="E53" s="7" t="str">
        <f>Commodities!C11</f>
        <v>RCUDB</v>
      </c>
      <c r="G53" s="166"/>
      <c r="H53" s="49" cm="1">
        <f t="array" ref="H53">ROUNDUP(INDEX(Dem!$F$53:$H$56,MATCH(Buildings_DR!$E53,Dem!$B$17:$B$20,0),MATCH(RIGHT(H$51,3),Dem!$F$1:$H$1,0))*_xlfn.IFS(RIGHT($D53,1)="H",$H$48,RIGHT($D53,1)="M",$H$47,RIGHT($D53,1)="L",$H$46),2)</f>
        <v>0</v>
      </c>
      <c r="I53" s="49" cm="1">
        <f t="array" ref="I53">ROUNDUP(INDEX(Dem!$F$53:$H$56,MATCH(Buildings_DR!$E53,Dem!$B$17:$B$20,0),MATCH(RIGHT(I$51,3),Dem!$F$1:$H$1,0))*_xlfn.IFS(RIGHT($D53,1)="H",$H$48,RIGHT($D53,1)="M",$H$47,RIGHT($D53,1)="L",$H$46),2)</f>
        <v>0</v>
      </c>
      <c r="J53" s="49" cm="1">
        <f t="array" ref="J53">ROUNDUP(INDEX(Dem!$F$53:$H$56,MATCH(Buildings_DR!$E53,Dem!$B$17:$B$20,0),MATCH(RIGHT(J$51,3),Dem!$F$1:$H$1,0))*_xlfn.IFS(RIGHT($D53,1)="H",$H$48,RIGHT($D53,1)="M",$H$47,RIGHT($D53,1)="L",$H$46),2)</f>
        <v>0</v>
      </c>
      <c r="K53" s="49" cm="1">
        <f t="array" ref="K53">ROUNDUP(INDEX(Dem!$F$57:$H$60,MATCH(Buildings_DR!$E53,Dem!$B$17:$B$20,0),MATCH(RIGHT(K$51,3),Dem!$F$1:$H$1,0))*_xlfn.IFS(RIGHT($D53,1)="H",$H$48,RIGHT($D53,1)="M",$H$47,RIGHT($D53,1)="L",$H$46),2)</f>
        <v>0</v>
      </c>
      <c r="L53" s="49" cm="1">
        <f t="array" ref="L53">ROUNDUP(INDEX(Dem!$F$57:$H$60,MATCH(Buildings_DR!$E53,Dem!$B$17:$B$20,0),MATCH(RIGHT(L$51,3),Dem!$F$1:$H$1,0))*_xlfn.IFS(RIGHT($D53,1)="H",$H$48,RIGHT($D53,1)="M",$H$47,RIGHT($D53,1)="L",$H$46),2)</f>
        <v>0</v>
      </c>
      <c r="M53" s="49" cm="1">
        <f t="array" ref="M53">ROUNDUP(INDEX(Dem!$F$57:$H$60,MATCH(Buildings_DR!$E53,Dem!$B$17:$B$20,0),MATCH(RIGHT(M$51,3),Dem!$F$1:$H$1,0))*_xlfn.IFS(RIGHT($D53,1)="H",$H$48,RIGHT($D53,1)="M",$H$47,RIGHT($D53,1)="L",$H$46),2)</f>
        <v>0</v>
      </c>
      <c r="N53" s="49" cm="1">
        <f t="array" ref="N53">ROUNDUP(INDEX(Dem!$F$61:$H$64,MATCH(Buildings_DR!$E53,Dem!$B$17:$B$20,0),MATCH(RIGHT(N$51,3),Dem!$F$1:$H$1,0))*_xlfn.IFS(RIGHT($D53,1)="H",$H$48,RIGHT($D53,1)="M",$H$47,RIGHT($D53,1)="L",$H$46),2)</f>
        <v>0</v>
      </c>
      <c r="O53" s="49" cm="1">
        <f t="array" ref="O53">ROUNDUP(INDEX(Dem!$F$61:$H$64,MATCH(Buildings_DR!$E53,Dem!$B$17:$B$20,0),MATCH(RIGHT(O$51,3),Dem!$F$1:$H$1,0))*_xlfn.IFS(RIGHT($D53,1)="H",$H$48,RIGHT($D53,1)="M",$H$47,RIGHT($D53,1)="L",$H$46),2)</f>
        <v>0</v>
      </c>
      <c r="P53" s="49" cm="1">
        <f t="array" ref="P53">ROUNDUP(INDEX(Dem!$F$61:$H$64,MATCH(Buildings_DR!$E53,Dem!$B$17:$B$20,0),MATCH(RIGHT(P$51,3),Dem!$F$1:$H$1,0))*_xlfn.IFS(RIGHT($D53,1)="H",$H$48,RIGHT($D53,1)="M",$H$47,RIGHT($D53,1)="L",$H$46),2)</f>
        <v>0</v>
      </c>
      <c r="Q53" s="533">
        <f t="shared" ref="Q53:S55" si="60">H53*0.6</f>
        <v>0</v>
      </c>
      <c r="R53" s="533">
        <f t="shared" si="60"/>
        <v>0</v>
      </c>
      <c r="S53" s="533">
        <f t="shared" si="60"/>
        <v>0</v>
      </c>
      <c r="T53" s="533">
        <f t="shared" ref="T53:V55" si="61">H53*0.99</f>
        <v>0</v>
      </c>
      <c r="U53" s="533">
        <f t="shared" si="61"/>
        <v>0</v>
      </c>
      <c r="V53" s="533">
        <f t="shared" si="61"/>
        <v>0</v>
      </c>
      <c r="W53" s="533">
        <f t="shared" ref="W53:W55" si="62">K53*0.99</f>
        <v>0</v>
      </c>
      <c r="X53" s="533">
        <f t="shared" ref="X53:X55" si="63">L53*0.99</f>
        <v>0</v>
      </c>
      <c r="Y53" s="533">
        <f t="shared" ref="Y53:Y55" si="64">M53*0.99</f>
        <v>0</v>
      </c>
      <c r="Z53" s="533">
        <f t="shared" ref="Z53" si="65">N53*0.99</f>
        <v>0</v>
      </c>
      <c r="AA53" s="533">
        <f t="shared" ref="AA53:AA55" si="66">O53*0.99</f>
        <v>0</v>
      </c>
      <c r="AB53" s="533">
        <f t="shared" ref="AB53:AB55" si="67">P53*0.99</f>
        <v>0</v>
      </c>
      <c r="AC53" s="533">
        <f t="shared" ref="AC53:AH55" si="68">Q53*0.99</f>
        <v>0</v>
      </c>
      <c r="AD53" s="533">
        <f t="shared" si="68"/>
        <v>0</v>
      </c>
      <c r="AE53" s="533">
        <f t="shared" si="68"/>
        <v>0</v>
      </c>
      <c r="AF53" s="533">
        <f t="shared" si="68"/>
        <v>0</v>
      </c>
      <c r="AG53" s="533">
        <f t="shared" si="68"/>
        <v>0</v>
      </c>
      <c r="AH53" s="533">
        <f t="shared" si="68"/>
        <v>0</v>
      </c>
      <c r="AI53" s="526">
        <f t="shared" ref="AI53:AT53" si="69">AI54/2</f>
        <v>378.71049999999997</v>
      </c>
      <c r="AJ53" s="526">
        <f t="shared" si="69"/>
        <v>0</v>
      </c>
      <c r="AK53" s="526">
        <f t="shared" si="69"/>
        <v>0</v>
      </c>
      <c r="AL53" s="526">
        <f>AL54/2</f>
        <v>420.89799999999997</v>
      </c>
      <c r="AM53" s="526">
        <f t="shared" si="69"/>
        <v>0</v>
      </c>
      <c r="AN53" s="526">
        <f t="shared" si="69"/>
        <v>0</v>
      </c>
      <c r="AO53" s="526">
        <f>AO54/2</f>
        <v>397.88849999999996</v>
      </c>
      <c r="AP53" s="526">
        <f t="shared" si="69"/>
        <v>0</v>
      </c>
      <c r="AQ53" s="526">
        <f t="shared" si="69"/>
        <v>0</v>
      </c>
      <c r="AR53" s="526">
        <f>AR54/2</f>
        <v>397.88849999999996</v>
      </c>
      <c r="AS53" s="526">
        <f t="shared" si="69"/>
        <v>0</v>
      </c>
      <c r="AT53" s="526">
        <f t="shared" si="69"/>
        <v>0</v>
      </c>
      <c r="AU53" s="167">
        <v>1</v>
      </c>
      <c r="AV53" s="165">
        <v>1</v>
      </c>
      <c r="AW53" s="160"/>
      <c r="AX53" s="162"/>
      <c r="AY53" s="162"/>
      <c r="AZ53" s="199"/>
      <c r="BA53" s="202">
        <f t="shared" ref="BA53:BA80" si="70">H53*$AU$53*$AV$53</f>
        <v>0</v>
      </c>
      <c r="BB53" s="202">
        <f t="shared" ref="BB53:BB80" si="71">I53*$AU$53*$AV$53</f>
        <v>0</v>
      </c>
      <c r="BC53" s="202">
        <f t="shared" ref="BC53:BC80" si="72">J53*$AU$53*$AV$53</f>
        <v>0</v>
      </c>
      <c r="BD53" s="203">
        <f t="shared" ref="BD53:BF55" si="73">BA53/AI53</f>
        <v>0</v>
      </c>
      <c r="BE53" s="203" t="e">
        <f t="shared" si="73"/>
        <v>#DIV/0!</v>
      </c>
      <c r="BF53" s="203" t="e">
        <f t="shared" si="73"/>
        <v>#DIV/0!</v>
      </c>
      <c r="BH53" s="201"/>
      <c r="BI53" s="201"/>
      <c r="BJ53" s="201"/>
      <c r="BK53" s="201"/>
      <c r="BL53" s="201"/>
      <c r="BM53" s="201"/>
      <c r="BN53" s="201"/>
      <c r="BO53" s="201"/>
      <c r="BP53" s="201"/>
      <c r="BQ53" s="201"/>
      <c r="BR53" s="201"/>
    </row>
    <row r="54" spans="1:70">
      <c r="A54" s="162"/>
      <c r="B54" s="162" t="str">
        <f>Processes!D24</f>
        <v>RDCUDM</v>
      </c>
      <c r="C54" s="162" t="str">
        <f>Processes!E24</f>
        <v xml:space="preserve">Residential Demand Cooling Urban Detached -  - Medium </v>
      </c>
      <c r="D54" s="127" t="str">
        <f>Commodities!$C$54&amp;","&amp;Commodities!C71</f>
        <v>RESCUDB,RESCUDSM</v>
      </c>
      <c r="E54" s="191" t="str">
        <f>E53</f>
        <v>RCUDB</v>
      </c>
      <c r="G54" s="191"/>
      <c r="H54" s="49" cm="1">
        <f t="array" ref="H54">ROUNDUP(INDEX(Dem!$F$53:$H$56,MATCH(Buildings_DR!$E54,Dem!$B$17:$B$20,0),MATCH(RIGHT(H$51,3),Dem!$F$1:$H$1,0))*_xlfn.IFS(RIGHT($D54,1)="H",$H$48,RIGHT($D54,1)="M",$H$47,RIGHT($D54,1)="L",$H$46),2)</f>
        <v>1422.17</v>
      </c>
      <c r="I54" s="49" cm="1">
        <f t="array" ref="I54">ROUNDUP(INDEX(Dem!$F$53:$H$56,MATCH(Buildings_DR!$E54,Dem!$B$17:$B$20,0),MATCH(RIGHT(I$51,3),Dem!$F$1:$H$1,0))*_xlfn.IFS(RIGHT($D54,1)="H",$H$48,RIGHT($D54,1)="M",$H$47,RIGHT($D54,1)="L",$H$46),2)</f>
        <v>0</v>
      </c>
      <c r="J54" s="49" cm="1">
        <f t="array" ref="J54">ROUNDUP(INDEX(Dem!$F$53:$H$56,MATCH(Buildings_DR!$E54,Dem!$B$17:$B$20,0),MATCH(RIGHT(J$51,3),Dem!$F$1:$H$1,0))*_xlfn.IFS(RIGHT($D54,1)="H",$H$48,RIGHT($D54,1)="M",$H$47,RIGHT($D54,1)="L",$H$46),2)</f>
        <v>0</v>
      </c>
      <c r="K54" s="49" cm="1">
        <f t="array" ref="K54">ROUNDUP(INDEX(Dem!$F$57:$H$60,MATCH(Buildings_DR!$E54,Dem!$B$17:$B$20,0),MATCH(RIGHT(K$51,3),Dem!$F$1:$H$1,0))*_xlfn.IFS(RIGHT($D54,1)="H",$H$48,RIGHT($D54,1)="M",$H$47,RIGHT($D54,1)="L",$H$46),2)</f>
        <v>1466.94</v>
      </c>
      <c r="L54" s="49" cm="1">
        <f t="array" ref="L54">ROUNDUP(INDEX(Dem!$F$57:$H$60,MATCH(Buildings_DR!$E54,Dem!$B$17:$B$20,0),MATCH(RIGHT(L$51,3),Dem!$F$1:$H$1,0))*_xlfn.IFS(RIGHT($D54,1)="H",$H$48,RIGHT($D54,1)="M",$H$47,RIGHT($D54,1)="L",$H$46),2)</f>
        <v>0</v>
      </c>
      <c r="M54" s="49" cm="1">
        <f t="array" ref="M54">ROUNDUP(INDEX(Dem!$F$57:$H$60,MATCH(Buildings_DR!$E54,Dem!$B$17:$B$20,0),MATCH(RIGHT(M$51,3),Dem!$F$1:$H$1,0))*_xlfn.IFS(RIGHT($D54,1)="H",$H$48,RIGHT($D54,1)="M",$H$47,RIGHT($D54,1)="L",$H$46),2)</f>
        <v>0</v>
      </c>
      <c r="N54" s="49" cm="1">
        <f t="array" ref="N54">ROUNDUP(INDEX(Dem!$F$61:$H$64,MATCH(Buildings_DR!$E54,Dem!$B$17:$B$20,0),MATCH(RIGHT(N$51,3),Dem!$F$1:$H$1,0))*_xlfn.IFS(RIGHT($D54,1)="H",$H$48,RIGHT($D54,1)="M",$H$47,RIGHT($D54,1)="L",$H$46),2)</f>
        <v>1488.92</v>
      </c>
      <c r="O54" s="49" cm="1">
        <f t="array" ref="O54">ROUNDUP(INDEX(Dem!$F$61:$H$64,MATCH(Buildings_DR!$E54,Dem!$B$17:$B$20,0),MATCH(RIGHT(O$51,3),Dem!$F$1:$H$1,0))*_xlfn.IFS(RIGHT($D54,1)="H",$H$48,RIGHT($D54,1)="M",$H$47,RIGHT($D54,1)="L",$H$46),2)</f>
        <v>0</v>
      </c>
      <c r="P54" s="49" cm="1">
        <f t="array" ref="P54">ROUNDUP(INDEX(Dem!$F$61:$H$64,MATCH(Buildings_DR!$E54,Dem!$B$17:$B$20,0),MATCH(RIGHT(P$51,3),Dem!$F$1:$H$1,0))*_xlfn.IFS(RIGHT($D54,1)="H",$H$48,RIGHT($D54,1)="M",$H$47,RIGHT($D54,1)="L",$H$46),2)</f>
        <v>0</v>
      </c>
      <c r="Q54" s="533">
        <f t="shared" si="60"/>
        <v>853.30200000000002</v>
      </c>
      <c r="R54" s="533">
        <f t="shared" si="60"/>
        <v>0</v>
      </c>
      <c r="S54" s="533">
        <f t="shared" si="60"/>
        <v>0</v>
      </c>
      <c r="T54" s="533">
        <f>H54*0.99</f>
        <v>1407.9483</v>
      </c>
      <c r="U54" s="533">
        <f t="shared" si="61"/>
        <v>0</v>
      </c>
      <c r="V54" s="533">
        <f t="shared" si="61"/>
        <v>0</v>
      </c>
      <c r="W54" s="533">
        <f>K54*0.99</f>
        <v>1452.2706000000001</v>
      </c>
      <c r="X54" s="533">
        <f t="shared" si="63"/>
        <v>0</v>
      </c>
      <c r="Y54" s="533">
        <f t="shared" si="64"/>
        <v>0</v>
      </c>
      <c r="Z54" s="533">
        <f>N54*0.99</f>
        <v>1474.0308</v>
      </c>
      <c r="AA54" s="533">
        <f t="shared" si="66"/>
        <v>0</v>
      </c>
      <c r="AB54" s="533">
        <f t="shared" si="67"/>
        <v>0</v>
      </c>
      <c r="AC54" s="533">
        <f>Q54*0.99</f>
        <v>844.76898000000006</v>
      </c>
      <c r="AD54" s="533">
        <f t="shared" si="68"/>
        <v>0</v>
      </c>
      <c r="AE54" s="533">
        <f t="shared" si="68"/>
        <v>0</v>
      </c>
      <c r="AF54" s="533">
        <v>5</v>
      </c>
      <c r="AG54" s="533">
        <f t="shared" si="68"/>
        <v>0</v>
      </c>
      <c r="AH54" s="533">
        <f t="shared" si="68"/>
        <v>0</v>
      </c>
      <c r="AI54" s="527">
        <f>ROUNDUP(SUM(H53:H59)/Cooling!AA7,3)</f>
        <v>757.42099999999994</v>
      </c>
      <c r="AJ54" s="527">
        <f>0</f>
        <v>0</v>
      </c>
      <c r="AK54" s="527">
        <v>0</v>
      </c>
      <c r="AL54" s="527">
        <f>ROUNDUP(SUM(K53:K59)/Cooling!AA11,3)</f>
        <v>841.79599999999994</v>
      </c>
      <c r="AM54" s="527">
        <v>0</v>
      </c>
      <c r="AN54" s="527">
        <v>0</v>
      </c>
      <c r="AO54" s="527">
        <f>ROUNDUP(SUM(N53:N59)/Cooling!AA15,3)</f>
        <v>795.77699999999993</v>
      </c>
      <c r="AP54" s="527">
        <v>0</v>
      </c>
      <c r="AQ54" s="527">
        <v>0</v>
      </c>
      <c r="AR54" s="527">
        <f>AO54</f>
        <v>795.77699999999993</v>
      </c>
      <c r="AS54" s="527">
        <f>AP54</f>
        <v>0</v>
      </c>
      <c r="AT54" s="527">
        <f>AQ54</f>
        <v>0</v>
      </c>
      <c r="AU54" s="163">
        <v>1</v>
      </c>
      <c r="AV54" s="162">
        <v>1</v>
      </c>
      <c r="AW54" s="160"/>
      <c r="AX54" s="162"/>
      <c r="AY54" s="162"/>
      <c r="AZ54" s="199"/>
      <c r="BA54" s="202">
        <f t="shared" si="70"/>
        <v>1422.17</v>
      </c>
      <c r="BB54" s="202">
        <f t="shared" si="71"/>
        <v>0</v>
      </c>
      <c r="BC54" s="202">
        <f t="shared" si="72"/>
        <v>0</v>
      </c>
      <c r="BD54" s="203">
        <f>BA54/AI54</f>
        <v>1.8776479659264798</v>
      </c>
      <c r="BE54" s="203">
        <v>0</v>
      </c>
      <c r="BF54" s="203" t="e">
        <f t="shared" si="73"/>
        <v>#DIV/0!</v>
      </c>
      <c r="BH54" s="201"/>
      <c r="BI54" s="201"/>
      <c r="BJ54" s="201"/>
      <c r="BK54" s="201"/>
      <c r="BL54" s="201"/>
      <c r="BM54" s="201"/>
      <c r="BN54" s="201"/>
      <c r="BO54" s="201"/>
      <c r="BP54" s="201"/>
      <c r="BQ54" s="201"/>
      <c r="BR54" s="201"/>
    </row>
    <row r="55" spans="1:70">
      <c r="A55" s="162"/>
      <c r="B55" s="162" t="str">
        <f>Processes!D25</f>
        <v>RDCUDH</v>
      </c>
      <c r="C55" s="162" t="str">
        <f>Processes!E25</f>
        <v xml:space="preserve">Residential Demand Cooling Urban Detached -  - High </v>
      </c>
      <c r="D55" s="127" t="str">
        <f>Commodities!$C$54&amp;","&amp;Commodities!C72</f>
        <v>RESCUDB,RESCUDSH</v>
      </c>
      <c r="E55" s="191" t="str">
        <f>E54</f>
        <v>RCUDB</v>
      </c>
      <c r="G55" s="191"/>
      <c r="H55" s="49" cm="1">
        <f t="array" ref="H55">ROUNDUP(INDEX(Dem!$F$53:$H$56,MATCH(Buildings_DR!$E55,Dem!$B$17:$B$20,0),MATCH(RIGHT(H$51,3),Dem!$F$1:$H$1,0))*_xlfn.IFS(RIGHT($D55,1)="H",$H$48,RIGHT($D55,1)="M",$H$47,RIGHT($D55,1)="L",$H$46),2)</f>
        <v>0</v>
      </c>
      <c r="I55" s="49" cm="1">
        <f t="array" ref="I55">ROUNDUP(INDEX(Dem!$F$53:$H$56,MATCH(Buildings_DR!$E55,Dem!$B$17:$B$20,0),MATCH(RIGHT(I$51,3),Dem!$F$1:$H$1,0))*_xlfn.IFS(RIGHT($D55,1)="H",$H$48,RIGHT($D55,1)="M",$H$47,RIGHT($D55,1)="L",$H$46),2)</f>
        <v>0</v>
      </c>
      <c r="J55" s="49" cm="1">
        <f t="array" ref="J55">ROUNDUP(INDEX(Dem!$F$53:$H$56,MATCH(Buildings_DR!$E55,Dem!$B$17:$B$20,0),MATCH(RIGHT(J$51,3),Dem!$F$1:$H$1,0))*_xlfn.IFS(RIGHT($D55,1)="H",$H$48,RIGHT($D55,1)="M",$H$47,RIGHT($D55,1)="L",$H$46),2)</f>
        <v>0</v>
      </c>
      <c r="K55" s="49" cm="1">
        <f t="array" ref="K55">ROUNDUP(INDEX(Dem!$F$57:$H$60,MATCH(Buildings_DR!$E55,Dem!$B$17:$B$20,0),MATCH(RIGHT(K$51,3),Dem!$F$1:$H$1,0))*_xlfn.IFS(RIGHT($D55,1)="H",$H$48,RIGHT($D55,1)="M",$H$47,RIGHT($D55,1)="L",$H$46),2)</f>
        <v>0</v>
      </c>
      <c r="L55" s="49" cm="1">
        <f t="array" ref="L55">ROUNDUP(INDEX(Dem!$F$57:$H$60,MATCH(Buildings_DR!$E55,Dem!$B$17:$B$20,0),MATCH(RIGHT(L$51,3),Dem!$F$1:$H$1,0))*_xlfn.IFS(RIGHT($D55,1)="H",$H$48,RIGHT($D55,1)="M",$H$47,RIGHT($D55,1)="L",$H$46),2)</f>
        <v>0</v>
      </c>
      <c r="M55" s="49" cm="1">
        <f t="array" ref="M55">ROUNDUP(INDEX(Dem!$F$57:$H$60,MATCH(Buildings_DR!$E55,Dem!$B$17:$B$20,0),MATCH(RIGHT(M$51,3),Dem!$F$1:$H$1,0))*_xlfn.IFS(RIGHT($D55,1)="H",$H$48,RIGHT($D55,1)="M",$H$47,RIGHT($D55,1)="L",$H$46),2)</f>
        <v>0</v>
      </c>
      <c r="N55" s="49" cm="1">
        <f t="array" ref="N55">ROUNDUP(INDEX(Dem!$F$61:$H$64,MATCH(Buildings_DR!$E55,Dem!$B$17:$B$20,0),MATCH(RIGHT(N$51,3),Dem!$F$1:$H$1,0))*_xlfn.IFS(RIGHT($D55,1)="H",$H$48,RIGHT($D55,1)="M",$H$47,RIGHT($D55,1)="L",$H$46),2)</f>
        <v>0</v>
      </c>
      <c r="O55" s="49" cm="1">
        <f t="array" ref="O55">ROUNDUP(INDEX(Dem!$F$61:$H$64,MATCH(Buildings_DR!$E55,Dem!$B$17:$B$20,0),MATCH(RIGHT(O$51,3),Dem!$F$1:$H$1,0))*_xlfn.IFS(RIGHT($D55,1)="H",$H$48,RIGHT($D55,1)="M",$H$47,RIGHT($D55,1)="L",$H$46),2)</f>
        <v>0</v>
      </c>
      <c r="P55" s="49" cm="1">
        <f t="array" ref="P55">ROUNDUP(INDEX(Dem!$F$61:$H$64,MATCH(Buildings_DR!$E55,Dem!$B$17:$B$20,0),MATCH(RIGHT(P$51,3),Dem!$F$1:$H$1,0))*_xlfn.IFS(RIGHT($D55,1)="H",$H$48,RIGHT($D55,1)="M",$H$47,RIGHT($D55,1)="L",$H$46),2)</f>
        <v>0</v>
      </c>
      <c r="Q55" s="533">
        <f t="shared" si="60"/>
        <v>0</v>
      </c>
      <c r="R55" s="533">
        <f t="shared" si="60"/>
        <v>0</v>
      </c>
      <c r="S55" s="533">
        <f t="shared" si="60"/>
        <v>0</v>
      </c>
      <c r="T55" s="533">
        <f t="shared" si="61"/>
        <v>0</v>
      </c>
      <c r="U55" s="533">
        <f t="shared" si="61"/>
        <v>0</v>
      </c>
      <c r="V55" s="533">
        <f t="shared" si="61"/>
        <v>0</v>
      </c>
      <c r="W55" s="533">
        <f t="shared" si="62"/>
        <v>0</v>
      </c>
      <c r="X55" s="533">
        <f t="shared" si="63"/>
        <v>0</v>
      </c>
      <c r="Y55" s="533">
        <f t="shared" si="64"/>
        <v>0</v>
      </c>
      <c r="Z55" s="533">
        <f t="shared" ref="Z55" si="74">N55*0.99</f>
        <v>0</v>
      </c>
      <c r="AA55" s="533">
        <f t="shared" si="66"/>
        <v>0</v>
      </c>
      <c r="AB55" s="533">
        <f t="shared" si="67"/>
        <v>0</v>
      </c>
      <c r="AC55" s="533">
        <f t="shared" si="68"/>
        <v>0</v>
      </c>
      <c r="AD55" s="533">
        <f t="shared" si="68"/>
        <v>0</v>
      </c>
      <c r="AE55" s="533">
        <f t="shared" si="68"/>
        <v>0</v>
      </c>
      <c r="AF55" s="533">
        <f t="shared" si="68"/>
        <v>0</v>
      </c>
      <c r="AG55" s="533">
        <f t="shared" si="68"/>
        <v>0</v>
      </c>
      <c r="AH55" s="533">
        <f t="shared" si="68"/>
        <v>0</v>
      </c>
      <c r="AI55" s="527">
        <f t="shared" ref="AI55:AQ55" si="75">AI54/2+AI56/2</f>
        <v>1024.9356510638297</v>
      </c>
      <c r="AJ55" s="527">
        <f t="shared" si="75"/>
        <v>646.2251510638298</v>
      </c>
      <c r="AK55" s="527">
        <f t="shared" si="75"/>
        <v>646.2251510638298</v>
      </c>
      <c r="AL55" s="527">
        <f t="shared" si="75"/>
        <v>1067.1231510638297</v>
      </c>
      <c r="AM55" s="527">
        <f t="shared" si="75"/>
        <v>646.2251510638298</v>
      </c>
      <c r="AN55" s="527">
        <f t="shared" si="75"/>
        <v>646.2251510638298</v>
      </c>
      <c r="AO55" s="527">
        <f t="shared" si="75"/>
        <v>1044.1136510638298</v>
      </c>
      <c r="AP55" s="527">
        <f t="shared" si="75"/>
        <v>646.2251510638298</v>
      </c>
      <c r="AQ55" s="527">
        <f t="shared" si="75"/>
        <v>646.2251510638298</v>
      </c>
      <c r="AR55" s="527">
        <f t="shared" ref="AR55:AT55" si="76">AR54/2+AR56/2</f>
        <v>1044.1136510638298</v>
      </c>
      <c r="AS55" s="527">
        <f>AS54/2+AS56/2</f>
        <v>646.2251510638298</v>
      </c>
      <c r="AT55" s="527">
        <f t="shared" si="76"/>
        <v>646.2251510638298</v>
      </c>
      <c r="AU55" s="163">
        <v>1</v>
      </c>
      <c r="AV55" s="162">
        <v>1</v>
      </c>
      <c r="AW55" s="162"/>
      <c r="AX55" s="162"/>
      <c r="AY55" s="162"/>
      <c r="AZ55" s="199"/>
      <c r="BA55" s="202">
        <f t="shared" si="70"/>
        <v>0</v>
      </c>
      <c r="BB55" s="202">
        <f t="shared" si="71"/>
        <v>0</v>
      </c>
      <c r="BC55" s="202">
        <f t="shared" si="72"/>
        <v>0</v>
      </c>
      <c r="BD55" s="203">
        <f t="shared" si="73"/>
        <v>0</v>
      </c>
      <c r="BE55" s="203">
        <f t="shared" si="73"/>
        <v>0</v>
      </c>
      <c r="BF55" s="203">
        <f t="shared" si="73"/>
        <v>0</v>
      </c>
      <c r="BH55" s="201"/>
      <c r="BI55" s="201"/>
      <c r="BJ55" s="201"/>
      <c r="BK55" s="201"/>
      <c r="BL55" s="201"/>
      <c r="BM55" s="201"/>
      <c r="BN55" s="201"/>
      <c r="BO55" s="201"/>
      <c r="BP55" s="201"/>
      <c r="BQ55" s="201"/>
      <c r="BR55" s="201"/>
    </row>
    <row r="56" spans="1:70">
      <c r="B56" s="162" t="str">
        <f>Processes!D26</f>
        <v>RDCUDN</v>
      </c>
      <c r="C56" s="162" t="str">
        <f>Processes!E26</f>
        <v xml:space="preserve">Residential Demand Cooling Urban Detached -  - New </v>
      </c>
      <c r="D56" s="133" t="str">
        <f>Commodities!$C$54</f>
        <v>RESCUDB</v>
      </c>
      <c r="E56" s="191" t="str">
        <f>E55</f>
        <v>RCUDB</v>
      </c>
      <c r="F56" s="156">
        <v>2011</v>
      </c>
      <c r="G56" s="191">
        <v>2011</v>
      </c>
      <c r="H56" s="49"/>
      <c r="I56" s="49"/>
      <c r="J56" s="49"/>
      <c r="K56" s="49"/>
      <c r="L56" s="49"/>
      <c r="M56" s="49"/>
      <c r="N56" s="49"/>
      <c r="O56" s="49"/>
      <c r="P56" s="49"/>
      <c r="Q56" s="533"/>
      <c r="R56" s="533"/>
      <c r="S56" s="533"/>
      <c r="T56" s="533"/>
      <c r="U56" s="533"/>
      <c r="V56" s="533"/>
      <c r="W56" s="533"/>
      <c r="X56" s="533"/>
      <c r="Y56" s="533"/>
      <c r="Z56" s="533"/>
      <c r="AA56" s="533"/>
      <c r="AB56" s="533"/>
      <c r="AC56" s="533"/>
      <c r="AD56" s="533"/>
      <c r="AE56" s="533"/>
      <c r="AF56" s="533"/>
      <c r="AG56" s="533"/>
      <c r="AH56" s="533"/>
      <c r="AI56" s="528">
        <f t="shared" ref="AI56:AQ56" si="77">$AI$54*AI12/$AI$10</f>
        <v>1292.4503021276596</v>
      </c>
      <c r="AJ56" s="528">
        <f t="shared" si="77"/>
        <v>1292.4503021276596</v>
      </c>
      <c r="AK56" s="528">
        <f t="shared" si="77"/>
        <v>1292.4503021276596</v>
      </c>
      <c r="AL56" s="528">
        <f t="shared" si="77"/>
        <v>1292.4503021276596</v>
      </c>
      <c r="AM56" s="528">
        <f t="shared" si="77"/>
        <v>1292.4503021276596</v>
      </c>
      <c r="AN56" s="528">
        <f t="shared" si="77"/>
        <v>1292.4503021276596</v>
      </c>
      <c r="AO56" s="528">
        <f t="shared" si="77"/>
        <v>1292.4503021276596</v>
      </c>
      <c r="AP56" s="528">
        <f t="shared" si="77"/>
        <v>1292.4503021276596</v>
      </c>
      <c r="AQ56" s="528">
        <f t="shared" si="77"/>
        <v>1292.4503021276596</v>
      </c>
      <c r="AR56" s="528">
        <f t="shared" ref="AR56:AT56" si="78">$AI$54*AR12/$AI$10</f>
        <v>1292.4503021276596</v>
      </c>
      <c r="AS56" s="528">
        <f t="shared" si="78"/>
        <v>1292.4503021276596</v>
      </c>
      <c r="AT56" s="528">
        <f t="shared" si="78"/>
        <v>1292.4503021276596</v>
      </c>
      <c r="AU56" s="163">
        <v>1</v>
      </c>
      <c r="AV56" s="168">
        <v>1</v>
      </c>
      <c r="AW56" s="162">
        <v>100</v>
      </c>
      <c r="AX56" s="162"/>
      <c r="BA56" s="202">
        <f t="shared" si="70"/>
        <v>0</v>
      </c>
      <c r="BB56" s="202">
        <f t="shared" si="71"/>
        <v>0</v>
      </c>
      <c r="BC56" s="202">
        <f t="shared" si="72"/>
        <v>0</v>
      </c>
      <c r="BD56" s="203">
        <f t="shared" ref="BD56:BF59" si="79">BA56/AI70</f>
        <v>0</v>
      </c>
      <c r="BE56" s="203">
        <f t="shared" si="79"/>
        <v>0</v>
      </c>
      <c r="BF56" s="203">
        <f t="shared" si="79"/>
        <v>0</v>
      </c>
      <c r="BH56" s="201"/>
      <c r="BI56" s="201"/>
      <c r="BJ56" s="201"/>
      <c r="BK56" s="201"/>
      <c r="BL56" s="201"/>
      <c r="BM56" s="201"/>
      <c r="BN56" s="201"/>
      <c r="BO56" s="201"/>
      <c r="BP56" s="201"/>
      <c r="BQ56" s="201"/>
      <c r="BR56" s="201"/>
    </row>
    <row r="57" spans="1:70">
      <c r="B57" s="162"/>
      <c r="C57" s="162"/>
      <c r="D57" s="557"/>
      <c r="E57" s="191"/>
      <c r="F57" s="156">
        <v>2016</v>
      </c>
      <c r="H57" s="49"/>
      <c r="I57" s="49"/>
      <c r="J57" s="49"/>
      <c r="K57" s="49"/>
      <c r="L57" s="49"/>
      <c r="M57" s="49"/>
      <c r="N57" s="49"/>
      <c r="O57" s="49"/>
      <c r="P57" s="49"/>
      <c r="Q57" s="533"/>
      <c r="R57" s="533"/>
      <c r="S57" s="533"/>
      <c r="T57" s="533"/>
      <c r="U57" s="533"/>
      <c r="V57" s="533"/>
      <c r="W57" s="533"/>
      <c r="X57" s="533"/>
      <c r="Y57" s="533"/>
      <c r="Z57" s="533"/>
      <c r="AA57" s="533"/>
      <c r="AB57" s="533"/>
      <c r="AC57" s="533"/>
      <c r="AD57" s="533"/>
      <c r="AE57" s="533"/>
      <c r="AF57" s="533"/>
      <c r="AG57" s="533"/>
      <c r="AH57" s="533"/>
      <c r="AI57" s="528">
        <f t="shared" ref="AI57:AQ57" si="80">$AI$54*AI13/$AI$10</f>
        <v>1530.957340425532</v>
      </c>
      <c r="AJ57" s="528">
        <f t="shared" si="80"/>
        <v>1530.957340425532</v>
      </c>
      <c r="AK57" s="528">
        <f t="shared" si="80"/>
        <v>1530.957340425532</v>
      </c>
      <c r="AL57" s="528">
        <f t="shared" si="80"/>
        <v>1530.957340425532</v>
      </c>
      <c r="AM57" s="528">
        <f t="shared" si="80"/>
        <v>1530.957340425532</v>
      </c>
      <c r="AN57" s="528">
        <f t="shared" si="80"/>
        <v>1530.957340425532</v>
      </c>
      <c r="AO57" s="528">
        <f t="shared" si="80"/>
        <v>1530.957340425532</v>
      </c>
      <c r="AP57" s="528">
        <f t="shared" si="80"/>
        <v>1530.957340425532</v>
      </c>
      <c r="AQ57" s="528">
        <f t="shared" si="80"/>
        <v>1530.957340425532</v>
      </c>
      <c r="AR57" s="528">
        <f t="shared" ref="AR57:AT57" si="81">$AI$54*AR13/$AI$10</f>
        <v>1530.957340425532</v>
      </c>
      <c r="AS57" s="528">
        <f t="shared" si="81"/>
        <v>1530.957340425532</v>
      </c>
      <c r="AT57" s="528">
        <f t="shared" si="81"/>
        <v>1530.957340425532</v>
      </c>
      <c r="AU57" s="163">
        <v>1</v>
      </c>
      <c r="AV57" s="168">
        <v>1</v>
      </c>
      <c r="AW57" s="162">
        <v>100</v>
      </c>
      <c r="AX57" s="162"/>
      <c r="BA57" s="202">
        <f t="shared" si="70"/>
        <v>0</v>
      </c>
      <c r="BB57" s="202">
        <f t="shared" si="71"/>
        <v>0</v>
      </c>
      <c r="BC57" s="202">
        <f t="shared" si="72"/>
        <v>0</v>
      </c>
      <c r="BD57" s="203">
        <f t="shared" si="79"/>
        <v>0</v>
      </c>
      <c r="BE57" s="203">
        <f t="shared" si="79"/>
        <v>0</v>
      </c>
      <c r="BF57" s="203">
        <f t="shared" si="79"/>
        <v>0</v>
      </c>
      <c r="BH57" s="201"/>
      <c r="BI57" s="201"/>
      <c r="BJ57" s="201"/>
      <c r="BK57" s="201"/>
      <c r="BL57" s="201"/>
      <c r="BM57" s="201"/>
      <c r="BN57" s="201"/>
      <c r="BO57" s="201"/>
      <c r="BP57" s="201"/>
      <c r="BQ57" s="201"/>
      <c r="BR57" s="201"/>
    </row>
    <row r="58" spans="1:70">
      <c r="B58" s="162"/>
      <c r="C58" s="162"/>
      <c r="D58" s="557"/>
      <c r="E58" s="191"/>
      <c r="F58" s="156">
        <v>2021</v>
      </c>
      <c r="H58" s="49"/>
      <c r="I58" s="49"/>
      <c r="J58" s="49"/>
      <c r="K58" s="49"/>
      <c r="L58" s="49"/>
      <c r="M58" s="49"/>
      <c r="N58" s="49"/>
      <c r="O58" s="49"/>
      <c r="P58" s="49"/>
      <c r="Q58" s="533"/>
      <c r="R58" s="533"/>
      <c r="S58" s="533"/>
      <c r="T58" s="533"/>
      <c r="U58" s="533"/>
      <c r="V58" s="533"/>
      <c r="W58" s="533"/>
      <c r="X58" s="533"/>
      <c r="Y58" s="533"/>
      <c r="Z58" s="533"/>
      <c r="AA58" s="533"/>
      <c r="AB58" s="533"/>
      <c r="AC58" s="533"/>
      <c r="AD58" s="533"/>
      <c r="AE58" s="533"/>
      <c r="AF58" s="533"/>
      <c r="AG58" s="533"/>
      <c r="AH58" s="533"/>
      <c r="AI58" s="528">
        <f t="shared" ref="AI58:AQ58" si="82">$AI$54*AI14/$AI$10</f>
        <v>1959.6253957446811</v>
      </c>
      <c r="AJ58" s="528">
        <f t="shared" si="82"/>
        <v>1959.6253957446811</v>
      </c>
      <c r="AK58" s="528">
        <f t="shared" si="82"/>
        <v>1959.6253957446811</v>
      </c>
      <c r="AL58" s="528">
        <f t="shared" si="82"/>
        <v>1959.6253957446811</v>
      </c>
      <c r="AM58" s="528">
        <f t="shared" si="82"/>
        <v>1959.6253957446811</v>
      </c>
      <c r="AN58" s="528">
        <f t="shared" si="82"/>
        <v>1959.6253957446811</v>
      </c>
      <c r="AO58" s="528">
        <f t="shared" si="82"/>
        <v>1959.6253957446811</v>
      </c>
      <c r="AP58" s="528">
        <f t="shared" si="82"/>
        <v>1959.6253957446811</v>
      </c>
      <c r="AQ58" s="528">
        <f t="shared" si="82"/>
        <v>1959.6253957446811</v>
      </c>
      <c r="AR58" s="528">
        <f t="shared" ref="AR58:AT58" si="83">$AI$54*AR14/$AI$10</f>
        <v>1959.6253957446811</v>
      </c>
      <c r="AS58" s="528">
        <f t="shared" si="83"/>
        <v>1959.6253957446811</v>
      </c>
      <c r="AT58" s="528">
        <f t="shared" si="83"/>
        <v>1959.6253957446811</v>
      </c>
      <c r="AU58" s="163">
        <v>1</v>
      </c>
      <c r="AV58" s="168">
        <v>1</v>
      </c>
      <c r="AW58" s="162">
        <v>100</v>
      </c>
      <c r="AX58" s="162"/>
      <c r="BA58" s="202">
        <f t="shared" si="70"/>
        <v>0</v>
      </c>
      <c r="BB58" s="202">
        <f t="shared" si="71"/>
        <v>0</v>
      </c>
      <c r="BC58" s="202">
        <f t="shared" si="72"/>
        <v>0</v>
      </c>
      <c r="BD58" s="203">
        <f t="shared" si="79"/>
        <v>0</v>
      </c>
      <c r="BE58" s="203">
        <f t="shared" si="79"/>
        <v>0</v>
      </c>
      <c r="BF58" s="203">
        <f t="shared" si="79"/>
        <v>0</v>
      </c>
      <c r="BH58" s="201"/>
      <c r="BI58" s="201"/>
      <c r="BJ58" s="201"/>
      <c r="BK58" s="201"/>
      <c r="BL58" s="201"/>
      <c r="BM58" s="201"/>
      <c r="BN58" s="201"/>
      <c r="BO58" s="201"/>
      <c r="BP58" s="201"/>
      <c r="BQ58" s="201"/>
      <c r="BR58" s="201"/>
    </row>
    <row r="59" spans="1:70" ht="13.8" thickBot="1">
      <c r="B59" s="162"/>
      <c r="C59" s="162"/>
      <c r="D59" s="557"/>
      <c r="E59" s="212"/>
      <c r="F59" s="164">
        <v>2031</v>
      </c>
      <c r="G59" s="164"/>
      <c r="H59" s="530"/>
      <c r="I59" s="530"/>
      <c r="J59" s="530"/>
      <c r="K59" s="530"/>
      <c r="L59" s="530"/>
      <c r="M59" s="530"/>
      <c r="N59" s="530"/>
      <c r="O59" s="530"/>
      <c r="P59" s="530"/>
      <c r="Q59" s="533"/>
      <c r="R59" s="533"/>
      <c r="S59" s="533"/>
      <c r="T59" s="533"/>
      <c r="U59" s="533"/>
      <c r="V59" s="533"/>
      <c r="W59" s="533"/>
      <c r="X59" s="533"/>
      <c r="Y59" s="533"/>
      <c r="Z59" s="533"/>
      <c r="AA59" s="533"/>
      <c r="AB59" s="533"/>
      <c r="AC59" s="533"/>
      <c r="AD59" s="533"/>
      <c r="AE59" s="533"/>
      <c r="AF59" s="533"/>
      <c r="AG59" s="533"/>
      <c r="AH59" s="533"/>
      <c r="AI59" s="528">
        <f t="shared" ref="AI59:AQ59" si="84">$AI$54*AI15/$AI$10</f>
        <v>2236.8092510638298</v>
      </c>
      <c r="AJ59" s="528">
        <f t="shared" si="84"/>
        <v>2236.8092510638298</v>
      </c>
      <c r="AK59" s="528">
        <f t="shared" si="84"/>
        <v>2236.8092510638298</v>
      </c>
      <c r="AL59" s="528">
        <f t="shared" si="84"/>
        <v>2236.8092510638298</v>
      </c>
      <c r="AM59" s="528">
        <f t="shared" si="84"/>
        <v>2236.8092510638298</v>
      </c>
      <c r="AN59" s="528">
        <f t="shared" si="84"/>
        <v>2236.8092510638298</v>
      </c>
      <c r="AO59" s="528">
        <f t="shared" si="84"/>
        <v>2236.8092510638298</v>
      </c>
      <c r="AP59" s="528">
        <f t="shared" si="84"/>
        <v>2236.8092510638298</v>
      </c>
      <c r="AQ59" s="528">
        <f t="shared" si="84"/>
        <v>2236.8092510638298</v>
      </c>
      <c r="AR59" s="528">
        <f t="shared" ref="AR59:AT59" si="85">$AI$54*AR15/$AI$10</f>
        <v>2236.8092510638298</v>
      </c>
      <c r="AS59" s="528">
        <f t="shared" si="85"/>
        <v>2236.8092510638298</v>
      </c>
      <c r="AT59" s="528">
        <f t="shared" si="85"/>
        <v>2236.8092510638298</v>
      </c>
      <c r="AU59" s="163">
        <v>1</v>
      </c>
      <c r="AV59" s="168">
        <v>1</v>
      </c>
      <c r="AW59" s="162">
        <v>100</v>
      </c>
      <c r="AX59" s="162"/>
      <c r="BA59" s="202">
        <f t="shared" si="70"/>
        <v>0</v>
      </c>
      <c r="BB59" s="202">
        <f t="shared" si="71"/>
        <v>0</v>
      </c>
      <c r="BC59" s="202">
        <f t="shared" si="72"/>
        <v>0</v>
      </c>
      <c r="BD59" s="203">
        <f t="shared" si="79"/>
        <v>0</v>
      </c>
      <c r="BE59" s="203">
        <f t="shared" si="79"/>
        <v>0</v>
      </c>
      <c r="BF59" s="203">
        <f t="shared" si="79"/>
        <v>0</v>
      </c>
      <c r="BH59" s="201"/>
      <c r="BI59" s="201"/>
      <c r="BJ59" s="201"/>
      <c r="BK59" s="201"/>
      <c r="BL59" s="201"/>
      <c r="BM59" s="201"/>
      <c r="BN59" s="201"/>
      <c r="BO59" s="201"/>
      <c r="BP59" s="201"/>
      <c r="BQ59" s="201"/>
      <c r="BR59" s="201"/>
    </row>
    <row r="60" spans="1:70" ht="13.8" thickBot="1">
      <c r="B60" s="165" t="str">
        <f>Processes!D27</f>
        <v>RDCRDL</v>
      </c>
      <c r="C60" s="165" t="str">
        <f>Processes!E27</f>
        <v xml:space="preserve">Residential Demand Cooling Rural Detached -  - Low </v>
      </c>
      <c r="D60" s="127" t="str">
        <f>Commodities!$C$55&amp;","&amp;Commodities!C73</f>
        <v>RESCRDB,RESCRDSL</v>
      </c>
      <c r="E60" s="7" t="str">
        <f>Commodities!C12</f>
        <v>RCRDB</v>
      </c>
      <c r="G60" s="166"/>
      <c r="H60" s="49" cm="1">
        <f t="array" ref="H60">ROUNDUP(INDEX(Dem!$F$53:$H$56,MATCH(Buildings_DR!$E60,Dem!$B$17:$B$20,0),MATCH(RIGHT(H$51,3),Dem!$F$1:$H$1,0))*_xlfn.IFS(RIGHT($D60,1)="H",$H$48,RIGHT($D60,1)="M",$H$47,RIGHT($D60,1)="L",$H$46),2)</f>
        <v>0</v>
      </c>
      <c r="I60" s="49" cm="1">
        <f t="array" ref="I60">ROUNDUP(INDEX(Dem!$F$53:$H$56,MATCH(Buildings_DR!$E60,Dem!$B$17:$B$20,0),MATCH(RIGHT(I$51,3),Dem!$F$1:$H$1,0))*_xlfn.IFS(RIGHT($D60,1)="H",$H$48,RIGHT($D60,1)="M",$H$47,RIGHT($D60,1)="L",$H$46),2)</f>
        <v>0</v>
      </c>
      <c r="J60" s="49" cm="1">
        <f t="array" ref="J60">ROUNDUP(INDEX(Dem!$F$53:$H$56,MATCH(Buildings_DR!$E60,Dem!$B$17:$B$20,0),MATCH(RIGHT(J$51,3),Dem!$F$1:$H$1,0))*_xlfn.IFS(RIGHT($D60,1)="H",$H$48,RIGHT($D60,1)="M",$H$47,RIGHT($D60,1)="L",$H$46),2)</f>
        <v>0</v>
      </c>
      <c r="K60" s="49" cm="1">
        <f t="array" ref="K60">ROUNDUP(INDEX(Dem!$F$57:$H$60,MATCH(Buildings_DR!$E60,Dem!$B$17:$B$20,0),MATCH(RIGHT(K$51,3),Dem!$F$1:$H$1,0))*_xlfn.IFS(RIGHT($D60,1)="H",$H$48,RIGHT($D60,1)="M",$H$47,RIGHT($D60,1)="L",$H$46),2)</f>
        <v>0</v>
      </c>
      <c r="L60" s="49" cm="1">
        <f t="array" ref="L60">ROUNDUP(INDEX(Dem!$F$57:$H$60,MATCH(Buildings_DR!$E60,Dem!$B$17:$B$20,0),MATCH(RIGHT(L$51,3),Dem!$F$1:$H$1,0))*_xlfn.IFS(RIGHT($D60,1)="H",$H$48,RIGHT($D60,1)="M",$H$47,RIGHT($D60,1)="L",$H$46),2)</f>
        <v>0</v>
      </c>
      <c r="M60" s="49" cm="1">
        <f t="array" ref="M60">ROUNDUP(INDEX(Dem!$F$57:$H$60,MATCH(Buildings_DR!$E60,Dem!$B$17:$B$20,0),MATCH(RIGHT(M$51,3),Dem!$F$1:$H$1,0))*_xlfn.IFS(RIGHT($D60,1)="H",$H$48,RIGHT($D60,1)="M",$H$47,RIGHT($D60,1)="L",$H$46),2)</f>
        <v>0</v>
      </c>
      <c r="N60" s="49" cm="1">
        <f t="array" ref="N60">ROUNDUP(INDEX(Dem!$F$61:$H$64,MATCH(Buildings_DR!$E60,Dem!$B$17:$B$20,0),MATCH(RIGHT(N$51,3),Dem!$F$1:$H$1,0))*_xlfn.IFS(RIGHT($D60,1)="H",$H$48,RIGHT($D60,1)="M",$H$47,RIGHT($D60,1)="L",$H$46),2)</f>
        <v>0</v>
      </c>
      <c r="O60" s="49" cm="1">
        <f t="array" ref="O60">ROUNDUP(INDEX(Dem!$F$61:$H$64,MATCH(Buildings_DR!$E60,Dem!$B$17:$B$20,0),MATCH(RIGHT(O$51,3),Dem!$F$1:$H$1,0))*_xlfn.IFS(RIGHT($D60,1)="H",$H$48,RIGHT($D60,1)="M",$H$47,RIGHT($D60,1)="L",$H$46),2)</f>
        <v>0</v>
      </c>
      <c r="P60" s="49" cm="1">
        <f t="array" ref="P60">ROUNDUP(INDEX(Dem!$F$61:$H$64,MATCH(Buildings_DR!$E60,Dem!$B$17:$B$20,0),MATCH(RIGHT(P$51,3),Dem!$F$1:$H$1,0))*_xlfn.IFS(RIGHT($D60,1)="H",$H$48,RIGHT($D60,1)="M",$H$47,RIGHT($D60,1)="L",$H$46),2)</f>
        <v>0</v>
      </c>
      <c r="Q60" s="533">
        <f t="shared" ref="Q60:S62" si="86">H60*0.6</f>
        <v>0</v>
      </c>
      <c r="R60" s="533">
        <f t="shared" si="86"/>
        <v>0</v>
      </c>
      <c r="S60" s="533">
        <f t="shared" si="86"/>
        <v>0</v>
      </c>
      <c r="T60" s="533">
        <f t="shared" ref="T60:V62" si="87">H60*0.99</f>
        <v>0</v>
      </c>
      <c r="U60" s="533">
        <f t="shared" si="87"/>
        <v>0</v>
      </c>
      <c r="V60" s="533">
        <f t="shared" si="87"/>
        <v>0</v>
      </c>
      <c r="W60" s="533">
        <f t="shared" ref="W60:W62" si="88">K60*0.99</f>
        <v>0</v>
      </c>
      <c r="X60" s="533">
        <f t="shared" ref="X60:X62" si="89">L60*0.99</f>
        <v>0</v>
      </c>
      <c r="Y60" s="533">
        <f t="shared" ref="Y60:Y62" si="90">M60*0.99</f>
        <v>0</v>
      </c>
      <c r="Z60" s="533">
        <f t="shared" ref="Z60:Z62" si="91">N60*0.99</f>
        <v>0</v>
      </c>
      <c r="AA60" s="533">
        <f t="shared" ref="AA60:AA62" si="92">O60*0.99</f>
        <v>0</v>
      </c>
      <c r="AB60" s="533">
        <f t="shared" ref="AB60:AB62" si="93">P60*0.99</f>
        <v>0</v>
      </c>
      <c r="AC60" s="533">
        <f t="shared" ref="AC60:AH62" si="94">Q60*0.99</f>
        <v>0</v>
      </c>
      <c r="AD60" s="533">
        <f t="shared" si="94"/>
        <v>0</v>
      </c>
      <c r="AE60" s="533">
        <f t="shared" si="94"/>
        <v>0</v>
      </c>
      <c r="AF60" s="533">
        <f t="shared" si="94"/>
        <v>0</v>
      </c>
      <c r="AG60" s="533">
        <f t="shared" si="94"/>
        <v>0</v>
      </c>
      <c r="AH60" s="533">
        <f t="shared" si="94"/>
        <v>0</v>
      </c>
      <c r="AI60" s="526">
        <f t="shared" ref="AI60:AT60" si="95">AI61/2</f>
        <v>379.625</v>
      </c>
      <c r="AJ60" s="526">
        <f t="shared" si="95"/>
        <v>0</v>
      </c>
      <c r="AK60" s="526">
        <f t="shared" si="95"/>
        <v>0</v>
      </c>
      <c r="AL60" s="526">
        <f t="shared" si="95"/>
        <v>421.91199999999998</v>
      </c>
      <c r="AM60" s="526">
        <f t="shared" si="95"/>
        <v>0</v>
      </c>
      <c r="AN60" s="526">
        <f t="shared" si="95"/>
        <v>0</v>
      </c>
      <c r="AO60" s="526">
        <f t="shared" si="95"/>
        <v>398.84899999999999</v>
      </c>
      <c r="AP60" s="526">
        <f t="shared" si="95"/>
        <v>0</v>
      </c>
      <c r="AQ60" s="526">
        <f t="shared" si="95"/>
        <v>0</v>
      </c>
      <c r="AR60" s="526">
        <f t="shared" si="95"/>
        <v>398.84899999999999</v>
      </c>
      <c r="AS60" s="526">
        <f t="shared" si="95"/>
        <v>0</v>
      </c>
      <c r="AT60" s="526">
        <f t="shared" si="95"/>
        <v>0</v>
      </c>
      <c r="AU60" s="167">
        <v>1</v>
      </c>
      <c r="AV60" s="165">
        <v>1</v>
      </c>
      <c r="AW60" s="160"/>
      <c r="AX60" s="162"/>
      <c r="AY60" s="162"/>
      <c r="AZ60" s="199"/>
      <c r="BA60" s="202">
        <f t="shared" si="70"/>
        <v>0</v>
      </c>
      <c r="BB60" s="202">
        <f t="shared" si="71"/>
        <v>0</v>
      </c>
      <c r="BC60" s="202">
        <f t="shared" si="72"/>
        <v>0</v>
      </c>
      <c r="BD60" s="203">
        <f t="shared" ref="BD60:BD69" si="96">BA60/AI60</f>
        <v>0</v>
      </c>
      <c r="BE60" s="203">
        <v>0</v>
      </c>
      <c r="BF60" s="203">
        <v>0</v>
      </c>
      <c r="BH60" s="201"/>
      <c r="BI60" s="201"/>
      <c r="BJ60" s="201"/>
      <c r="BK60" s="201"/>
      <c r="BL60" s="201"/>
      <c r="BM60" s="201"/>
      <c r="BN60" s="201"/>
      <c r="BO60" s="201"/>
      <c r="BP60" s="201"/>
      <c r="BQ60" s="201"/>
      <c r="BR60" s="201"/>
    </row>
    <row r="61" spans="1:70">
      <c r="A61" s="162"/>
      <c r="B61" s="162" t="str">
        <f>Processes!D28</f>
        <v>RDCRDM</v>
      </c>
      <c r="C61" s="162" t="str">
        <f>Processes!E28</f>
        <v xml:space="preserve">Residential Demand Cooling Rural Detached -  - Medium </v>
      </c>
      <c r="D61" s="127" t="str">
        <f>Commodities!$C$55&amp;","&amp;Commodities!C74</f>
        <v>RESCRDB,RESCRDSM</v>
      </c>
      <c r="E61" s="191" t="str">
        <f>E60</f>
        <v>RCRDB</v>
      </c>
      <c r="G61" s="191"/>
      <c r="H61" s="49" cm="1">
        <f t="array" ref="H61">ROUNDUP(INDEX(Dem!$F$53:$H$56,MATCH(Buildings_DR!$E61,Dem!$B$17:$B$20,0),MATCH(RIGHT(H$51,3),Dem!$F$1:$H$1,0))*_xlfn.IFS(RIGHT($D61,1)="H",$H$48,RIGHT($D61,1)="M",$H$47,RIGHT($D61,1)="L",$H$46),2)</f>
        <v>1082.78</v>
      </c>
      <c r="I61" s="49" cm="1">
        <f t="array" ref="I61">ROUNDUP(INDEX(Dem!$F$53:$H$56,MATCH(Buildings_DR!$E61,Dem!$B$17:$B$20,0),MATCH(RIGHT(I$51,3),Dem!$F$1:$H$1,0))*_xlfn.IFS(RIGHT($D61,1)="H",$H$48,RIGHT($D61,1)="M",$H$47,RIGHT($D61,1)="L",$H$46),2)</f>
        <v>0</v>
      </c>
      <c r="J61" s="49" cm="1">
        <f t="array" ref="J61">ROUNDUP(INDEX(Dem!$F$53:$H$56,MATCH(Buildings_DR!$E61,Dem!$B$17:$B$20,0),MATCH(RIGHT(J$51,3),Dem!$F$1:$H$1,0))*_xlfn.IFS(RIGHT($D61,1)="H",$H$48,RIGHT($D61,1)="M",$H$47,RIGHT($D61,1)="L",$H$46),2)</f>
        <v>0</v>
      </c>
      <c r="K61" s="49" cm="1">
        <f t="array" ref="K61">ROUNDUP(INDEX(Dem!$F$57:$H$60,MATCH(Buildings_DR!$E61,Dem!$B$17:$B$20,0),MATCH(RIGHT(K$51,3),Dem!$F$1:$H$1,0))*_xlfn.IFS(RIGHT($D61,1)="H",$H$48,RIGHT($D61,1)="M",$H$47,RIGHT($D61,1)="L",$H$46),2)</f>
        <v>1116.8599999999999</v>
      </c>
      <c r="L61" s="49" cm="1">
        <f t="array" ref="L61">ROUNDUP(INDEX(Dem!$F$57:$H$60,MATCH(Buildings_DR!$E61,Dem!$B$17:$B$20,0),MATCH(RIGHT(L$51,3),Dem!$F$1:$H$1,0))*_xlfn.IFS(RIGHT($D61,1)="H",$H$48,RIGHT($D61,1)="M",$H$47,RIGHT($D61,1)="L",$H$46),2)</f>
        <v>0</v>
      </c>
      <c r="M61" s="49" cm="1">
        <f t="array" ref="M61">ROUNDUP(INDEX(Dem!$F$57:$H$60,MATCH(Buildings_DR!$E61,Dem!$B$17:$B$20,0),MATCH(RIGHT(M$51,3),Dem!$F$1:$H$1,0))*_xlfn.IFS(RIGHT($D61,1)="H",$H$48,RIGHT($D61,1)="M",$H$47,RIGHT($D61,1)="L",$H$46),2)</f>
        <v>0</v>
      </c>
      <c r="N61" s="49" cm="1">
        <f t="array" ref="N61">ROUNDUP(INDEX(Dem!$F$61:$H$64,MATCH(Buildings_DR!$E61,Dem!$B$17:$B$20,0),MATCH(RIGHT(N$51,3),Dem!$F$1:$H$1,0))*_xlfn.IFS(RIGHT($D61,1)="H",$H$48,RIGHT($D61,1)="M",$H$47,RIGHT($D61,1)="L",$H$46),2)</f>
        <v>1133.5999999999999</v>
      </c>
      <c r="O61" s="49" cm="1">
        <f t="array" ref="O61">ROUNDUP(INDEX(Dem!$F$61:$H$64,MATCH(Buildings_DR!$E61,Dem!$B$17:$B$20,0),MATCH(RIGHT(O$51,3),Dem!$F$1:$H$1,0))*_xlfn.IFS(RIGHT($D61,1)="H",$H$48,RIGHT($D61,1)="M",$H$47,RIGHT($D61,1)="L",$H$46),2)</f>
        <v>0</v>
      </c>
      <c r="P61" s="49" cm="1">
        <f t="array" ref="P61">ROUNDUP(INDEX(Dem!$F$61:$H$64,MATCH(Buildings_DR!$E61,Dem!$B$17:$B$20,0),MATCH(RIGHT(P$51,3),Dem!$F$1:$H$1,0))*_xlfn.IFS(RIGHT($D61,1)="H",$H$48,RIGHT($D61,1)="M",$H$47,RIGHT($D61,1)="L",$H$46),2)</f>
        <v>0</v>
      </c>
      <c r="Q61" s="533">
        <f t="shared" si="86"/>
        <v>649.66800000000001</v>
      </c>
      <c r="R61" s="533">
        <f t="shared" si="86"/>
        <v>0</v>
      </c>
      <c r="S61" s="533">
        <f t="shared" si="86"/>
        <v>0</v>
      </c>
      <c r="T61" s="533">
        <f>H61*0.99</f>
        <v>1071.9521999999999</v>
      </c>
      <c r="U61" s="533">
        <f t="shared" si="87"/>
        <v>0</v>
      </c>
      <c r="V61" s="533">
        <f t="shared" si="87"/>
        <v>0</v>
      </c>
      <c r="W61" s="533">
        <f t="shared" si="88"/>
        <v>1105.6913999999999</v>
      </c>
      <c r="X61" s="533">
        <f t="shared" si="89"/>
        <v>0</v>
      </c>
      <c r="Y61" s="533">
        <f t="shared" si="90"/>
        <v>0</v>
      </c>
      <c r="Z61" s="533">
        <f t="shared" si="91"/>
        <v>1122.2639999999999</v>
      </c>
      <c r="AA61" s="533">
        <f t="shared" si="92"/>
        <v>0</v>
      </c>
      <c r="AB61" s="533">
        <f t="shared" si="93"/>
        <v>0</v>
      </c>
      <c r="AC61" s="533">
        <f t="shared" si="94"/>
        <v>643.17132000000004</v>
      </c>
      <c r="AD61" s="533">
        <f t="shared" si="94"/>
        <v>0</v>
      </c>
      <c r="AE61" s="533">
        <f t="shared" si="94"/>
        <v>0</v>
      </c>
      <c r="AF61" s="533">
        <v>5</v>
      </c>
      <c r="AG61" s="533">
        <f t="shared" si="94"/>
        <v>0</v>
      </c>
      <c r="AH61" s="533">
        <f t="shared" si="94"/>
        <v>0</v>
      </c>
      <c r="AI61" s="527">
        <f>ROUNDUP(SUM(H60:H66)/Cooling!AA8,3)</f>
        <v>759.25</v>
      </c>
      <c r="AJ61" s="527">
        <v>0</v>
      </c>
      <c r="AK61" s="527">
        <v>0</v>
      </c>
      <c r="AL61" s="527">
        <f>ROUNDUP(SUM(K60:K66)/Cooling!AA12,3)</f>
        <v>843.82399999999996</v>
      </c>
      <c r="AM61" s="527">
        <v>0</v>
      </c>
      <c r="AN61" s="527">
        <v>0</v>
      </c>
      <c r="AO61" s="527">
        <f>ROUNDUP(SUM(N60:N66)/Cooling!AA16,3)</f>
        <v>797.69799999999998</v>
      </c>
      <c r="AP61" s="527">
        <v>0</v>
      </c>
      <c r="AQ61" s="527">
        <v>0</v>
      </c>
      <c r="AR61" s="527">
        <f>AO61</f>
        <v>797.69799999999998</v>
      </c>
      <c r="AS61" s="527">
        <f>AP61</f>
        <v>0</v>
      </c>
      <c r="AT61" s="527">
        <f>AQ61</f>
        <v>0</v>
      </c>
      <c r="AU61" s="163">
        <v>1</v>
      </c>
      <c r="AV61" s="162">
        <v>1</v>
      </c>
      <c r="AW61" s="160"/>
      <c r="AX61" s="162"/>
      <c r="AY61" s="162"/>
      <c r="AZ61" s="199"/>
      <c r="BA61" s="202">
        <f t="shared" si="70"/>
        <v>1082.78</v>
      </c>
      <c r="BB61" s="202">
        <f t="shared" si="71"/>
        <v>0</v>
      </c>
      <c r="BC61" s="202">
        <f t="shared" si="72"/>
        <v>0</v>
      </c>
      <c r="BD61" s="203">
        <f t="shared" si="96"/>
        <v>1.4261178794863352</v>
      </c>
      <c r="BE61" s="203">
        <v>0</v>
      </c>
      <c r="BF61" s="203">
        <v>0</v>
      </c>
      <c r="BH61" s="201"/>
      <c r="BI61" s="201"/>
      <c r="BJ61" s="201"/>
      <c r="BK61" s="201"/>
      <c r="BL61" s="201"/>
      <c r="BM61" s="201"/>
      <c r="BN61" s="201"/>
      <c r="BO61" s="201"/>
      <c r="BP61" s="201"/>
      <c r="BQ61" s="201"/>
      <c r="BR61" s="201"/>
    </row>
    <row r="62" spans="1:70">
      <c r="A62" s="162"/>
      <c r="B62" s="162" t="str">
        <f>Processes!D29</f>
        <v>RDCRDH</v>
      </c>
      <c r="C62" s="162" t="str">
        <f>Processes!E29</f>
        <v xml:space="preserve">Residential Demand Cooling Rural Detached -  - High </v>
      </c>
      <c r="D62" s="127" t="str">
        <f>Commodities!$C$55&amp;","&amp;Commodities!C75</f>
        <v>RESCRDB,RESCRDSH</v>
      </c>
      <c r="E62" s="191" t="str">
        <f>E61</f>
        <v>RCRDB</v>
      </c>
      <c r="G62" s="191"/>
      <c r="H62" s="49" cm="1">
        <f t="array" ref="H62">ROUNDUP(INDEX(Dem!$F$53:$H$56,MATCH(Buildings_DR!$E62,Dem!$B$17:$B$20,0),MATCH(RIGHT(H$51,3),Dem!$F$1:$H$1,0))*_xlfn.IFS(RIGHT($D62,1)="H",$H$48,RIGHT($D62,1)="M",$H$47,RIGHT($D62,1)="L",$H$46),2)</f>
        <v>0</v>
      </c>
      <c r="I62" s="49" cm="1">
        <f t="array" ref="I62">ROUNDUP(INDEX(Dem!$F$53:$H$56,MATCH(Buildings_DR!$E62,Dem!$B$17:$B$20,0),MATCH(RIGHT(I$51,3),Dem!$F$1:$H$1,0))*_xlfn.IFS(RIGHT($D62,1)="H",$H$48,RIGHT($D62,1)="M",$H$47,RIGHT($D62,1)="L",$H$46),2)</f>
        <v>0</v>
      </c>
      <c r="J62" s="49" cm="1">
        <f t="array" ref="J62">ROUNDUP(INDEX(Dem!$F$53:$H$56,MATCH(Buildings_DR!$E62,Dem!$B$17:$B$20,0),MATCH(RIGHT(J$51,3),Dem!$F$1:$H$1,0))*_xlfn.IFS(RIGHT($D62,1)="H",$H$48,RIGHT($D62,1)="M",$H$47,RIGHT($D62,1)="L",$H$46),2)</f>
        <v>0</v>
      </c>
      <c r="K62" s="49" cm="1">
        <f t="array" ref="K62">ROUNDUP(INDEX(Dem!$F$57:$H$60,MATCH(Buildings_DR!$E62,Dem!$B$17:$B$20,0),MATCH(RIGHT(K$51,3),Dem!$F$1:$H$1,0))*_xlfn.IFS(RIGHT($D62,1)="H",$H$48,RIGHT($D62,1)="M",$H$47,RIGHT($D62,1)="L",$H$46),2)</f>
        <v>0</v>
      </c>
      <c r="L62" s="49" cm="1">
        <f t="array" ref="L62">ROUNDUP(INDEX(Dem!$F$57:$H$60,MATCH(Buildings_DR!$E62,Dem!$B$17:$B$20,0),MATCH(RIGHT(L$51,3),Dem!$F$1:$H$1,0))*_xlfn.IFS(RIGHT($D62,1)="H",$H$48,RIGHT($D62,1)="M",$H$47,RIGHT($D62,1)="L",$H$46),2)</f>
        <v>0</v>
      </c>
      <c r="M62" s="49" cm="1">
        <f t="array" ref="M62">ROUNDUP(INDEX(Dem!$F$57:$H$60,MATCH(Buildings_DR!$E62,Dem!$B$17:$B$20,0),MATCH(RIGHT(M$51,3),Dem!$F$1:$H$1,0))*_xlfn.IFS(RIGHT($D62,1)="H",$H$48,RIGHT($D62,1)="M",$H$47,RIGHT($D62,1)="L",$H$46),2)</f>
        <v>0</v>
      </c>
      <c r="N62" s="49" cm="1">
        <f t="array" ref="N62">ROUNDUP(INDEX(Dem!$F$61:$H$64,MATCH(Buildings_DR!$E62,Dem!$B$17:$B$20,0),MATCH(RIGHT(N$51,3),Dem!$F$1:$H$1,0))*_xlfn.IFS(RIGHT($D62,1)="H",$H$48,RIGHT($D62,1)="M",$H$47,RIGHT($D62,1)="L",$H$46),2)</f>
        <v>0</v>
      </c>
      <c r="O62" s="49" cm="1">
        <f t="array" ref="O62">ROUNDUP(INDEX(Dem!$F$61:$H$64,MATCH(Buildings_DR!$E62,Dem!$B$17:$B$20,0),MATCH(RIGHT(O$51,3),Dem!$F$1:$H$1,0))*_xlfn.IFS(RIGHT($D62,1)="H",$H$48,RIGHT($D62,1)="M",$H$47,RIGHT($D62,1)="L",$H$46),2)</f>
        <v>0</v>
      </c>
      <c r="P62" s="49" cm="1">
        <f t="array" ref="P62">ROUNDUP(INDEX(Dem!$F$61:$H$64,MATCH(Buildings_DR!$E62,Dem!$B$17:$B$20,0),MATCH(RIGHT(P$51,3),Dem!$F$1:$H$1,0))*_xlfn.IFS(RIGHT($D62,1)="H",$H$48,RIGHT($D62,1)="M",$H$47,RIGHT($D62,1)="L",$H$46),2)</f>
        <v>0</v>
      </c>
      <c r="Q62" s="533">
        <f t="shared" si="86"/>
        <v>0</v>
      </c>
      <c r="R62" s="533">
        <f t="shared" si="86"/>
        <v>0</v>
      </c>
      <c r="S62" s="533">
        <f t="shared" si="86"/>
        <v>0</v>
      </c>
      <c r="T62" s="533">
        <f t="shared" si="87"/>
        <v>0</v>
      </c>
      <c r="U62" s="533">
        <f t="shared" si="87"/>
        <v>0</v>
      </c>
      <c r="V62" s="533">
        <f t="shared" si="87"/>
        <v>0</v>
      </c>
      <c r="W62" s="533">
        <f t="shared" si="88"/>
        <v>0</v>
      </c>
      <c r="X62" s="533">
        <f t="shared" si="89"/>
        <v>0</v>
      </c>
      <c r="Y62" s="533">
        <f t="shared" si="90"/>
        <v>0</v>
      </c>
      <c r="Z62" s="533">
        <f t="shared" si="91"/>
        <v>0</v>
      </c>
      <c r="AA62" s="533">
        <f t="shared" si="92"/>
        <v>0</v>
      </c>
      <c r="AB62" s="533">
        <f t="shared" si="93"/>
        <v>0</v>
      </c>
      <c r="AC62" s="533">
        <f t="shared" si="94"/>
        <v>0</v>
      </c>
      <c r="AD62" s="533">
        <f t="shared" si="94"/>
        <v>0</v>
      </c>
      <c r="AE62" s="533">
        <f t="shared" si="94"/>
        <v>0</v>
      </c>
      <c r="AF62" s="533">
        <f t="shared" si="94"/>
        <v>0</v>
      </c>
      <c r="AG62" s="533">
        <f t="shared" si="94"/>
        <v>0</v>
      </c>
      <c r="AH62" s="533">
        <f t="shared" si="94"/>
        <v>0</v>
      </c>
      <c r="AI62" s="527">
        <f t="shared" ref="AI62:AQ62" si="97">AI61/2+AI63/2</f>
        <v>1074.7374429223744</v>
      </c>
      <c r="AJ62" s="527">
        <f t="shared" si="97"/>
        <v>695.11244292237438</v>
      </c>
      <c r="AK62" s="527">
        <f t="shared" si="97"/>
        <v>695.11244292237438</v>
      </c>
      <c r="AL62" s="527">
        <f t="shared" si="97"/>
        <v>1117.0244429223744</v>
      </c>
      <c r="AM62" s="527">
        <f t="shared" si="97"/>
        <v>695.11244292237438</v>
      </c>
      <c r="AN62" s="527">
        <f t="shared" si="97"/>
        <v>695.11244292237438</v>
      </c>
      <c r="AO62" s="527">
        <f t="shared" si="97"/>
        <v>1093.9614429223743</v>
      </c>
      <c r="AP62" s="527">
        <f t="shared" si="97"/>
        <v>695.11244292237438</v>
      </c>
      <c r="AQ62" s="527">
        <f t="shared" si="97"/>
        <v>695.11244292237438</v>
      </c>
      <c r="AR62" s="527">
        <f t="shared" ref="AR62:AT62" si="98">AR61/2+AR63/2</f>
        <v>1093.9614429223743</v>
      </c>
      <c r="AS62" s="527">
        <f t="shared" si="98"/>
        <v>695.11244292237438</v>
      </c>
      <c r="AT62" s="527">
        <f t="shared" si="98"/>
        <v>695.11244292237438</v>
      </c>
      <c r="AU62" s="163">
        <v>1</v>
      </c>
      <c r="AV62" s="162">
        <v>1</v>
      </c>
      <c r="AW62" s="162"/>
      <c r="AX62" s="162"/>
      <c r="AY62" s="162"/>
      <c r="AZ62" s="199"/>
      <c r="BA62" s="202">
        <f t="shared" si="70"/>
        <v>0</v>
      </c>
      <c r="BB62" s="202">
        <f t="shared" si="71"/>
        <v>0</v>
      </c>
      <c r="BC62" s="202">
        <f t="shared" si="72"/>
        <v>0</v>
      </c>
      <c r="BD62" s="203">
        <f t="shared" si="96"/>
        <v>0</v>
      </c>
      <c r="BE62" s="203">
        <f t="shared" ref="BE62:BE69" si="99">BB62/AJ62</f>
        <v>0</v>
      </c>
      <c r="BF62" s="203">
        <f t="shared" ref="BF62:BF69" si="100">BC62/AK62</f>
        <v>0</v>
      </c>
      <c r="BH62" s="201"/>
      <c r="BI62" s="201"/>
      <c r="BJ62" s="201"/>
      <c r="BK62" s="201"/>
      <c r="BL62" s="201"/>
      <c r="BM62" s="201"/>
      <c r="BN62" s="201"/>
      <c r="BO62" s="201"/>
      <c r="BP62" s="201"/>
      <c r="BQ62" s="201"/>
      <c r="BR62" s="201"/>
    </row>
    <row r="63" spans="1:70">
      <c r="B63" s="162" t="str">
        <f>Processes!D30</f>
        <v>RDCRDN</v>
      </c>
      <c r="C63" s="162" t="str">
        <f>Processes!E30</f>
        <v xml:space="preserve">Residential Demand Cooling Rural Detached -  - New </v>
      </c>
      <c r="D63" s="133" t="str">
        <f>Commodities!$C$55</f>
        <v>RESCRDB</v>
      </c>
      <c r="E63" s="191" t="str">
        <f>E62</f>
        <v>RCRDB</v>
      </c>
      <c r="F63" s="156">
        <v>2011</v>
      </c>
      <c r="G63" s="191">
        <v>2011</v>
      </c>
      <c r="H63" s="49"/>
      <c r="I63" s="49"/>
      <c r="J63" s="49"/>
      <c r="K63" s="49"/>
      <c r="L63" s="49"/>
      <c r="M63" s="49"/>
      <c r="N63" s="49"/>
      <c r="O63" s="49"/>
      <c r="P63" s="49"/>
      <c r="Q63" s="533"/>
      <c r="R63" s="533"/>
      <c r="S63" s="533"/>
      <c r="T63" s="533"/>
      <c r="U63" s="533"/>
      <c r="V63" s="533"/>
      <c r="W63" s="533"/>
      <c r="X63" s="533"/>
      <c r="Y63" s="533"/>
      <c r="Z63" s="533"/>
      <c r="AA63" s="533"/>
      <c r="AB63" s="533"/>
      <c r="AC63" s="533"/>
      <c r="AD63" s="533"/>
      <c r="AE63" s="533"/>
      <c r="AF63" s="533"/>
      <c r="AG63" s="533"/>
      <c r="AH63" s="533"/>
      <c r="AI63" s="528">
        <f t="shared" ref="AI63:AQ63" si="101">$AI$61*AI19/$AI$17</f>
        <v>1390.2248858447488</v>
      </c>
      <c r="AJ63" s="528">
        <f t="shared" si="101"/>
        <v>1390.2248858447488</v>
      </c>
      <c r="AK63" s="528">
        <f t="shared" si="101"/>
        <v>1390.2248858447488</v>
      </c>
      <c r="AL63" s="528">
        <f t="shared" si="101"/>
        <v>1390.2248858447488</v>
      </c>
      <c r="AM63" s="528">
        <f t="shared" si="101"/>
        <v>1390.2248858447488</v>
      </c>
      <c r="AN63" s="528">
        <f t="shared" si="101"/>
        <v>1390.2248858447488</v>
      </c>
      <c r="AO63" s="528">
        <f t="shared" si="101"/>
        <v>1390.2248858447488</v>
      </c>
      <c r="AP63" s="528">
        <f t="shared" si="101"/>
        <v>1390.2248858447488</v>
      </c>
      <c r="AQ63" s="528">
        <f t="shared" si="101"/>
        <v>1390.2248858447488</v>
      </c>
      <c r="AR63" s="528">
        <f t="shared" ref="AR63:AT63" si="102">$AI$61*AR19/$AI$17</f>
        <v>1390.2248858447488</v>
      </c>
      <c r="AS63" s="528">
        <f t="shared" si="102"/>
        <v>1390.2248858447488</v>
      </c>
      <c r="AT63" s="528">
        <f t="shared" si="102"/>
        <v>1390.2248858447488</v>
      </c>
      <c r="AU63" s="163">
        <v>1</v>
      </c>
      <c r="AV63" s="168">
        <v>1</v>
      </c>
      <c r="AW63" s="162">
        <v>100</v>
      </c>
      <c r="AX63" s="162"/>
      <c r="AY63" s="162"/>
      <c r="BA63" s="202">
        <f t="shared" si="70"/>
        <v>0</v>
      </c>
      <c r="BB63" s="202">
        <f t="shared" si="71"/>
        <v>0</v>
      </c>
      <c r="BC63" s="202">
        <f t="shared" si="72"/>
        <v>0</v>
      </c>
      <c r="BD63" s="203">
        <f t="shared" si="96"/>
        <v>0</v>
      </c>
      <c r="BE63" s="203">
        <f t="shared" si="99"/>
        <v>0</v>
      </c>
      <c r="BF63" s="203">
        <f t="shared" si="100"/>
        <v>0</v>
      </c>
      <c r="BH63" s="201"/>
      <c r="BI63" s="201"/>
      <c r="BJ63" s="201"/>
      <c r="BK63" s="201"/>
      <c r="BL63" s="661"/>
      <c r="BM63" s="661"/>
      <c r="BN63" s="661"/>
      <c r="BO63" s="201"/>
      <c r="BP63" s="201"/>
      <c r="BQ63" s="201"/>
      <c r="BR63" s="201"/>
    </row>
    <row r="64" spans="1:70">
      <c r="B64" s="162"/>
      <c r="C64" s="162"/>
      <c r="D64" s="557"/>
      <c r="E64" s="191"/>
      <c r="F64" s="156">
        <v>2016</v>
      </c>
      <c r="H64" s="49"/>
      <c r="I64" s="49"/>
      <c r="J64" s="49"/>
      <c r="K64" s="49"/>
      <c r="L64" s="49"/>
      <c r="M64" s="49"/>
      <c r="N64" s="49"/>
      <c r="O64" s="49"/>
      <c r="P64" s="49"/>
      <c r="Q64" s="533"/>
      <c r="R64" s="533"/>
      <c r="S64" s="533"/>
      <c r="T64" s="533"/>
      <c r="U64" s="533"/>
      <c r="V64" s="533"/>
      <c r="W64" s="533"/>
      <c r="X64" s="533"/>
      <c r="Y64" s="533"/>
      <c r="Z64" s="533"/>
      <c r="AA64" s="533"/>
      <c r="AB64" s="533"/>
      <c r="AC64" s="533"/>
      <c r="AD64" s="533"/>
      <c r="AE64" s="533"/>
      <c r="AF64" s="533"/>
      <c r="AG64" s="533"/>
      <c r="AH64" s="533"/>
      <c r="AI64" s="528">
        <f t="shared" ref="AI64:AQ64" si="103">$AI$61*AI20/$AI$17</f>
        <v>1646.7751141552512</v>
      </c>
      <c r="AJ64" s="528">
        <f t="shared" si="103"/>
        <v>1646.7751141552512</v>
      </c>
      <c r="AK64" s="528">
        <f t="shared" si="103"/>
        <v>1646.7751141552512</v>
      </c>
      <c r="AL64" s="528">
        <f t="shared" si="103"/>
        <v>1646.7751141552512</v>
      </c>
      <c r="AM64" s="528">
        <f t="shared" si="103"/>
        <v>1646.7751141552512</v>
      </c>
      <c r="AN64" s="528">
        <f t="shared" si="103"/>
        <v>1646.7751141552512</v>
      </c>
      <c r="AO64" s="528">
        <f t="shared" si="103"/>
        <v>1646.7751141552512</v>
      </c>
      <c r="AP64" s="528">
        <f t="shared" si="103"/>
        <v>1646.7751141552512</v>
      </c>
      <c r="AQ64" s="528">
        <f t="shared" si="103"/>
        <v>1646.7751141552512</v>
      </c>
      <c r="AR64" s="528">
        <f t="shared" ref="AR64:AT64" si="104">$AI$61*AR20/$AI$17</f>
        <v>1646.7751141552512</v>
      </c>
      <c r="AS64" s="528">
        <f t="shared" si="104"/>
        <v>1646.7751141552512</v>
      </c>
      <c r="AT64" s="528">
        <f t="shared" si="104"/>
        <v>1646.7751141552512</v>
      </c>
      <c r="AU64" s="163">
        <v>1</v>
      </c>
      <c r="AV64" s="168">
        <v>1</v>
      </c>
      <c r="AW64" s="162">
        <v>100</v>
      </c>
      <c r="AX64" s="162"/>
      <c r="AY64" s="162"/>
      <c r="BA64" s="202">
        <f t="shared" si="70"/>
        <v>0</v>
      </c>
      <c r="BB64" s="202">
        <f t="shared" si="71"/>
        <v>0</v>
      </c>
      <c r="BC64" s="202">
        <f t="shared" si="72"/>
        <v>0</v>
      </c>
      <c r="BD64" s="203">
        <f t="shared" si="96"/>
        <v>0</v>
      </c>
      <c r="BE64" s="203">
        <f t="shared" si="99"/>
        <v>0</v>
      </c>
      <c r="BF64" s="203">
        <f t="shared" si="100"/>
        <v>0</v>
      </c>
      <c r="BH64" s="201"/>
      <c r="BI64" s="201"/>
      <c r="BJ64" s="201"/>
      <c r="BK64" s="201"/>
      <c r="BL64" s="201"/>
      <c r="BM64" s="201"/>
      <c r="BN64" s="201"/>
      <c r="BO64" s="201"/>
      <c r="BP64" s="201"/>
      <c r="BQ64" s="201"/>
      <c r="BR64" s="201"/>
    </row>
    <row r="65" spans="1:70">
      <c r="B65" s="162"/>
      <c r="C65" s="162"/>
      <c r="D65" s="557"/>
      <c r="E65" s="191"/>
      <c r="F65" s="156">
        <v>2021</v>
      </c>
      <c r="H65" s="49"/>
      <c r="I65" s="49"/>
      <c r="J65" s="49"/>
      <c r="K65" s="49"/>
      <c r="L65" s="49"/>
      <c r="M65" s="49"/>
      <c r="N65" s="49"/>
      <c r="O65" s="49"/>
      <c r="P65" s="49"/>
      <c r="Q65" s="533"/>
      <c r="R65" s="533"/>
      <c r="S65" s="533"/>
      <c r="T65" s="533"/>
      <c r="U65" s="533"/>
      <c r="V65" s="533"/>
      <c r="W65" s="533"/>
      <c r="X65" s="533"/>
      <c r="Y65" s="533"/>
      <c r="Z65" s="533"/>
      <c r="AA65" s="533"/>
      <c r="AB65" s="533"/>
      <c r="AC65" s="533"/>
      <c r="AD65" s="533"/>
      <c r="AE65" s="533"/>
      <c r="AF65" s="533"/>
      <c r="AG65" s="533"/>
      <c r="AH65" s="533"/>
      <c r="AI65" s="528">
        <f t="shared" ref="AI65:AQ65" si="105">$AI$61*AI21/$AI$17</f>
        <v>2107.8721461187215</v>
      </c>
      <c r="AJ65" s="528">
        <f t="shared" si="105"/>
        <v>2107.8721461187215</v>
      </c>
      <c r="AK65" s="528">
        <f t="shared" si="105"/>
        <v>2107.8721461187215</v>
      </c>
      <c r="AL65" s="528">
        <f t="shared" si="105"/>
        <v>2107.8721461187215</v>
      </c>
      <c r="AM65" s="528">
        <f t="shared" si="105"/>
        <v>2107.8721461187215</v>
      </c>
      <c r="AN65" s="528">
        <f t="shared" si="105"/>
        <v>2107.8721461187215</v>
      </c>
      <c r="AO65" s="528">
        <f t="shared" si="105"/>
        <v>2107.8721461187215</v>
      </c>
      <c r="AP65" s="528">
        <f t="shared" si="105"/>
        <v>2107.8721461187215</v>
      </c>
      <c r="AQ65" s="528">
        <f t="shared" si="105"/>
        <v>2107.8721461187215</v>
      </c>
      <c r="AR65" s="528">
        <f t="shared" ref="AR65:AT65" si="106">$AI$61*AR21/$AI$17</f>
        <v>2107.8721461187215</v>
      </c>
      <c r="AS65" s="528">
        <f t="shared" si="106"/>
        <v>2107.8721461187215</v>
      </c>
      <c r="AT65" s="528">
        <f t="shared" si="106"/>
        <v>2107.8721461187215</v>
      </c>
      <c r="AU65" s="163">
        <v>1</v>
      </c>
      <c r="AV65" s="168">
        <v>1</v>
      </c>
      <c r="AW65" s="162">
        <v>100</v>
      </c>
      <c r="AX65" s="162"/>
      <c r="AY65" s="162"/>
      <c r="BA65" s="202">
        <f t="shared" si="70"/>
        <v>0</v>
      </c>
      <c r="BB65" s="202">
        <f t="shared" si="71"/>
        <v>0</v>
      </c>
      <c r="BC65" s="202">
        <f t="shared" si="72"/>
        <v>0</v>
      </c>
      <c r="BD65" s="203">
        <f t="shared" si="96"/>
        <v>0</v>
      </c>
      <c r="BE65" s="203">
        <f t="shared" si="99"/>
        <v>0</v>
      </c>
      <c r="BF65" s="203">
        <f t="shared" si="100"/>
        <v>0</v>
      </c>
      <c r="BH65" s="201"/>
      <c r="BI65" s="201"/>
      <c r="BJ65" s="201"/>
      <c r="BK65" s="201"/>
      <c r="BL65" s="201"/>
      <c r="BM65" s="201"/>
      <c r="BN65" s="201"/>
      <c r="BO65" s="201"/>
      <c r="BP65" s="201"/>
      <c r="BQ65" s="201"/>
      <c r="BR65" s="201"/>
    </row>
    <row r="66" spans="1:70" ht="13.8" thickBot="1">
      <c r="B66" s="162"/>
      <c r="C66" s="162"/>
      <c r="D66" s="557"/>
      <c r="E66" s="212"/>
      <c r="F66" s="164">
        <v>2031</v>
      </c>
      <c r="G66" s="164"/>
      <c r="H66" s="530"/>
      <c r="I66" s="530"/>
      <c r="J66" s="530"/>
      <c r="K66" s="530"/>
      <c r="L66" s="530"/>
      <c r="M66" s="530"/>
      <c r="N66" s="530"/>
      <c r="O66" s="530"/>
      <c r="P66" s="530"/>
      <c r="Q66" s="533"/>
      <c r="R66" s="533"/>
      <c r="S66" s="533"/>
      <c r="T66" s="533"/>
      <c r="U66" s="533"/>
      <c r="V66" s="533"/>
      <c r="W66" s="533"/>
      <c r="X66" s="533"/>
      <c r="Y66" s="533"/>
      <c r="Z66" s="533"/>
      <c r="AA66" s="533"/>
      <c r="AB66" s="533"/>
      <c r="AC66" s="533"/>
      <c r="AD66" s="533"/>
      <c r="AE66" s="533"/>
      <c r="AF66" s="533"/>
      <c r="AG66" s="533"/>
      <c r="AH66" s="533"/>
      <c r="AI66" s="528">
        <f t="shared" ref="AI66:AQ66" si="107">$AI$61*AI22/$AI$17</f>
        <v>2406.0251141552517</v>
      </c>
      <c r="AJ66" s="528">
        <f t="shared" si="107"/>
        <v>2406.0251141552517</v>
      </c>
      <c r="AK66" s="528">
        <f t="shared" si="107"/>
        <v>2406.0251141552517</v>
      </c>
      <c r="AL66" s="528">
        <f t="shared" si="107"/>
        <v>2406.0251141552517</v>
      </c>
      <c r="AM66" s="528">
        <f t="shared" si="107"/>
        <v>2406.0251141552517</v>
      </c>
      <c r="AN66" s="528">
        <f t="shared" si="107"/>
        <v>2406.0251141552517</v>
      </c>
      <c r="AO66" s="528">
        <f t="shared" si="107"/>
        <v>2406.0251141552517</v>
      </c>
      <c r="AP66" s="528">
        <f t="shared" si="107"/>
        <v>2406.0251141552517</v>
      </c>
      <c r="AQ66" s="528">
        <f t="shared" si="107"/>
        <v>2406.0251141552517</v>
      </c>
      <c r="AR66" s="528">
        <f t="shared" ref="AR66:AT66" si="108">$AI$61*AR22/$AI$17</f>
        <v>2406.0251141552517</v>
      </c>
      <c r="AS66" s="528">
        <f t="shared" si="108"/>
        <v>2406.0251141552517</v>
      </c>
      <c r="AT66" s="528">
        <f t="shared" si="108"/>
        <v>2406.0251141552517</v>
      </c>
      <c r="AU66" s="163">
        <v>1</v>
      </c>
      <c r="AV66" s="168">
        <v>1</v>
      </c>
      <c r="AW66" s="162">
        <v>100</v>
      </c>
      <c r="AX66" s="162"/>
      <c r="AY66" s="162"/>
      <c r="AZ66" s="199"/>
      <c r="BA66" s="202">
        <f t="shared" si="70"/>
        <v>0</v>
      </c>
      <c r="BB66" s="202">
        <f t="shared" si="71"/>
        <v>0</v>
      </c>
      <c r="BC66" s="202">
        <f t="shared" si="72"/>
        <v>0</v>
      </c>
      <c r="BD66" s="203">
        <f t="shared" si="96"/>
        <v>0</v>
      </c>
      <c r="BE66" s="203">
        <f t="shared" si="99"/>
        <v>0</v>
      </c>
      <c r="BF66" s="203">
        <f t="shared" si="100"/>
        <v>0</v>
      </c>
      <c r="BH66" s="201"/>
      <c r="BI66" s="201"/>
      <c r="BJ66" s="201"/>
      <c r="BK66" s="201"/>
      <c r="BL66" s="201"/>
      <c r="BM66" s="201"/>
      <c r="BN66" s="201"/>
      <c r="BO66" s="201"/>
      <c r="BP66" s="201"/>
      <c r="BQ66" s="201"/>
      <c r="BR66" s="201"/>
    </row>
    <row r="67" spans="1:70" ht="13.8" thickBot="1">
      <c r="B67" s="165" t="str">
        <f>Processes!D31</f>
        <v>RDCUML</v>
      </c>
      <c r="C67" s="165" t="str">
        <f>Processes!E31</f>
        <v xml:space="preserve">Residential Demand Cooling Urban Multi -  - Low </v>
      </c>
      <c r="D67" s="127" t="str">
        <f>Commodities!$C$56&amp;","&amp;Commodities!C76</f>
        <v>RESCUMB,RESCUMSL</v>
      </c>
      <c r="E67" s="7" t="str">
        <f>Commodities!C13</f>
        <v>RCUMB</v>
      </c>
      <c r="G67" s="166"/>
      <c r="H67" s="49" cm="1">
        <f t="array" ref="H67">ROUNDUP(INDEX(Dem!$F$53:$H$56,MATCH(Buildings_DR!$E67,Dem!$B$17:$B$20,0),MATCH(RIGHT(H$51,3),Dem!$F$1:$H$1,0))*_xlfn.IFS(RIGHT($D67,1)="H",$H$48,RIGHT($D67,1)="M",$H$47,RIGHT($D67,1)="L",$H$46),2)</f>
        <v>0</v>
      </c>
      <c r="I67" s="49" cm="1">
        <f t="array" ref="I67">ROUNDUP(INDEX(Dem!$F$53:$H$56,MATCH(Buildings_DR!$E67,Dem!$B$17:$B$20,0),MATCH(RIGHT(I$51,3),Dem!$F$1:$H$1,0))*_xlfn.IFS(RIGHT($D67,1)="H",$H$48,RIGHT($D67,1)="M",$H$47,RIGHT($D67,1)="L",$H$46),2)</f>
        <v>0</v>
      </c>
      <c r="J67" s="49" cm="1">
        <f t="array" ref="J67">ROUNDUP(INDEX(Dem!$F$53:$H$56,MATCH(Buildings_DR!$E67,Dem!$B$17:$B$20,0),MATCH(RIGHT(J$51,3),Dem!$F$1:$H$1,0))*_xlfn.IFS(RIGHT($D67,1)="H",$H$48,RIGHT($D67,1)="M",$H$47,RIGHT($D67,1)="L",$H$46),2)</f>
        <v>0</v>
      </c>
      <c r="K67" s="49" cm="1">
        <f t="array" ref="K67">ROUNDUP(INDEX(Dem!$F$57:$H$60,MATCH(Buildings_DR!$E67,Dem!$B$17:$B$20,0),MATCH(RIGHT(K$51,3),Dem!$F$1:$H$1,0))*_xlfn.IFS(RIGHT($D67,1)="H",$H$48,RIGHT($D67,1)="M",$H$47,RIGHT($D67,1)="L",$H$46),2)</f>
        <v>0</v>
      </c>
      <c r="L67" s="49" cm="1">
        <f t="array" ref="L67">ROUNDUP(INDEX(Dem!$F$57:$H$60,MATCH(Buildings_DR!$E67,Dem!$B$17:$B$20,0),MATCH(RIGHT(L$51,3),Dem!$F$1:$H$1,0))*_xlfn.IFS(RIGHT($D67,1)="H",$H$48,RIGHT($D67,1)="M",$H$47,RIGHT($D67,1)="L",$H$46),2)</f>
        <v>0</v>
      </c>
      <c r="M67" s="49" cm="1">
        <f t="array" ref="M67">ROUNDUP(INDEX(Dem!$F$57:$H$60,MATCH(Buildings_DR!$E67,Dem!$B$17:$B$20,0),MATCH(RIGHT(M$51,3),Dem!$F$1:$H$1,0))*_xlfn.IFS(RIGHT($D67,1)="H",$H$48,RIGHT($D67,1)="M",$H$47,RIGHT($D67,1)="L",$H$46),2)</f>
        <v>0</v>
      </c>
      <c r="N67" s="49" cm="1">
        <f t="array" ref="N67">ROUNDUP(INDEX(Dem!$F$61:$H$64,MATCH(Buildings_DR!$E67,Dem!$B$17:$B$20,0),MATCH(RIGHT(N$51,3),Dem!$F$1:$H$1,0))*_xlfn.IFS(RIGHT($D67,1)="H",$H$48,RIGHT($D67,1)="M",$H$47,RIGHT($D67,1)="L",$H$46),2)</f>
        <v>0</v>
      </c>
      <c r="O67" s="49" cm="1">
        <f t="array" ref="O67">ROUNDUP(INDEX(Dem!$F$61:$H$64,MATCH(Buildings_DR!$E67,Dem!$B$17:$B$20,0),MATCH(RIGHT(O$51,3),Dem!$F$1:$H$1,0))*_xlfn.IFS(RIGHT($D67,1)="H",$H$48,RIGHT($D67,1)="M",$H$47,RIGHT($D67,1)="L",$H$46),2)</f>
        <v>0</v>
      </c>
      <c r="P67" s="49" cm="1">
        <f t="array" ref="P67">ROUNDUP(INDEX(Dem!$F$61:$H$64,MATCH(Buildings_DR!$E67,Dem!$B$17:$B$20,0),MATCH(RIGHT(P$51,3),Dem!$F$1:$H$1,0))*_xlfn.IFS(RIGHT($D67,1)="H",$H$48,RIGHT($D67,1)="M",$H$47,RIGHT($D67,1)="L",$H$46),2)</f>
        <v>0</v>
      </c>
      <c r="Q67" s="533">
        <f t="shared" ref="Q67:S69" si="109">H67*0.6</f>
        <v>0</v>
      </c>
      <c r="R67" s="533">
        <f t="shared" si="109"/>
        <v>0</v>
      </c>
      <c r="S67" s="533">
        <f t="shared" si="109"/>
        <v>0</v>
      </c>
      <c r="T67" s="533">
        <f t="shared" ref="T67:V69" si="110">H67*0.99</f>
        <v>0</v>
      </c>
      <c r="U67" s="533">
        <f t="shared" si="110"/>
        <v>0</v>
      </c>
      <c r="V67" s="533">
        <f t="shared" si="110"/>
        <v>0</v>
      </c>
      <c r="W67" s="533">
        <f t="shared" ref="W67:W69" si="111">K67*0.99</f>
        <v>0</v>
      </c>
      <c r="X67" s="533">
        <f t="shared" ref="X67:X69" si="112">L67*0.99</f>
        <v>0</v>
      </c>
      <c r="Y67" s="533">
        <f t="shared" ref="Y67:Y69" si="113">M67*0.99</f>
        <v>0</v>
      </c>
      <c r="Z67" s="533">
        <f t="shared" ref="Z67:Z69" si="114">N67*0.99</f>
        <v>0</v>
      </c>
      <c r="AA67" s="533">
        <f t="shared" ref="AA67:AA69" si="115">O67*0.99</f>
        <v>0</v>
      </c>
      <c r="AB67" s="533">
        <f t="shared" ref="AB67:AB69" si="116">P67*0.99</f>
        <v>0</v>
      </c>
      <c r="AC67" s="533">
        <f t="shared" ref="AC67:AH69" si="117">Q67*0.99</f>
        <v>0</v>
      </c>
      <c r="AD67" s="533">
        <f t="shared" si="117"/>
        <v>0</v>
      </c>
      <c r="AE67" s="533">
        <f t="shared" si="117"/>
        <v>0</v>
      </c>
      <c r="AF67" s="533">
        <f t="shared" si="117"/>
        <v>0</v>
      </c>
      <c r="AG67" s="533">
        <f t="shared" si="117"/>
        <v>0</v>
      </c>
      <c r="AH67" s="533">
        <f t="shared" si="117"/>
        <v>0</v>
      </c>
      <c r="AI67" s="526">
        <f t="shared" ref="AI67:AT67" si="118">AI68/2</f>
        <v>451.57049999999998</v>
      </c>
      <c r="AJ67" s="526">
        <f t="shared" si="118"/>
        <v>0</v>
      </c>
      <c r="AK67" s="526">
        <f t="shared" si="118"/>
        <v>0</v>
      </c>
      <c r="AL67" s="526">
        <f t="shared" si="118"/>
        <v>501.87200000000001</v>
      </c>
      <c r="AM67" s="526">
        <f t="shared" si="118"/>
        <v>0</v>
      </c>
      <c r="AN67" s="526">
        <f t="shared" si="118"/>
        <v>0</v>
      </c>
      <c r="AO67" s="526">
        <f t="shared" si="118"/>
        <v>474.43899999999996</v>
      </c>
      <c r="AP67" s="526">
        <f t="shared" si="118"/>
        <v>0</v>
      </c>
      <c r="AQ67" s="526">
        <f t="shared" si="118"/>
        <v>0</v>
      </c>
      <c r="AR67" s="526">
        <f t="shared" si="118"/>
        <v>474.43899999999996</v>
      </c>
      <c r="AS67" s="526">
        <f t="shared" si="118"/>
        <v>0</v>
      </c>
      <c r="AT67" s="526">
        <f t="shared" si="118"/>
        <v>0</v>
      </c>
      <c r="AU67" s="167">
        <v>1</v>
      </c>
      <c r="AV67" s="165">
        <v>1</v>
      </c>
      <c r="AW67" s="160"/>
      <c r="AX67" s="162"/>
      <c r="AY67" s="162"/>
      <c r="AZ67" s="199"/>
      <c r="BA67" s="202">
        <f t="shared" si="70"/>
        <v>0</v>
      </c>
      <c r="BB67" s="202">
        <f t="shared" si="71"/>
        <v>0</v>
      </c>
      <c r="BC67" s="202">
        <f t="shared" si="72"/>
        <v>0</v>
      </c>
      <c r="BD67" s="203">
        <f t="shared" si="96"/>
        <v>0</v>
      </c>
      <c r="BE67" s="203" t="e">
        <f t="shared" si="99"/>
        <v>#DIV/0!</v>
      </c>
      <c r="BF67" s="203" t="e">
        <f t="shared" si="100"/>
        <v>#DIV/0!</v>
      </c>
      <c r="BH67" s="201"/>
      <c r="BI67" s="201"/>
      <c r="BJ67" s="201"/>
      <c r="BK67" s="201"/>
      <c r="BL67" s="201"/>
      <c r="BM67" s="201"/>
      <c r="BN67" s="201"/>
      <c r="BO67" s="201"/>
      <c r="BP67" s="201"/>
      <c r="BQ67" s="201"/>
      <c r="BR67" s="201"/>
    </row>
    <row r="68" spans="1:70">
      <c r="A68" s="162"/>
      <c r="B68" s="162" t="str">
        <f>Processes!D32</f>
        <v>RDCUMM</v>
      </c>
      <c r="C68" s="162" t="str">
        <f>Processes!E32</f>
        <v xml:space="preserve">Residential Demand Cooling Urban Multi -  - Medium </v>
      </c>
      <c r="D68" s="127" t="str">
        <f>Commodities!$C$56&amp;","&amp;Commodities!C77</f>
        <v>RESCUMB,RESCUMSM</v>
      </c>
      <c r="E68" s="191" t="str">
        <f>E67</f>
        <v>RCUMB</v>
      </c>
      <c r="G68" s="191"/>
      <c r="H68" s="49" cm="1">
        <f t="array" ref="H68">ROUNDUP(INDEX(Dem!$F$53:$H$56,MATCH(Buildings_DR!$E68,Dem!$B$17:$B$20,0),MATCH(RIGHT(H$51,3),Dem!$F$1:$H$1,0))*_xlfn.IFS(RIGHT($D68,1)="H",$H$48,RIGHT($D68,1)="M",$H$47,RIGHT($D68,1)="L",$H$46),2)</f>
        <v>997.28</v>
      </c>
      <c r="I68" s="49" cm="1">
        <f t="array" ref="I68">ROUNDUP(INDEX(Dem!$F$53:$H$56,MATCH(Buildings_DR!$E68,Dem!$B$17:$B$20,0),MATCH(RIGHT(I$51,3),Dem!$F$1:$H$1,0))*_xlfn.IFS(RIGHT($D68,1)="H",$H$48,RIGHT($D68,1)="M",$H$47,RIGHT($D68,1)="L",$H$46),2)</f>
        <v>0</v>
      </c>
      <c r="J68" s="49" cm="1">
        <f t="array" ref="J68">ROUNDUP(INDEX(Dem!$F$53:$H$56,MATCH(Buildings_DR!$E68,Dem!$B$17:$B$20,0),MATCH(RIGHT(J$51,3),Dem!$F$1:$H$1,0))*_xlfn.IFS(RIGHT($D68,1)="H",$H$48,RIGHT($D68,1)="M",$H$47,RIGHT($D68,1)="L",$H$46),2)</f>
        <v>0</v>
      </c>
      <c r="K68" s="49" cm="1">
        <f t="array" ref="K68">ROUNDUP(INDEX(Dem!$F$57:$H$60,MATCH(Buildings_DR!$E68,Dem!$B$17:$B$20,0),MATCH(RIGHT(K$51,3),Dem!$F$1:$H$1,0))*_xlfn.IFS(RIGHT($D68,1)="H",$H$48,RIGHT($D68,1)="M",$H$47,RIGHT($D68,1)="L",$H$46),2)</f>
        <v>1028.67</v>
      </c>
      <c r="L68" s="49" cm="1">
        <f t="array" ref="L68">ROUNDUP(INDEX(Dem!$F$57:$H$60,MATCH(Buildings_DR!$E68,Dem!$B$17:$B$20,0),MATCH(RIGHT(L$51,3),Dem!$F$1:$H$1,0))*_xlfn.IFS(RIGHT($D68,1)="H",$H$48,RIGHT($D68,1)="M",$H$47,RIGHT($D68,1)="L",$H$46),2)</f>
        <v>0</v>
      </c>
      <c r="M68" s="49" cm="1">
        <f t="array" ref="M68">ROUNDUP(INDEX(Dem!$F$57:$H$60,MATCH(Buildings_DR!$E68,Dem!$B$17:$B$20,0),MATCH(RIGHT(M$51,3),Dem!$F$1:$H$1,0))*_xlfn.IFS(RIGHT($D68,1)="H",$H$48,RIGHT($D68,1)="M",$H$47,RIGHT($D68,1)="L",$H$46),2)</f>
        <v>0</v>
      </c>
      <c r="N68" s="49" cm="1">
        <f t="array" ref="N68">ROUNDUP(INDEX(Dem!$F$61:$H$64,MATCH(Buildings_DR!$E68,Dem!$B$17:$B$20,0),MATCH(RIGHT(N$51,3),Dem!$F$1:$H$1,0))*_xlfn.IFS(RIGHT($D68,1)="H",$H$48,RIGHT($D68,1)="M",$H$47,RIGHT($D68,1)="L",$H$46),2)</f>
        <v>1044.0899999999999</v>
      </c>
      <c r="O68" s="49" cm="1">
        <f t="array" ref="O68">ROUNDUP(INDEX(Dem!$F$61:$H$64,MATCH(Buildings_DR!$E68,Dem!$B$17:$B$20,0),MATCH(RIGHT(O$51,3),Dem!$F$1:$H$1,0))*_xlfn.IFS(RIGHT($D68,1)="H",$H$48,RIGHT($D68,1)="M",$H$47,RIGHT($D68,1)="L",$H$46),2)</f>
        <v>0</v>
      </c>
      <c r="P68" s="49" cm="1">
        <f t="array" ref="P68">ROUNDUP(INDEX(Dem!$F$61:$H$64,MATCH(Buildings_DR!$E68,Dem!$B$17:$B$20,0),MATCH(RIGHT(P$51,3),Dem!$F$1:$H$1,0))*_xlfn.IFS(RIGHT($D68,1)="H",$H$48,RIGHT($D68,1)="M",$H$47,RIGHT($D68,1)="L",$H$46),2)</f>
        <v>0</v>
      </c>
      <c r="Q68" s="533">
        <f t="shared" si="109"/>
        <v>598.36799999999994</v>
      </c>
      <c r="R68" s="533">
        <f t="shared" si="109"/>
        <v>0</v>
      </c>
      <c r="S68" s="533">
        <f t="shared" si="109"/>
        <v>0</v>
      </c>
      <c r="T68" s="533">
        <f t="shared" si="110"/>
        <v>987.30719999999997</v>
      </c>
      <c r="U68" s="533">
        <f t="shared" si="110"/>
        <v>0</v>
      </c>
      <c r="V68" s="533">
        <f t="shared" si="110"/>
        <v>0</v>
      </c>
      <c r="W68" s="533">
        <f t="shared" si="111"/>
        <v>1018.3833000000001</v>
      </c>
      <c r="X68" s="533">
        <f t="shared" si="112"/>
        <v>0</v>
      </c>
      <c r="Y68" s="533">
        <f t="shared" si="113"/>
        <v>0</v>
      </c>
      <c r="Z68" s="533">
        <f t="shared" si="114"/>
        <v>1033.6490999999999</v>
      </c>
      <c r="AA68" s="533">
        <f t="shared" si="115"/>
        <v>0</v>
      </c>
      <c r="AB68" s="533">
        <f t="shared" si="116"/>
        <v>0</v>
      </c>
      <c r="AC68" s="533">
        <f t="shared" si="117"/>
        <v>592.38431999999989</v>
      </c>
      <c r="AD68" s="533">
        <f t="shared" si="117"/>
        <v>0</v>
      </c>
      <c r="AE68" s="533">
        <f t="shared" si="117"/>
        <v>0</v>
      </c>
      <c r="AF68" s="533">
        <v>5</v>
      </c>
      <c r="AG68" s="533">
        <f t="shared" si="117"/>
        <v>0</v>
      </c>
      <c r="AH68" s="533">
        <f t="shared" si="117"/>
        <v>0</v>
      </c>
      <c r="AI68" s="527">
        <f>ROUNDUP(SUM(H67:H73)/Cooling!AA9,3)</f>
        <v>903.14099999999996</v>
      </c>
      <c r="AJ68" s="527">
        <v>0</v>
      </c>
      <c r="AK68" s="527">
        <v>0</v>
      </c>
      <c r="AL68" s="527">
        <f>ROUNDUP(SUM(K67:K73)/Cooling!AA13,3)</f>
        <v>1003.744</v>
      </c>
      <c r="AM68" s="527">
        <v>0</v>
      </c>
      <c r="AN68" s="527">
        <v>0</v>
      </c>
      <c r="AO68" s="527">
        <f>ROUNDUP(SUM(N67:N73)/Cooling!AA17,3)</f>
        <v>948.87799999999993</v>
      </c>
      <c r="AP68" s="527">
        <v>0</v>
      </c>
      <c r="AQ68" s="527">
        <v>0</v>
      </c>
      <c r="AR68" s="527">
        <f>AO68</f>
        <v>948.87799999999993</v>
      </c>
      <c r="AS68" s="527">
        <f>AP68</f>
        <v>0</v>
      </c>
      <c r="AT68" s="527">
        <f>AQ68</f>
        <v>0</v>
      </c>
      <c r="AU68" s="163">
        <v>1</v>
      </c>
      <c r="AV68" s="162">
        <v>1</v>
      </c>
      <c r="AW68" s="160"/>
      <c r="AX68" s="162"/>
      <c r="AY68" s="162"/>
      <c r="AZ68" s="199"/>
      <c r="BA68" s="202">
        <f t="shared" si="70"/>
        <v>997.28</v>
      </c>
      <c r="BB68" s="202">
        <f t="shared" si="71"/>
        <v>0</v>
      </c>
      <c r="BC68" s="202">
        <f t="shared" si="72"/>
        <v>0</v>
      </c>
      <c r="BD68" s="203">
        <f t="shared" si="96"/>
        <v>1.10423510836071</v>
      </c>
      <c r="BE68" s="203" t="e">
        <f t="shared" si="99"/>
        <v>#DIV/0!</v>
      </c>
      <c r="BF68" s="203" t="e">
        <f t="shared" si="100"/>
        <v>#DIV/0!</v>
      </c>
      <c r="BH68" s="201"/>
      <c r="BI68" s="201"/>
      <c r="BJ68" s="201"/>
      <c r="BK68" s="201"/>
      <c r="BL68" s="201"/>
      <c r="BM68" s="201"/>
      <c r="BN68" s="201"/>
      <c r="BO68" s="201"/>
      <c r="BP68" s="201"/>
      <c r="BQ68" s="201"/>
      <c r="BR68" s="201"/>
    </row>
    <row r="69" spans="1:70">
      <c r="A69" s="162"/>
      <c r="B69" s="162" t="str">
        <f>Processes!D33</f>
        <v>RDCUMH</v>
      </c>
      <c r="C69" s="162" t="str">
        <f>Processes!E33</f>
        <v xml:space="preserve">Residential Demand Cooling Urban Multi -  - High </v>
      </c>
      <c r="D69" s="127" t="str">
        <f>Commodities!$C$56&amp;","&amp;Commodities!C78</f>
        <v>RESCUMB,RESCUMSH</v>
      </c>
      <c r="E69" s="191" t="str">
        <f>E68</f>
        <v>RCUMB</v>
      </c>
      <c r="G69" s="191"/>
      <c r="H69" s="49" cm="1">
        <f t="array" ref="H69">ROUNDUP(INDEX(Dem!$F$53:$H$56,MATCH(Buildings_DR!$E69,Dem!$B$17:$B$20,0),MATCH(RIGHT(H$51,3),Dem!$F$1:$H$1,0))*_xlfn.IFS(RIGHT($D69,1)="H",$H$48,RIGHT($D69,1)="M",$H$47,RIGHT($D69,1)="L",$H$46),2)</f>
        <v>0</v>
      </c>
      <c r="I69" s="49" cm="1">
        <f t="array" ref="I69">ROUNDUP(INDEX(Dem!$F$53:$H$56,MATCH(Buildings_DR!$E69,Dem!$B$17:$B$20,0),MATCH(RIGHT(I$51,3),Dem!$F$1:$H$1,0))*_xlfn.IFS(RIGHT($D69,1)="H",$H$48,RIGHT($D69,1)="M",$H$47,RIGHT($D69,1)="L",$H$46),2)</f>
        <v>0</v>
      </c>
      <c r="J69" s="49" cm="1">
        <f t="array" ref="J69">ROUNDUP(INDEX(Dem!$F$53:$H$56,MATCH(Buildings_DR!$E69,Dem!$B$17:$B$20,0),MATCH(RIGHT(J$51,3),Dem!$F$1:$H$1,0))*_xlfn.IFS(RIGHT($D69,1)="H",$H$48,RIGHT($D69,1)="M",$H$47,RIGHT($D69,1)="L",$H$46),2)</f>
        <v>0</v>
      </c>
      <c r="K69" s="49" cm="1">
        <f t="array" ref="K69">ROUNDUP(INDEX(Dem!$F$57:$H$60,MATCH(Buildings_DR!$E69,Dem!$B$17:$B$20,0),MATCH(RIGHT(K$51,3),Dem!$F$1:$H$1,0))*_xlfn.IFS(RIGHT($D69,1)="H",$H$48,RIGHT($D69,1)="M",$H$47,RIGHT($D69,1)="L",$H$46),2)</f>
        <v>0</v>
      </c>
      <c r="L69" s="49" cm="1">
        <f t="array" ref="L69">ROUNDUP(INDEX(Dem!$F$57:$H$60,MATCH(Buildings_DR!$E69,Dem!$B$17:$B$20,0),MATCH(RIGHT(L$51,3),Dem!$F$1:$H$1,0))*_xlfn.IFS(RIGHT($D69,1)="H",$H$48,RIGHT($D69,1)="M",$H$47,RIGHT($D69,1)="L",$H$46),2)</f>
        <v>0</v>
      </c>
      <c r="M69" s="49" cm="1">
        <f t="array" ref="M69">ROUNDUP(INDEX(Dem!$F$57:$H$60,MATCH(Buildings_DR!$E69,Dem!$B$17:$B$20,0),MATCH(RIGHT(M$51,3),Dem!$F$1:$H$1,0))*_xlfn.IFS(RIGHT($D69,1)="H",$H$48,RIGHT($D69,1)="M",$H$47,RIGHT($D69,1)="L",$H$46),2)</f>
        <v>0</v>
      </c>
      <c r="N69" s="49" cm="1">
        <f t="array" ref="N69">ROUNDUP(INDEX(Dem!$F$61:$H$64,MATCH(Buildings_DR!$E69,Dem!$B$17:$B$20,0),MATCH(RIGHT(N$51,3),Dem!$F$1:$H$1,0))*_xlfn.IFS(RIGHT($D69,1)="H",$H$48,RIGHT($D69,1)="M",$H$47,RIGHT($D69,1)="L",$H$46),2)</f>
        <v>0</v>
      </c>
      <c r="O69" s="49" cm="1">
        <f t="array" ref="O69">ROUNDUP(INDEX(Dem!$F$61:$H$64,MATCH(Buildings_DR!$E69,Dem!$B$17:$B$20,0),MATCH(RIGHT(O$51,3),Dem!$F$1:$H$1,0))*_xlfn.IFS(RIGHT($D69,1)="H",$H$48,RIGHT($D69,1)="M",$H$47,RIGHT($D69,1)="L",$H$46),2)</f>
        <v>0</v>
      </c>
      <c r="P69" s="49" cm="1">
        <f t="array" ref="P69">ROUNDUP(INDEX(Dem!$F$61:$H$64,MATCH(Buildings_DR!$E69,Dem!$B$17:$B$20,0),MATCH(RIGHT(P$51,3),Dem!$F$1:$H$1,0))*_xlfn.IFS(RIGHT($D69,1)="H",$H$48,RIGHT($D69,1)="M",$H$47,RIGHT($D69,1)="L",$H$46),2)</f>
        <v>0</v>
      </c>
      <c r="Q69" s="533">
        <f t="shared" si="109"/>
        <v>0</v>
      </c>
      <c r="R69" s="533">
        <f t="shared" si="109"/>
        <v>0</v>
      </c>
      <c r="S69" s="533">
        <f t="shared" si="109"/>
        <v>0</v>
      </c>
      <c r="T69" s="533">
        <f t="shared" si="110"/>
        <v>0</v>
      </c>
      <c r="U69" s="533">
        <f t="shared" si="110"/>
        <v>0</v>
      </c>
      <c r="V69" s="533">
        <f t="shared" si="110"/>
        <v>0</v>
      </c>
      <c r="W69" s="533">
        <f t="shared" si="111"/>
        <v>0</v>
      </c>
      <c r="X69" s="533">
        <f t="shared" si="112"/>
        <v>0</v>
      </c>
      <c r="Y69" s="533">
        <f t="shared" si="113"/>
        <v>0</v>
      </c>
      <c r="Z69" s="533">
        <f t="shared" si="114"/>
        <v>0</v>
      </c>
      <c r="AA69" s="533">
        <f t="shared" si="115"/>
        <v>0</v>
      </c>
      <c r="AB69" s="533">
        <f t="shared" si="116"/>
        <v>0</v>
      </c>
      <c r="AC69" s="533">
        <f t="shared" si="117"/>
        <v>0</v>
      </c>
      <c r="AD69" s="533">
        <f t="shared" si="117"/>
        <v>0</v>
      </c>
      <c r="AE69" s="533">
        <f t="shared" si="117"/>
        <v>0</v>
      </c>
      <c r="AF69" s="533">
        <f t="shared" si="117"/>
        <v>0</v>
      </c>
      <c r="AG69" s="533">
        <f t="shared" si="117"/>
        <v>0</v>
      </c>
      <c r="AH69" s="533">
        <f t="shared" si="117"/>
        <v>0</v>
      </c>
      <c r="AI69" s="527">
        <f t="shared" ref="AI69:AQ69" si="119">AI68/2+AI70/2</f>
        <v>957.97456071428576</v>
      </c>
      <c r="AJ69" s="527">
        <f t="shared" si="119"/>
        <v>506.40406071428578</v>
      </c>
      <c r="AK69" s="527">
        <f t="shared" si="119"/>
        <v>506.40406071428578</v>
      </c>
      <c r="AL69" s="527">
        <f t="shared" si="119"/>
        <v>1008.2760607142858</v>
      </c>
      <c r="AM69" s="527">
        <f t="shared" si="119"/>
        <v>506.40406071428578</v>
      </c>
      <c r="AN69" s="527">
        <f t="shared" si="119"/>
        <v>506.40406071428578</v>
      </c>
      <c r="AO69" s="527">
        <f t="shared" si="119"/>
        <v>980.84306071428568</v>
      </c>
      <c r="AP69" s="527">
        <f t="shared" si="119"/>
        <v>506.40406071428578</v>
      </c>
      <c r="AQ69" s="527">
        <f t="shared" si="119"/>
        <v>506.40406071428578</v>
      </c>
      <c r="AR69" s="527">
        <f t="shared" ref="AR69:AT69" si="120">AR68/2+AR70/2</f>
        <v>980.84306071428568</v>
      </c>
      <c r="AS69" s="527">
        <f t="shared" si="120"/>
        <v>506.40406071428578</v>
      </c>
      <c r="AT69" s="527">
        <f t="shared" si="120"/>
        <v>506.40406071428578</v>
      </c>
      <c r="AU69" s="163">
        <v>1</v>
      </c>
      <c r="AV69" s="162">
        <v>1</v>
      </c>
      <c r="AW69" s="162"/>
      <c r="AX69" s="162"/>
      <c r="AY69" s="162"/>
      <c r="AZ69" s="199"/>
      <c r="BA69" s="202">
        <f t="shared" si="70"/>
        <v>0</v>
      </c>
      <c r="BB69" s="202">
        <f t="shared" si="71"/>
        <v>0</v>
      </c>
      <c r="BC69" s="202">
        <f t="shared" si="72"/>
        <v>0</v>
      </c>
      <c r="BD69" s="203">
        <f t="shared" si="96"/>
        <v>0</v>
      </c>
      <c r="BE69" s="203">
        <f t="shared" si="99"/>
        <v>0</v>
      </c>
      <c r="BF69" s="203">
        <f t="shared" si="100"/>
        <v>0</v>
      </c>
      <c r="BH69" s="201"/>
      <c r="BI69" s="201"/>
      <c r="BJ69" s="201"/>
      <c r="BK69" s="201"/>
      <c r="BL69" s="201"/>
      <c r="BM69" s="201"/>
      <c r="BN69" s="201"/>
      <c r="BO69" s="201"/>
      <c r="BP69" s="201"/>
      <c r="BQ69" s="201"/>
      <c r="BR69" s="201"/>
    </row>
    <row r="70" spans="1:70">
      <c r="B70" s="162" t="str">
        <f>Processes!D34</f>
        <v>RDCUMN</v>
      </c>
      <c r="C70" s="162" t="str">
        <f>Processes!E34</f>
        <v xml:space="preserve">Residential Demand Cooling Urban Multi -  - New </v>
      </c>
      <c r="D70" s="133" t="str">
        <f>Commodities!$C$56</f>
        <v>RESCUMB</v>
      </c>
      <c r="E70" s="191" t="str">
        <f>E69</f>
        <v>RCUMB</v>
      </c>
      <c r="F70" s="156">
        <v>2011</v>
      </c>
      <c r="G70" s="191">
        <v>2011</v>
      </c>
      <c r="H70" s="49"/>
      <c r="I70" s="49"/>
      <c r="J70" s="49"/>
      <c r="K70" s="49"/>
      <c r="L70" s="49"/>
      <c r="M70" s="49"/>
      <c r="N70" s="49"/>
      <c r="O70" s="49"/>
      <c r="P70" s="49"/>
      <c r="Q70" s="533"/>
      <c r="R70" s="533"/>
      <c r="S70" s="533"/>
      <c r="T70" s="533"/>
      <c r="U70" s="533"/>
      <c r="V70" s="533"/>
      <c r="W70" s="533"/>
      <c r="X70" s="533"/>
      <c r="Y70" s="533"/>
      <c r="Z70" s="533"/>
      <c r="AA70" s="533"/>
      <c r="AB70" s="533"/>
      <c r="AC70" s="533"/>
      <c r="AD70" s="533"/>
      <c r="AE70" s="533"/>
      <c r="AF70" s="533"/>
      <c r="AG70" s="533"/>
      <c r="AH70" s="533"/>
      <c r="AI70" s="528">
        <f t="shared" ref="AI70:AQ70" si="121">$AI$68*AI26/$AI$24</f>
        <v>1012.8081214285716</v>
      </c>
      <c r="AJ70" s="528">
        <f t="shared" si="121"/>
        <v>1012.8081214285716</v>
      </c>
      <c r="AK70" s="528">
        <f t="shared" si="121"/>
        <v>1012.8081214285716</v>
      </c>
      <c r="AL70" s="528">
        <f t="shared" si="121"/>
        <v>1012.8081214285716</v>
      </c>
      <c r="AM70" s="528">
        <f t="shared" si="121"/>
        <v>1012.8081214285716</v>
      </c>
      <c r="AN70" s="528">
        <f t="shared" si="121"/>
        <v>1012.8081214285716</v>
      </c>
      <c r="AO70" s="528">
        <f t="shared" si="121"/>
        <v>1012.8081214285716</v>
      </c>
      <c r="AP70" s="528">
        <f t="shared" si="121"/>
        <v>1012.8081214285716</v>
      </c>
      <c r="AQ70" s="528">
        <f t="shared" si="121"/>
        <v>1012.8081214285716</v>
      </c>
      <c r="AR70" s="528">
        <f t="shared" ref="AR70:AT70" si="122">$AI$68*AR26/$AI$24</f>
        <v>1012.8081214285716</v>
      </c>
      <c r="AS70" s="528">
        <f t="shared" si="122"/>
        <v>1012.8081214285716</v>
      </c>
      <c r="AT70" s="528">
        <f t="shared" si="122"/>
        <v>1012.8081214285716</v>
      </c>
      <c r="AU70" s="163">
        <v>1</v>
      </c>
      <c r="AV70" s="168">
        <v>1</v>
      </c>
      <c r="AW70" s="162">
        <v>100</v>
      </c>
      <c r="AX70" s="162"/>
      <c r="AY70" s="162"/>
      <c r="BA70" s="202">
        <f t="shared" si="70"/>
        <v>0</v>
      </c>
      <c r="BB70" s="202">
        <f t="shared" si="71"/>
        <v>0</v>
      </c>
      <c r="BC70" s="202">
        <f t="shared" si="72"/>
        <v>0</v>
      </c>
      <c r="BD70" s="203">
        <f t="shared" ref="BD70:BF73" si="123">BA70/AI56</f>
        <v>0</v>
      </c>
      <c r="BE70" s="203">
        <f t="shared" si="123"/>
        <v>0</v>
      </c>
      <c r="BF70" s="203">
        <f t="shared" si="123"/>
        <v>0</v>
      </c>
      <c r="BH70" s="201"/>
      <c r="BI70" s="201"/>
      <c r="BJ70" s="201"/>
      <c r="BK70" s="201"/>
      <c r="BL70" s="201"/>
      <c r="BM70" s="201"/>
      <c r="BN70" s="201"/>
      <c r="BO70" s="201"/>
      <c r="BP70" s="201"/>
      <c r="BQ70" s="201"/>
      <c r="BR70" s="201"/>
    </row>
    <row r="71" spans="1:70">
      <c r="B71" s="162"/>
      <c r="C71" s="162"/>
      <c r="D71" s="557"/>
      <c r="E71" s="191"/>
      <c r="F71" s="156">
        <v>2016</v>
      </c>
      <c r="H71" s="49"/>
      <c r="I71" s="49"/>
      <c r="J71" s="49"/>
      <c r="K71" s="49"/>
      <c r="L71" s="49"/>
      <c r="M71" s="49"/>
      <c r="N71" s="49"/>
      <c r="O71" s="49"/>
      <c r="P71" s="49"/>
      <c r="Q71" s="533"/>
      <c r="R71" s="533"/>
      <c r="S71" s="533"/>
      <c r="T71" s="533"/>
      <c r="U71" s="533"/>
      <c r="V71" s="533"/>
      <c r="W71" s="533"/>
      <c r="X71" s="533"/>
      <c r="Y71" s="533"/>
      <c r="Z71" s="533"/>
      <c r="AA71" s="533"/>
      <c r="AB71" s="533"/>
      <c r="AC71" s="533"/>
      <c r="AD71" s="533"/>
      <c r="AE71" s="533"/>
      <c r="AF71" s="533"/>
      <c r="AG71" s="533"/>
      <c r="AH71" s="533"/>
      <c r="AI71" s="528">
        <f t="shared" ref="AI71:AQ71" si="124">$AI$68*AI27/$AI$24</f>
        <v>1190.2108178571427</v>
      </c>
      <c r="AJ71" s="528">
        <f t="shared" si="124"/>
        <v>1190.2108178571427</v>
      </c>
      <c r="AK71" s="528">
        <f t="shared" si="124"/>
        <v>1190.2108178571427</v>
      </c>
      <c r="AL71" s="528">
        <f t="shared" si="124"/>
        <v>1190.2108178571427</v>
      </c>
      <c r="AM71" s="528">
        <f t="shared" si="124"/>
        <v>1190.2108178571427</v>
      </c>
      <c r="AN71" s="528">
        <f t="shared" si="124"/>
        <v>1190.2108178571427</v>
      </c>
      <c r="AO71" s="528">
        <f t="shared" si="124"/>
        <v>1190.2108178571427</v>
      </c>
      <c r="AP71" s="528">
        <f t="shared" si="124"/>
        <v>1190.2108178571427</v>
      </c>
      <c r="AQ71" s="528">
        <f t="shared" si="124"/>
        <v>1190.2108178571427</v>
      </c>
      <c r="AR71" s="528">
        <f t="shared" ref="AR71:AT71" si="125">$AI$68*AR27/$AI$24</f>
        <v>1190.2108178571427</v>
      </c>
      <c r="AS71" s="528">
        <f t="shared" si="125"/>
        <v>1190.2108178571427</v>
      </c>
      <c r="AT71" s="528">
        <f t="shared" si="125"/>
        <v>1190.2108178571427</v>
      </c>
      <c r="AU71" s="163">
        <v>1</v>
      </c>
      <c r="AV71" s="168">
        <v>1</v>
      </c>
      <c r="AW71" s="162">
        <v>100</v>
      </c>
      <c r="AX71" s="162"/>
      <c r="AY71" s="162"/>
      <c r="BA71" s="202">
        <f t="shared" si="70"/>
        <v>0</v>
      </c>
      <c r="BB71" s="202">
        <f t="shared" si="71"/>
        <v>0</v>
      </c>
      <c r="BC71" s="202">
        <f t="shared" si="72"/>
        <v>0</v>
      </c>
      <c r="BD71" s="203">
        <f t="shared" si="123"/>
        <v>0</v>
      </c>
      <c r="BE71" s="203">
        <f t="shared" si="123"/>
        <v>0</v>
      </c>
      <c r="BF71" s="203">
        <f t="shared" si="123"/>
        <v>0</v>
      </c>
      <c r="BH71" s="201"/>
      <c r="BI71" s="201"/>
      <c r="BJ71" s="201"/>
      <c r="BK71" s="201"/>
      <c r="BL71" s="201"/>
      <c r="BM71" s="201"/>
      <c r="BN71" s="201"/>
      <c r="BO71" s="201"/>
      <c r="BP71" s="201"/>
      <c r="BQ71" s="201"/>
      <c r="BR71" s="201"/>
    </row>
    <row r="72" spans="1:70">
      <c r="B72" s="162"/>
      <c r="C72" s="162"/>
      <c r="D72" s="557"/>
      <c r="E72" s="191"/>
      <c r="F72" s="156">
        <v>2021</v>
      </c>
      <c r="H72" s="49"/>
      <c r="I72" s="49"/>
      <c r="J72" s="49"/>
      <c r="K72" s="49"/>
      <c r="L72" s="49"/>
      <c r="M72" s="49"/>
      <c r="N72" s="49"/>
      <c r="O72" s="49"/>
      <c r="P72" s="49"/>
      <c r="Q72" s="533"/>
      <c r="R72" s="533"/>
      <c r="S72" s="533"/>
      <c r="T72" s="533"/>
      <c r="U72" s="533"/>
      <c r="V72" s="533"/>
      <c r="W72" s="533"/>
      <c r="X72" s="533"/>
      <c r="Y72" s="533"/>
      <c r="Z72" s="533"/>
      <c r="AA72" s="533"/>
      <c r="AB72" s="533"/>
      <c r="AC72" s="533"/>
      <c r="AD72" s="533"/>
      <c r="AE72" s="533"/>
      <c r="AF72" s="533"/>
      <c r="AG72" s="533"/>
      <c r="AH72" s="533"/>
      <c r="AI72" s="528">
        <f t="shared" ref="AI72:AQ72" si="126">$AI$68*AI28/$AI$24</f>
        <v>1961.1061714285715</v>
      </c>
      <c r="AJ72" s="528">
        <f t="shared" si="126"/>
        <v>1961.1061714285715</v>
      </c>
      <c r="AK72" s="528">
        <f t="shared" si="126"/>
        <v>1961.1061714285715</v>
      </c>
      <c r="AL72" s="528">
        <f t="shared" si="126"/>
        <v>1961.1061714285715</v>
      </c>
      <c r="AM72" s="528">
        <f t="shared" si="126"/>
        <v>1961.1061714285715</v>
      </c>
      <c r="AN72" s="528">
        <f t="shared" si="126"/>
        <v>1961.1061714285715</v>
      </c>
      <c r="AO72" s="528">
        <f t="shared" si="126"/>
        <v>1961.1061714285715</v>
      </c>
      <c r="AP72" s="528">
        <f t="shared" si="126"/>
        <v>1961.1061714285715</v>
      </c>
      <c r="AQ72" s="528">
        <f t="shared" si="126"/>
        <v>1961.1061714285715</v>
      </c>
      <c r="AR72" s="528">
        <f t="shared" ref="AR72:AT72" si="127">$AI$68*AR28/$AI$24</f>
        <v>1961.1061714285715</v>
      </c>
      <c r="AS72" s="528">
        <f t="shared" si="127"/>
        <v>1961.1061714285715</v>
      </c>
      <c r="AT72" s="528">
        <f t="shared" si="127"/>
        <v>1961.1061714285715</v>
      </c>
      <c r="AU72" s="163">
        <v>1</v>
      </c>
      <c r="AV72" s="168">
        <v>1</v>
      </c>
      <c r="AW72" s="162">
        <v>100</v>
      </c>
      <c r="AX72" s="162"/>
      <c r="AY72" s="162"/>
      <c r="BA72" s="202">
        <f t="shared" si="70"/>
        <v>0</v>
      </c>
      <c r="BB72" s="202">
        <f t="shared" si="71"/>
        <v>0</v>
      </c>
      <c r="BC72" s="202">
        <f t="shared" si="72"/>
        <v>0</v>
      </c>
      <c r="BD72" s="203">
        <f t="shared" si="123"/>
        <v>0</v>
      </c>
      <c r="BE72" s="203">
        <f t="shared" si="123"/>
        <v>0</v>
      </c>
      <c r="BF72" s="203">
        <f t="shared" si="123"/>
        <v>0</v>
      </c>
      <c r="BH72" s="201"/>
      <c r="BI72" s="201"/>
      <c r="BJ72" s="201"/>
      <c r="BK72" s="201"/>
      <c r="BL72" s="201"/>
      <c r="BM72" s="201"/>
      <c r="BN72" s="201"/>
      <c r="BO72" s="201"/>
      <c r="BP72" s="201"/>
      <c r="BQ72" s="201"/>
      <c r="BR72" s="201"/>
    </row>
    <row r="73" spans="1:70" ht="13.8" thickBot="1">
      <c r="B73" s="162"/>
      <c r="C73" s="162"/>
      <c r="D73" s="557"/>
      <c r="E73" s="212"/>
      <c r="F73" s="164">
        <v>2031</v>
      </c>
      <c r="G73" s="164"/>
      <c r="H73" s="530"/>
      <c r="I73" s="530"/>
      <c r="J73" s="530"/>
      <c r="K73" s="530"/>
      <c r="L73" s="530"/>
      <c r="M73" s="530"/>
      <c r="N73" s="530"/>
      <c r="O73" s="530"/>
      <c r="P73" s="530"/>
      <c r="Q73" s="534"/>
      <c r="R73" s="534"/>
      <c r="S73" s="534"/>
      <c r="T73" s="534"/>
      <c r="U73" s="534"/>
      <c r="V73" s="534"/>
      <c r="W73" s="534"/>
      <c r="X73" s="534"/>
      <c r="Y73" s="534"/>
      <c r="Z73" s="534"/>
      <c r="AA73" s="534"/>
      <c r="AB73" s="534"/>
      <c r="AC73" s="534"/>
      <c r="AD73" s="534"/>
      <c r="AE73" s="534"/>
      <c r="AF73" s="534"/>
      <c r="AG73" s="534"/>
      <c r="AH73" s="534"/>
      <c r="AI73" s="528">
        <f t="shared" ref="AI73:AQ73" si="128">$AI$68*AI29/$AI$24</f>
        <v>2238.4994785714284</v>
      </c>
      <c r="AJ73" s="528">
        <f t="shared" si="128"/>
        <v>2238.4994785714284</v>
      </c>
      <c r="AK73" s="528">
        <f t="shared" si="128"/>
        <v>2238.4994785714284</v>
      </c>
      <c r="AL73" s="528">
        <f t="shared" si="128"/>
        <v>2238.4994785714284</v>
      </c>
      <c r="AM73" s="528">
        <f t="shared" si="128"/>
        <v>2238.4994785714284</v>
      </c>
      <c r="AN73" s="528">
        <f t="shared" si="128"/>
        <v>2238.4994785714284</v>
      </c>
      <c r="AO73" s="528">
        <f t="shared" si="128"/>
        <v>2238.4994785714284</v>
      </c>
      <c r="AP73" s="528">
        <f t="shared" si="128"/>
        <v>2238.4994785714284</v>
      </c>
      <c r="AQ73" s="528">
        <f t="shared" si="128"/>
        <v>2238.4994785714284</v>
      </c>
      <c r="AR73" s="528">
        <f t="shared" ref="AR73:AT73" si="129">$AI$68*AR29/$AI$24</f>
        <v>2238.4994785714284</v>
      </c>
      <c r="AS73" s="528">
        <f t="shared" si="129"/>
        <v>2238.4994785714284</v>
      </c>
      <c r="AT73" s="528">
        <f t="shared" si="129"/>
        <v>2238.4994785714284</v>
      </c>
      <c r="AU73" s="163">
        <v>1</v>
      </c>
      <c r="AV73" s="168">
        <v>1</v>
      </c>
      <c r="AW73" s="162">
        <v>100</v>
      </c>
      <c r="AX73" s="162"/>
      <c r="AY73" s="162"/>
      <c r="BA73" s="202">
        <f t="shared" si="70"/>
        <v>0</v>
      </c>
      <c r="BB73" s="202">
        <f t="shared" si="71"/>
        <v>0</v>
      </c>
      <c r="BC73" s="202">
        <f t="shared" si="72"/>
        <v>0</v>
      </c>
      <c r="BD73" s="203">
        <f t="shared" si="123"/>
        <v>0</v>
      </c>
      <c r="BE73" s="203">
        <f t="shared" si="123"/>
        <v>0</v>
      </c>
      <c r="BF73" s="203">
        <f t="shared" si="123"/>
        <v>0</v>
      </c>
      <c r="BH73" s="201"/>
      <c r="BI73" s="201"/>
      <c r="BJ73" s="201"/>
      <c r="BK73" s="201"/>
      <c r="BL73" s="201"/>
      <c r="BM73" s="201"/>
      <c r="BN73" s="201"/>
      <c r="BO73" s="201"/>
      <c r="BP73" s="201"/>
      <c r="BQ73" s="201"/>
      <c r="BR73" s="201"/>
    </row>
    <row r="74" spans="1:70" ht="13.8" thickBot="1">
      <c r="B74" s="165" t="str">
        <f>Processes!D35</f>
        <v>RDCRML</v>
      </c>
      <c r="C74" s="165" t="str">
        <f>Processes!E35</f>
        <v xml:space="preserve">Residential Demand Cooling Rural Multi -  - Low </v>
      </c>
      <c r="D74" s="127" t="str">
        <f>Commodities!$C$57&amp;","&amp;Commodities!C79</f>
        <v>RESCRMB,RESCRMSL</v>
      </c>
      <c r="E74" s="7" t="str">
        <f>Commodities!C14</f>
        <v>RCRMB</v>
      </c>
      <c r="F74" s="209"/>
      <c r="G74" s="209"/>
      <c r="H74" s="49" cm="1">
        <f t="array" ref="H74">ROUNDUP(INDEX(Dem!$F$53:$H$56,MATCH(Buildings_DR!$E74,Dem!$B$17:$B$20,0),MATCH(RIGHT(H$51,3),Dem!$F$1:$H$1,0))*_xlfn.IFS(RIGHT($D74,1)="H",$H$48,RIGHT($D74,1)="M",$H$47,RIGHT($D74,1)="L",$H$46),2)</f>
        <v>0</v>
      </c>
      <c r="I74" s="49" cm="1">
        <f t="array" ref="I74">ROUNDUP(INDEX(Dem!$F$53:$H$56,MATCH(Buildings_DR!$E74,Dem!$B$17:$B$20,0),MATCH(RIGHT(I$51,3),Dem!$F$1:$H$1,0))*_xlfn.IFS(RIGHT($D74,1)="H",$H$48,RIGHT($D74,1)="M",$H$47,RIGHT($D74,1)="L",$H$46),2)</f>
        <v>0</v>
      </c>
      <c r="J74" s="49" cm="1">
        <f t="array" ref="J74">ROUNDUP(INDEX(Dem!$F$53:$H$56,MATCH(Buildings_DR!$E74,Dem!$B$17:$B$20,0),MATCH(RIGHT(J$51,3),Dem!$F$1:$H$1,0))*_xlfn.IFS(RIGHT($D74,1)="H",$H$48,RIGHT($D74,1)="M",$H$47,RIGHT($D74,1)="L",$H$46),2)</f>
        <v>0</v>
      </c>
      <c r="K74" s="49" cm="1">
        <f t="array" ref="K74">ROUNDUP(INDEX(Dem!$F$57:$H$60,MATCH(Buildings_DR!$E74,Dem!$B$17:$B$20,0),MATCH(RIGHT(K$51,3),Dem!$F$1:$H$1,0))*_xlfn.IFS(RIGHT($D74,1)="H",$H$48,RIGHT($D74,1)="M",$H$47,RIGHT($D74,1)="L",$H$46),2)</f>
        <v>0</v>
      </c>
      <c r="L74" s="49" cm="1">
        <f t="array" ref="L74">ROUNDUP(INDEX(Dem!$F$57:$H$60,MATCH(Buildings_DR!$E74,Dem!$B$17:$B$20,0),MATCH(RIGHT(L$51,3),Dem!$F$1:$H$1,0))*_xlfn.IFS(RIGHT($D74,1)="H",$H$48,RIGHT($D74,1)="M",$H$47,RIGHT($D74,1)="L",$H$46),2)</f>
        <v>0</v>
      </c>
      <c r="M74" s="49" cm="1">
        <f t="array" ref="M74">ROUNDUP(INDEX(Dem!$F$57:$H$60,MATCH(Buildings_DR!$E74,Dem!$B$17:$B$20,0),MATCH(RIGHT(M$51,3),Dem!$F$1:$H$1,0))*_xlfn.IFS(RIGHT($D74,1)="H",$H$48,RIGHT($D74,1)="M",$H$47,RIGHT($D74,1)="L",$H$46),2)</f>
        <v>0</v>
      </c>
      <c r="N74" s="49" cm="1">
        <f t="array" ref="N74">ROUNDUP(INDEX(Dem!$F$61:$H$64,MATCH(Buildings_DR!$E74,Dem!$B$17:$B$20,0),MATCH(RIGHT(N$51,3),Dem!$F$1:$H$1,0))*_xlfn.IFS(RIGHT($D74,1)="H",$H$48,RIGHT($D74,1)="M",$H$47,RIGHT($D74,1)="L",$H$46),2)</f>
        <v>0</v>
      </c>
      <c r="O74" s="49" cm="1">
        <f t="array" ref="O74">ROUNDUP(INDEX(Dem!$F$61:$H$64,MATCH(Buildings_DR!$E74,Dem!$B$17:$B$20,0),MATCH(RIGHT(O$51,3),Dem!$F$1:$H$1,0))*_xlfn.IFS(RIGHT($D74,1)="H",$H$48,RIGHT($D74,1)="M",$H$47,RIGHT($D74,1)="L",$H$46),2)</f>
        <v>0</v>
      </c>
      <c r="P74" s="49" cm="1">
        <f t="array" ref="P74">ROUNDUP(INDEX(Dem!$F$61:$H$64,MATCH(Buildings_DR!$E74,Dem!$B$17:$B$20,0),MATCH(RIGHT(P$51,3),Dem!$F$1:$H$1,0))*_xlfn.IFS(RIGHT($D74,1)="H",$H$48,RIGHT($D74,1)="M",$H$47,RIGHT($D74,1)="L",$H$46),2)</f>
        <v>0</v>
      </c>
      <c r="Q74" s="533">
        <f t="shared" ref="Q74:S76" si="130">H74*0.6</f>
        <v>0</v>
      </c>
      <c r="R74" s="533">
        <f t="shared" si="130"/>
        <v>0</v>
      </c>
      <c r="S74" s="533">
        <f t="shared" si="130"/>
        <v>0</v>
      </c>
      <c r="T74" s="533">
        <f t="shared" ref="T74:V76" si="131">H74*0.99</f>
        <v>0</v>
      </c>
      <c r="U74" s="533">
        <f t="shared" si="131"/>
        <v>0</v>
      </c>
      <c r="V74" s="533">
        <f t="shared" si="131"/>
        <v>0</v>
      </c>
      <c r="W74" s="533">
        <f t="shared" ref="W74:W76" si="132">K74*0.99</f>
        <v>0</v>
      </c>
      <c r="X74" s="533">
        <f t="shared" ref="X74:X76" si="133">L74*0.99</f>
        <v>0</v>
      </c>
      <c r="Y74" s="533">
        <f t="shared" ref="Y74:Y76" si="134">M74*0.99</f>
        <v>0</v>
      </c>
      <c r="Z74" s="533">
        <f t="shared" ref="Z74:Z76" si="135">N74*0.99</f>
        <v>0</v>
      </c>
      <c r="AA74" s="533">
        <f t="shared" ref="AA74:AA76" si="136">O74*0.99</f>
        <v>0</v>
      </c>
      <c r="AB74" s="533">
        <f t="shared" ref="AB74:AB76" si="137">P74*0.99</f>
        <v>0</v>
      </c>
      <c r="AC74" s="533">
        <f t="shared" ref="AC74:AH76" si="138">Q74*0.99</f>
        <v>0</v>
      </c>
      <c r="AD74" s="533">
        <f t="shared" si="138"/>
        <v>0</v>
      </c>
      <c r="AE74" s="533">
        <f t="shared" si="138"/>
        <v>0</v>
      </c>
      <c r="AF74" s="533">
        <f t="shared" si="138"/>
        <v>0</v>
      </c>
      <c r="AG74" s="533">
        <f t="shared" si="138"/>
        <v>0</v>
      </c>
      <c r="AH74" s="533">
        <f t="shared" si="138"/>
        <v>0</v>
      </c>
      <c r="AI74" s="526">
        <f t="shared" ref="AI74:AT74" si="139">AI75/2</f>
        <v>445.69049999999999</v>
      </c>
      <c r="AJ74" s="526">
        <f t="shared" si="139"/>
        <v>0</v>
      </c>
      <c r="AK74" s="526">
        <f t="shared" si="139"/>
        <v>0</v>
      </c>
      <c r="AL74" s="526">
        <f t="shared" si="139"/>
        <v>495.37200000000001</v>
      </c>
      <c r="AM74" s="526">
        <f t="shared" si="139"/>
        <v>0</v>
      </c>
      <c r="AN74" s="526">
        <f t="shared" si="139"/>
        <v>0</v>
      </c>
      <c r="AO74" s="526">
        <f t="shared" si="139"/>
        <v>468.27249999999998</v>
      </c>
      <c r="AP74" s="526">
        <f t="shared" si="139"/>
        <v>0</v>
      </c>
      <c r="AQ74" s="526">
        <f t="shared" si="139"/>
        <v>0</v>
      </c>
      <c r="AR74" s="526">
        <f t="shared" si="139"/>
        <v>468.27249999999998</v>
      </c>
      <c r="AS74" s="526">
        <f t="shared" si="139"/>
        <v>0</v>
      </c>
      <c r="AT74" s="526">
        <f t="shared" si="139"/>
        <v>0</v>
      </c>
      <c r="AU74" s="210">
        <v>1</v>
      </c>
      <c r="AV74" s="208">
        <v>1</v>
      </c>
      <c r="AW74" s="160"/>
      <c r="AX74" s="162"/>
      <c r="AY74" s="162"/>
      <c r="AZ74" s="199"/>
      <c r="BA74" s="202">
        <f t="shared" si="70"/>
        <v>0</v>
      </c>
      <c r="BB74" s="202">
        <f t="shared" si="71"/>
        <v>0</v>
      </c>
      <c r="BC74" s="202">
        <f t="shared" si="72"/>
        <v>0</v>
      </c>
      <c r="BD74" s="203">
        <f t="shared" ref="BD74:BF80" si="140">BA74/AI74</f>
        <v>0</v>
      </c>
      <c r="BE74" s="203" t="e">
        <f t="shared" si="140"/>
        <v>#DIV/0!</v>
      </c>
      <c r="BF74" s="203" t="e">
        <f t="shared" si="140"/>
        <v>#DIV/0!</v>
      </c>
      <c r="BH74" s="201"/>
      <c r="BI74" s="201"/>
      <c r="BJ74" s="201"/>
      <c r="BK74" s="201"/>
      <c r="BL74" s="201"/>
      <c r="BM74" s="201"/>
      <c r="BN74" s="201"/>
      <c r="BO74" s="201"/>
      <c r="BP74" s="201"/>
      <c r="BQ74" s="201"/>
      <c r="BR74" s="201"/>
    </row>
    <row r="75" spans="1:70">
      <c r="A75" s="162"/>
      <c r="B75" s="162" t="str">
        <f>Processes!D36</f>
        <v>RDCRMM</v>
      </c>
      <c r="C75" s="162" t="str">
        <f>Processes!E36</f>
        <v xml:space="preserve">Residential Demand Cooling Rural Multi -  - Medium </v>
      </c>
      <c r="D75" s="127" t="str">
        <f>Commodities!$C$57&amp;","&amp;Commodities!C80</f>
        <v>RESCRMB,RESCRMSM</v>
      </c>
      <c r="E75" s="191" t="str">
        <f>E74</f>
        <v>RCRMB</v>
      </c>
      <c r="F75" s="191"/>
      <c r="G75" s="191"/>
      <c r="H75" s="49" cm="1">
        <f t="array" ref="H75">ROUNDUP(INDEX(Dem!$F$53:$H$56,MATCH(Buildings_DR!$E75,Dem!$B$17:$B$20,0),MATCH(RIGHT(H$51,3),Dem!$F$1:$H$1,0))*_xlfn.IFS(RIGHT($D75,1)="H",$H$48,RIGHT($D75,1)="M",$H$47,RIGHT($D75,1)="L",$H$46),2)</f>
        <v>55.79</v>
      </c>
      <c r="I75" s="49" cm="1">
        <f t="array" ref="I75">ROUNDUP(INDEX(Dem!$F$53:$H$56,MATCH(Buildings_DR!$E75,Dem!$B$17:$B$20,0),MATCH(RIGHT(I$51,3),Dem!$F$1:$H$1,0))*_xlfn.IFS(RIGHT($D75,1)="H",$H$48,RIGHT($D75,1)="M",$H$47,RIGHT($D75,1)="L",$H$46),2)</f>
        <v>0</v>
      </c>
      <c r="J75" s="49" cm="1">
        <f t="array" ref="J75">ROUNDUP(INDEX(Dem!$F$53:$H$56,MATCH(Buildings_DR!$E75,Dem!$B$17:$B$20,0),MATCH(RIGHT(J$51,3),Dem!$F$1:$H$1,0))*_xlfn.IFS(RIGHT($D75,1)="H",$H$48,RIGHT($D75,1)="M",$H$47,RIGHT($D75,1)="L",$H$46),2)</f>
        <v>0</v>
      </c>
      <c r="K75" s="49" cm="1">
        <f t="array" ref="K75">ROUNDUP(INDEX(Dem!$F$57:$H$60,MATCH(Buildings_DR!$E75,Dem!$B$17:$B$20,0),MATCH(RIGHT(K$51,3),Dem!$F$1:$H$1,0))*_xlfn.IFS(RIGHT($D75,1)="H",$H$48,RIGHT($D75,1)="M",$H$47,RIGHT($D75,1)="L",$H$46),2)</f>
        <v>57.55</v>
      </c>
      <c r="L75" s="49" cm="1">
        <f t="array" ref="L75">ROUNDUP(INDEX(Dem!$F$57:$H$60,MATCH(Buildings_DR!$E75,Dem!$B$17:$B$20,0),MATCH(RIGHT(L$51,3),Dem!$F$1:$H$1,0))*_xlfn.IFS(RIGHT($D75,1)="H",$H$48,RIGHT($D75,1)="M",$H$47,RIGHT($D75,1)="L",$H$46),2)</f>
        <v>0</v>
      </c>
      <c r="M75" s="49" cm="1">
        <f t="array" ref="M75">ROUNDUP(INDEX(Dem!$F$57:$H$60,MATCH(Buildings_DR!$E75,Dem!$B$17:$B$20,0),MATCH(RIGHT(M$51,3),Dem!$F$1:$H$1,0))*_xlfn.IFS(RIGHT($D75,1)="H",$H$48,RIGHT($D75,1)="M",$H$47,RIGHT($D75,1)="L",$H$46),2)</f>
        <v>0</v>
      </c>
      <c r="N75" s="49" cm="1">
        <f t="array" ref="N75">ROUNDUP(INDEX(Dem!$F$61:$H$64,MATCH(Buildings_DR!$E75,Dem!$B$17:$B$20,0),MATCH(RIGHT(N$51,3),Dem!$F$1:$H$1,0))*_xlfn.IFS(RIGHT($D75,1)="H",$H$48,RIGHT($D75,1)="M",$H$47,RIGHT($D75,1)="L",$H$46),2)</f>
        <v>58.41</v>
      </c>
      <c r="O75" s="49" cm="1">
        <f t="array" ref="O75">ROUNDUP(INDEX(Dem!$F$61:$H$64,MATCH(Buildings_DR!$E75,Dem!$B$17:$B$20,0),MATCH(RIGHT(O$51,3),Dem!$F$1:$H$1,0))*_xlfn.IFS(RIGHT($D75,1)="H",$H$48,RIGHT($D75,1)="M",$H$47,RIGHT($D75,1)="L",$H$46),2)</f>
        <v>0</v>
      </c>
      <c r="P75" s="49" cm="1">
        <f t="array" ref="P75">ROUNDUP(INDEX(Dem!$F$61:$H$64,MATCH(Buildings_DR!$E75,Dem!$B$17:$B$20,0),MATCH(RIGHT(P$51,3),Dem!$F$1:$H$1,0))*_xlfn.IFS(RIGHT($D75,1)="H",$H$48,RIGHT($D75,1)="M",$H$47,RIGHT($D75,1)="L",$H$46),2)</f>
        <v>0</v>
      </c>
      <c r="Q75" s="533">
        <f t="shared" si="130"/>
        <v>33.473999999999997</v>
      </c>
      <c r="R75" s="533">
        <f t="shared" si="130"/>
        <v>0</v>
      </c>
      <c r="S75" s="533">
        <f t="shared" si="130"/>
        <v>0</v>
      </c>
      <c r="T75" s="533">
        <f t="shared" si="131"/>
        <v>55.232099999999996</v>
      </c>
      <c r="U75" s="533">
        <f t="shared" si="131"/>
        <v>0</v>
      </c>
      <c r="V75" s="533">
        <f t="shared" si="131"/>
        <v>0</v>
      </c>
      <c r="W75" s="533">
        <f t="shared" si="132"/>
        <v>56.974499999999999</v>
      </c>
      <c r="X75" s="533">
        <f t="shared" si="133"/>
        <v>0</v>
      </c>
      <c r="Y75" s="533">
        <f t="shared" si="134"/>
        <v>0</v>
      </c>
      <c r="Z75" s="533">
        <f t="shared" si="135"/>
        <v>57.825899999999997</v>
      </c>
      <c r="AA75" s="533">
        <f t="shared" si="136"/>
        <v>0</v>
      </c>
      <c r="AB75" s="533">
        <f t="shared" si="137"/>
        <v>0</v>
      </c>
      <c r="AC75" s="533">
        <f t="shared" si="138"/>
        <v>33.139259999999993</v>
      </c>
      <c r="AD75" s="533">
        <f t="shared" si="138"/>
        <v>0</v>
      </c>
      <c r="AE75" s="533">
        <f t="shared" si="138"/>
        <v>0</v>
      </c>
      <c r="AF75" s="533">
        <v>5</v>
      </c>
      <c r="AG75" s="533">
        <f t="shared" si="138"/>
        <v>0</v>
      </c>
      <c r="AH75" s="533">
        <f t="shared" si="138"/>
        <v>0</v>
      </c>
      <c r="AI75" s="527">
        <f>ROUNDUP(SUM(H74:H80)/Cooling!AA10,3)</f>
        <v>891.38099999999997</v>
      </c>
      <c r="AJ75" s="527">
        <v>0</v>
      </c>
      <c r="AK75" s="527">
        <v>0</v>
      </c>
      <c r="AL75" s="527">
        <f>ROUNDUP(SUM(K74:K80)/Cooling!AA14,3)</f>
        <v>990.74400000000003</v>
      </c>
      <c r="AM75" s="527">
        <v>0</v>
      </c>
      <c r="AN75" s="527">
        <v>0</v>
      </c>
      <c r="AO75" s="527">
        <f>ROUNDUP(SUM(N74:N80)/Cooling!AA18,3)</f>
        <v>936.54499999999996</v>
      </c>
      <c r="AP75" s="527">
        <v>0</v>
      </c>
      <c r="AQ75" s="527">
        <v>0</v>
      </c>
      <c r="AR75" s="527">
        <f>AO75</f>
        <v>936.54499999999996</v>
      </c>
      <c r="AS75" s="527">
        <f>AP75</f>
        <v>0</v>
      </c>
      <c r="AT75" s="527">
        <f>AQ75</f>
        <v>0</v>
      </c>
      <c r="AU75" s="163">
        <v>1</v>
      </c>
      <c r="AV75" s="162">
        <v>1</v>
      </c>
      <c r="AW75" s="160"/>
      <c r="AX75" s="162"/>
      <c r="AY75" s="162"/>
      <c r="AZ75" s="199"/>
      <c r="BA75" s="202">
        <f t="shared" si="70"/>
        <v>55.79</v>
      </c>
      <c r="BB75" s="202">
        <f t="shared" si="71"/>
        <v>0</v>
      </c>
      <c r="BC75" s="202">
        <f t="shared" si="72"/>
        <v>0</v>
      </c>
      <c r="BD75" s="203">
        <f t="shared" si="140"/>
        <v>6.258827594485411E-2</v>
      </c>
      <c r="BE75" s="203" t="e">
        <f t="shared" si="140"/>
        <v>#DIV/0!</v>
      </c>
      <c r="BF75" s="203" t="e">
        <f t="shared" si="140"/>
        <v>#DIV/0!</v>
      </c>
      <c r="BH75" s="201"/>
      <c r="BI75" s="201"/>
      <c r="BJ75" s="201"/>
      <c r="BK75" s="201"/>
      <c r="BL75" s="201"/>
      <c r="BM75" s="201"/>
      <c r="BN75" s="201"/>
      <c r="BO75" s="201"/>
      <c r="BP75" s="201"/>
      <c r="BQ75" s="201"/>
      <c r="BR75" s="201"/>
    </row>
    <row r="76" spans="1:70">
      <c r="A76" s="162"/>
      <c r="B76" s="162" t="str">
        <f>Processes!D37</f>
        <v>RDCRMH</v>
      </c>
      <c r="C76" s="162" t="str">
        <f>Processes!E37</f>
        <v xml:space="preserve">Residential Demand Cooling Rural Multi -  - High </v>
      </c>
      <c r="D76" s="127" t="str">
        <f>Commodities!$C$57&amp;","&amp;Commodities!C81</f>
        <v>RESCRMB,RESCRMSH</v>
      </c>
      <c r="E76" s="191" t="str">
        <f>E75</f>
        <v>RCRMB</v>
      </c>
      <c r="F76" s="191"/>
      <c r="G76" s="191"/>
      <c r="H76" s="49" cm="1">
        <f t="array" ref="H76">ROUNDUP(INDEX(Dem!$F$53:$H$56,MATCH(Buildings_DR!$E76,Dem!$B$17:$B$20,0),MATCH(RIGHT(H$51,3),Dem!$F$1:$H$1,0))*_xlfn.IFS(RIGHT($D76,1)="H",$H$48,RIGHT($D76,1)="M",$H$47,RIGHT($D76,1)="L",$H$46),2)</f>
        <v>0</v>
      </c>
      <c r="I76" s="49" cm="1">
        <f t="array" ref="I76">ROUNDUP(INDEX(Dem!$F$53:$H$56,MATCH(Buildings_DR!$E76,Dem!$B$17:$B$20,0),MATCH(RIGHT(I$51,3),Dem!$F$1:$H$1,0))*_xlfn.IFS(RIGHT($D76,1)="H",$H$48,RIGHT($D76,1)="M",$H$47,RIGHT($D76,1)="L",$H$46),2)</f>
        <v>0</v>
      </c>
      <c r="J76" s="49" cm="1">
        <f t="array" ref="J76">ROUNDUP(INDEX(Dem!$F$53:$H$56,MATCH(Buildings_DR!$E76,Dem!$B$17:$B$20,0),MATCH(RIGHT(J$51,3),Dem!$F$1:$H$1,0))*_xlfn.IFS(RIGHT($D76,1)="H",$H$48,RIGHT($D76,1)="M",$H$47,RIGHT($D76,1)="L",$H$46),2)</f>
        <v>0</v>
      </c>
      <c r="K76" s="49" cm="1">
        <f t="array" ref="K76">ROUNDUP(INDEX(Dem!$F$57:$H$60,MATCH(Buildings_DR!$E76,Dem!$B$17:$B$20,0),MATCH(RIGHT(K$51,3),Dem!$F$1:$H$1,0))*_xlfn.IFS(RIGHT($D76,1)="H",$H$48,RIGHT($D76,1)="M",$H$47,RIGHT($D76,1)="L",$H$46),2)</f>
        <v>0</v>
      </c>
      <c r="L76" s="49" cm="1">
        <f t="array" ref="L76">ROUNDUP(INDEX(Dem!$F$57:$H$60,MATCH(Buildings_DR!$E76,Dem!$B$17:$B$20,0),MATCH(RIGHT(L$51,3),Dem!$F$1:$H$1,0))*_xlfn.IFS(RIGHT($D76,1)="H",$H$48,RIGHT($D76,1)="M",$H$47,RIGHT($D76,1)="L",$H$46),2)</f>
        <v>0</v>
      </c>
      <c r="M76" s="49" cm="1">
        <f t="array" ref="M76">ROUNDUP(INDEX(Dem!$F$57:$H$60,MATCH(Buildings_DR!$E76,Dem!$B$17:$B$20,0),MATCH(RIGHT(M$51,3),Dem!$F$1:$H$1,0))*_xlfn.IFS(RIGHT($D76,1)="H",$H$48,RIGHT($D76,1)="M",$H$47,RIGHT($D76,1)="L",$H$46),2)</f>
        <v>0</v>
      </c>
      <c r="N76" s="49" cm="1">
        <f t="array" ref="N76">ROUNDUP(INDEX(Dem!$F$61:$H$64,MATCH(Buildings_DR!$E76,Dem!$B$17:$B$20,0),MATCH(RIGHT(N$51,3),Dem!$F$1:$H$1,0))*_xlfn.IFS(RIGHT($D76,1)="H",$H$48,RIGHT($D76,1)="M",$H$47,RIGHT($D76,1)="L",$H$46),2)</f>
        <v>0</v>
      </c>
      <c r="O76" s="49" cm="1">
        <f t="array" ref="O76">ROUNDUP(INDEX(Dem!$F$61:$H$64,MATCH(Buildings_DR!$E76,Dem!$B$17:$B$20,0),MATCH(RIGHT(O$51,3),Dem!$F$1:$H$1,0))*_xlfn.IFS(RIGHT($D76,1)="H",$H$48,RIGHT($D76,1)="M",$H$47,RIGHT($D76,1)="L",$H$46),2)</f>
        <v>0</v>
      </c>
      <c r="P76" s="49" cm="1">
        <f t="array" ref="P76">ROUNDUP(INDEX(Dem!$F$61:$H$64,MATCH(Buildings_DR!$E76,Dem!$B$17:$B$20,0),MATCH(RIGHT(P$51,3),Dem!$F$1:$H$1,0))*_xlfn.IFS(RIGHT($D76,1)="H",$H$48,RIGHT($D76,1)="M",$H$47,RIGHT($D76,1)="L",$H$46),2)</f>
        <v>0</v>
      </c>
      <c r="Q76" s="533">
        <f t="shared" si="130"/>
        <v>0</v>
      </c>
      <c r="R76" s="533">
        <f t="shared" si="130"/>
        <v>0</v>
      </c>
      <c r="S76" s="533">
        <f t="shared" si="130"/>
        <v>0</v>
      </c>
      <c r="T76" s="533">
        <f t="shared" si="131"/>
        <v>0</v>
      </c>
      <c r="U76" s="533">
        <f t="shared" si="131"/>
        <v>0</v>
      </c>
      <c r="V76" s="533">
        <f t="shared" si="131"/>
        <v>0</v>
      </c>
      <c r="W76" s="533">
        <f t="shared" si="132"/>
        <v>0</v>
      </c>
      <c r="X76" s="533">
        <f t="shared" si="133"/>
        <v>0</v>
      </c>
      <c r="Y76" s="533">
        <f t="shared" si="134"/>
        <v>0</v>
      </c>
      <c r="Z76" s="533">
        <f t="shared" si="135"/>
        <v>0</v>
      </c>
      <c r="AA76" s="533">
        <f t="shared" si="136"/>
        <v>0</v>
      </c>
      <c r="AB76" s="533">
        <f t="shared" si="137"/>
        <v>0</v>
      </c>
      <c r="AC76" s="533">
        <f t="shared" si="138"/>
        <v>0</v>
      </c>
      <c r="AD76" s="533">
        <f t="shared" si="138"/>
        <v>0</v>
      </c>
      <c r="AE76" s="533">
        <f t="shared" si="138"/>
        <v>0</v>
      </c>
      <c r="AF76" s="533">
        <f t="shared" si="138"/>
        <v>0</v>
      </c>
      <c r="AG76" s="533">
        <f t="shared" si="138"/>
        <v>0</v>
      </c>
      <c r="AH76" s="533">
        <f t="shared" si="138"/>
        <v>0</v>
      </c>
      <c r="AI76" s="527">
        <f t="shared" ref="AI76:AQ76" si="141">AI75/2+AI77/2</f>
        <v>990.23064396887162</v>
      </c>
      <c r="AJ76" s="527">
        <f t="shared" si="141"/>
        <v>544.54014396887169</v>
      </c>
      <c r="AK76" s="527">
        <f t="shared" si="141"/>
        <v>544.54014396887169</v>
      </c>
      <c r="AL76" s="527">
        <f t="shared" si="141"/>
        <v>1039.9121439688718</v>
      </c>
      <c r="AM76" s="527">
        <f t="shared" si="141"/>
        <v>544.54014396887169</v>
      </c>
      <c r="AN76" s="527">
        <f t="shared" si="141"/>
        <v>544.54014396887169</v>
      </c>
      <c r="AO76" s="527">
        <f t="shared" si="141"/>
        <v>1012.8126439688717</v>
      </c>
      <c r="AP76" s="527">
        <f t="shared" si="141"/>
        <v>544.54014396887169</v>
      </c>
      <c r="AQ76" s="527">
        <f t="shared" si="141"/>
        <v>544.54014396887169</v>
      </c>
      <c r="AR76" s="527">
        <f t="shared" ref="AR76:AT76" si="142">AR75/2+AR77/2</f>
        <v>1012.8126439688717</v>
      </c>
      <c r="AS76" s="527">
        <f t="shared" si="142"/>
        <v>544.54014396887169</v>
      </c>
      <c r="AT76" s="527">
        <f t="shared" si="142"/>
        <v>544.54014396887169</v>
      </c>
      <c r="AU76" s="163">
        <v>1</v>
      </c>
      <c r="AV76" s="162">
        <v>1</v>
      </c>
      <c r="AW76" s="162"/>
      <c r="AX76" s="162"/>
      <c r="AY76" s="162"/>
      <c r="AZ76" s="199"/>
      <c r="BA76" s="202">
        <f t="shared" si="70"/>
        <v>0</v>
      </c>
      <c r="BB76" s="202">
        <f t="shared" si="71"/>
        <v>0</v>
      </c>
      <c r="BC76" s="202">
        <f t="shared" si="72"/>
        <v>0</v>
      </c>
      <c r="BD76" s="203">
        <f t="shared" si="140"/>
        <v>0</v>
      </c>
      <c r="BE76" s="203">
        <f t="shared" si="140"/>
        <v>0</v>
      </c>
      <c r="BF76" s="203">
        <f t="shared" si="140"/>
        <v>0</v>
      </c>
      <c r="BH76" s="201"/>
      <c r="BI76" s="201"/>
      <c r="BJ76" s="201"/>
      <c r="BK76" s="201"/>
      <c r="BL76" s="201"/>
      <c r="BM76" s="201"/>
      <c r="BN76" s="201"/>
      <c r="BO76" s="201"/>
      <c r="BP76" s="201"/>
      <c r="BQ76" s="201"/>
      <c r="BR76" s="201"/>
    </row>
    <row r="77" spans="1:70">
      <c r="B77" s="162" t="str">
        <f>Processes!D38</f>
        <v>RDCRMN</v>
      </c>
      <c r="C77" s="162" t="str">
        <f>Processes!E38</f>
        <v xml:space="preserve">Residential Demand Cooling Rural Multi -  - New </v>
      </c>
      <c r="D77" s="133" t="str">
        <f>Commodities!$C$57</f>
        <v>RESCRMB</v>
      </c>
      <c r="E77" s="191" t="str">
        <f>E76</f>
        <v>RCRMB</v>
      </c>
      <c r="F77" s="191">
        <v>2011</v>
      </c>
      <c r="G77" s="191">
        <v>2011</v>
      </c>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528">
        <f t="shared" ref="AI77:AQ77" si="143">$AI$75*AI33/$AI$31</f>
        <v>1089.0802879377434</v>
      </c>
      <c r="AJ77" s="528">
        <f t="shared" si="143"/>
        <v>1089.0802879377434</v>
      </c>
      <c r="AK77" s="528">
        <f t="shared" si="143"/>
        <v>1089.0802879377434</v>
      </c>
      <c r="AL77" s="528">
        <f t="shared" si="143"/>
        <v>1089.0802879377434</v>
      </c>
      <c r="AM77" s="528">
        <f t="shared" si="143"/>
        <v>1089.0802879377434</v>
      </c>
      <c r="AN77" s="528">
        <f t="shared" si="143"/>
        <v>1089.0802879377434</v>
      </c>
      <c r="AO77" s="528">
        <f t="shared" si="143"/>
        <v>1089.0802879377434</v>
      </c>
      <c r="AP77" s="528">
        <f t="shared" si="143"/>
        <v>1089.0802879377434</v>
      </c>
      <c r="AQ77" s="528">
        <f t="shared" si="143"/>
        <v>1089.0802879377434</v>
      </c>
      <c r="AR77" s="528">
        <f t="shared" ref="AR77:AT77" si="144">$AI$75*AR33/$AI$31</f>
        <v>1089.0802879377434</v>
      </c>
      <c r="AS77" s="528">
        <f t="shared" si="144"/>
        <v>1089.0802879377434</v>
      </c>
      <c r="AT77" s="528">
        <f t="shared" si="144"/>
        <v>1089.0802879377434</v>
      </c>
      <c r="AU77" s="163">
        <v>1</v>
      </c>
      <c r="AV77" s="168">
        <v>1</v>
      </c>
      <c r="AW77" s="162">
        <v>100</v>
      </c>
      <c r="AX77" s="162"/>
      <c r="AY77" s="162"/>
      <c r="BA77" s="202">
        <f t="shared" si="70"/>
        <v>0</v>
      </c>
      <c r="BB77" s="202">
        <f t="shared" si="71"/>
        <v>0</v>
      </c>
      <c r="BC77" s="202">
        <f t="shared" si="72"/>
        <v>0</v>
      </c>
      <c r="BD77" s="203">
        <f t="shared" si="140"/>
        <v>0</v>
      </c>
      <c r="BE77" s="203">
        <f t="shared" si="140"/>
        <v>0</v>
      </c>
      <c r="BF77" s="203">
        <f t="shared" si="140"/>
        <v>0</v>
      </c>
      <c r="BH77" s="201"/>
      <c r="BI77" s="201"/>
      <c r="BJ77" s="201"/>
      <c r="BK77" s="201"/>
      <c r="BL77" s="201"/>
      <c r="BM77" s="201"/>
      <c r="BN77" s="201"/>
      <c r="BO77" s="201"/>
      <c r="BP77" s="201"/>
      <c r="BQ77" s="201"/>
      <c r="BR77" s="201"/>
    </row>
    <row r="78" spans="1:70">
      <c r="B78" s="162"/>
      <c r="C78" s="162"/>
      <c r="D78" s="557"/>
      <c r="E78" s="191"/>
      <c r="F78" s="191">
        <v>2016</v>
      </c>
      <c r="G78" s="191"/>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528">
        <f t="shared" ref="AI78:AQ78" si="145">$AI$75*AI34/$AI$31</f>
        <v>1279.8427587548638</v>
      </c>
      <c r="AJ78" s="528">
        <f t="shared" si="145"/>
        <v>1279.8427587548638</v>
      </c>
      <c r="AK78" s="528">
        <f t="shared" si="145"/>
        <v>1279.8427587548638</v>
      </c>
      <c r="AL78" s="528">
        <f t="shared" si="145"/>
        <v>1279.8427587548638</v>
      </c>
      <c r="AM78" s="528">
        <f t="shared" si="145"/>
        <v>1279.8427587548638</v>
      </c>
      <c r="AN78" s="528">
        <f t="shared" si="145"/>
        <v>1279.8427587548638</v>
      </c>
      <c r="AO78" s="528">
        <f t="shared" si="145"/>
        <v>1279.8427587548638</v>
      </c>
      <c r="AP78" s="528">
        <f t="shared" si="145"/>
        <v>1279.8427587548638</v>
      </c>
      <c r="AQ78" s="528">
        <f t="shared" si="145"/>
        <v>1279.8427587548638</v>
      </c>
      <c r="AR78" s="528">
        <f t="shared" ref="AR78:AT78" si="146">$AI$75*AR34/$AI$31</f>
        <v>1279.8427587548638</v>
      </c>
      <c r="AS78" s="528">
        <f t="shared" si="146"/>
        <v>1279.8427587548638</v>
      </c>
      <c r="AT78" s="528">
        <f t="shared" si="146"/>
        <v>1279.8427587548638</v>
      </c>
      <c r="AU78" s="163">
        <v>1</v>
      </c>
      <c r="AV78" s="168">
        <v>1</v>
      </c>
      <c r="AW78" s="162">
        <v>100</v>
      </c>
      <c r="AX78" s="162"/>
      <c r="AY78" s="162"/>
      <c r="BA78" s="202">
        <f t="shared" si="70"/>
        <v>0</v>
      </c>
      <c r="BB78" s="202">
        <f t="shared" si="71"/>
        <v>0</v>
      </c>
      <c r="BC78" s="202">
        <f t="shared" si="72"/>
        <v>0</v>
      </c>
      <c r="BD78" s="203">
        <f t="shared" si="140"/>
        <v>0</v>
      </c>
      <c r="BE78" s="203">
        <f t="shared" si="140"/>
        <v>0</v>
      </c>
      <c r="BF78" s="203">
        <f t="shared" si="140"/>
        <v>0</v>
      </c>
      <c r="BH78" s="201"/>
      <c r="BI78" s="201"/>
      <c r="BJ78" s="201"/>
      <c r="BK78" s="201"/>
      <c r="BL78" s="201"/>
      <c r="BM78" s="201"/>
      <c r="BN78" s="201"/>
      <c r="BO78" s="201"/>
      <c r="BP78" s="201"/>
      <c r="BQ78" s="201"/>
      <c r="BR78" s="201"/>
    </row>
    <row r="79" spans="1:70">
      <c r="B79" s="162"/>
      <c r="C79" s="162"/>
      <c r="D79" s="557"/>
      <c r="E79" s="191"/>
      <c r="F79" s="191">
        <v>2021</v>
      </c>
      <c r="G79" s="191"/>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528">
        <f t="shared" ref="AI79:AQ79" si="147">$AI$75*AI35/$AI$31</f>
        <v>2108.792404669261</v>
      </c>
      <c r="AJ79" s="528">
        <f t="shared" si="147"/>
        <v>2108.792404669261</v>
      </c>
      <c r="AK79" s="528">
        <f t="shared" si="147"/>
        <v>2108.792404669261</v>
      </c>
      <c r="AL79" s="528">
        <f t="shared" si="147"/>
        <v>2108.792404669261</v>
      </c>
      <c r="AM79" s="528">
        <f t="shared" si="147"/>
        <v>2108.792404669261</v>
      </c>
      <c r="AN79" s="528">
        <f t="shared" si="147"/>
        <v>2108.792404669261</v>
      </c>
      <c r="AO79" s="528">
        <f t="shared" si="147"/>
        <v>2108.792404669261</v>
      </c>
      <c r="AP79" s="528">
        <f t="shared" si="147"/>
        <v>2108.792404669261</v>
      </c>
      <c r="AQ79" s="528">
        <f t="shared" si="147"/>
        <v>2108.792404669261</v>
      </c>
      <c r="AR79" s="528">
        <f t="shared" ref="AR79:AT79" si="148">$AI$75*AR35/$AI$31</f>
        <v>2108.792404669261</v>
      </c>
      <c r="AS79" s="528">
        <f t="shared" si="148"/>
        <v>2108.792404669261</v>
      </c>
      <c r="AT79" s="528">
        <f t="shared" si="148"/>
        <v>2108.792404669261</v>
      </c>
      <c r="AU79" s="163">
        <v>1</v>
      </c>
      <c r="AV79" s="168">
        <v>1</v>
      </c>
      <c r="AW79" s="162">
        <v>100</v>
      </c>
      <c r="AX79" s="162"/>
      <c r="AY79" s="162"/>
      <c r="BA79" s="202">
        <f t="shared" si="70"/>
        <v>0</v>
      </c>
      <c r="BB79" s="202">
        <f t="shared" si="71"/>
        <v>0</v>
      </c>
      <c r="BC79" s="202">
        <f t="shared" si="72"/>
        <v>0</v>
      </c>
      <c r="BD79" s="203">
        <f t="shared" si="140"/>
        <v>0</v>
      </c>
      <c r="BE79" s="203">
        <f t="shared" si="140"/>
        <v>0</v>
      </c>
      <c r="BF79" s="203">
        <f t="shared" si="140"/>
        <v>0</v>
      </c>
      <c r="BH79" s="201"/>
      <c r="BI79" s="201"/>
      <c r="BJ79" s="201"/>
      <c r="BK79" s="201"/>
      <c r="BL79" s="201"/>
      <c r="BM79" s="201"/>
      <c r="BN79" s="201"/>
      <c r="BO79" s="201"/>
      <c r="BP79" s="201"/>
      <c r="BQ79" s="201"/>
      <c r="BR79" s="201"/>
    </row>
    <row r="80" spans="1:70">
      <c r="B80" s="211"/>
      <c r="C80" s="211"/>
      <c r="D80" s="558"/>
      <c r="E80" s="212"/>
      <c r="F80" s="212">
        <v>2031</v>
      </c>
      <c r="G80" s="212"/>
      <c r="H80" s="212"/>
      <c r="I80" s="212"/>
      <c r="J80" s="212"/>
      <c r="K80" s="212"/>
      <c r="L80" s="212"/>
      <c r="M80" s="212"/>
      <c r="N80" s="212"/>
      <c r="O80" s="212"/>
      <c r="P80" s="212"/>
      <c r="Q80" s="191"/>
      <c r="R80" s="191"/>
      <c r="S80" s="191"/>
      <c r="T80" s="191"/>
      <c r="U80" s="191"/>
      <c r="V80" s="191"/>
      <c r="W80" s="191"/>
      <c r="X80" s="191"/>
      <c r="Y80" s="191"/>
      <c r="Z80" s="191"/>
      <c r="AA80" s="191"/>
      <c r="AB80" s="191"/>
      <c r="AC80" s="191"/>
      <c r="AD80" s="191"/>
      <c r="AE80" s="191"/>
      <c r="AF80" s="191"/>
      <c r="AG80" s="191"/>
      <c r="AH80" s="191"/>
      <c r="AI80" s="528">
        <f t="shared" ref="AI80:AQ80" si="149">$AI$75*AI36/$AI$31</f>
        <v>2407.0755408560312</v>
      </c>
      <c r="AJ80" s="528">
        <f t="shared" si="149"/>
        <v>2407.0755408560312</v>
      </c>
      <c r="AK80" s="528">
        <f t="shared" si="149"/>
        <v>2407.0755408560312</v>
      </c>
      <c r="AL80" s="528">
        <f t="shared" si="149"/>
        <v>2407.0755408560312</v>
      </c>
      <c r="AM80" s="528">
        <f t="shared" si="149"/>
        <v>2407.0755408560312</v>
      </c>
      <c r="AN80" s="528">
        <f t="shared" si="149"/>
        <v>2407.0755408560312</v>
      </c>
      <c r="AO80" s="528">
        <f t="shared" si="149"/>
        <v>2407.0755408560312</v>
      </c>
      <c r="AP80" s="528">
        <f t="shared" si="149"/>
        <v>2407.0755408560312</v>
      </c>
      <c r="AQ80" s="528">
        <f t="shared" si="149"/>
        <v>2407.0755408560312</v>
      </c>
      <c r="AR80" s="528">
        <f t="shared" ref="AR80:AT80" si="150">$AI$75*AR36/$AI$31</f>
        <v>2407.0755408560312</v>
      </c>
      <c r="AS80" s="528">
        <f t="shared" si="150"/>
        <v>2407.0755408560312</v>
      </c>
      <c r="AT80" s="528">
        <f t="shared" si="150"/>
        <v>2407.0755408560312</v>
      </c>
      <c r="AU80" s="213">
        <v>1</v>
      </c>
      <c r="AV80" s="214">
        <v>1</v>
      </c>
      <c r="AW80" s="211">
        <v>100</v>
      </c>
      <c r="AX80" s="162"/>
      <c r="AY80" s="162"/>
      <c r="BA80" s="202">
        <f t="shared" si="70"/>
        <v>0</v>
      </c>
      <c r="BB80" s="202">
        <f t="shared" si="71"/>
        <v>0</v>
      </c>
      <c r="BC80" s="202">
        <f t="shared" si="72"/>
        <v>0</v>
      </c>
      <c r="BD80" s="219">
        <f t="shared" si="140"/>
        <v>0</v>
      </c>
      <c r="BE80" s="219">
        <f t="shared" si="140"/>
        <v>0</v>
      </c>
      <c r="BF80" s="219">
        <f t="shared" si="140"/>
        <v>0</v>
      </c>
      <c r="BH80" s="201"/>
      <c r="BI80" s="201"/>
      <c r="BJ80" s="201"/>
      <c r="BK80" s="201"/>
      <c r="BL80" s="201"/>
      <c r="BM80" s="201"/>
      <c r="BN80" s="201"/>
      <c r="BO80" s="201"/>
      <c r="BP80" s="201"/>
      <c r="BQ80" s="201"/>
      <c r="BR80" s="201"/>
    </row>
    <row r="81" spans="2:72">
      <c r="B81" s="162"/>
      <c r="C81" s="162"/>
      <c r="D81" s="557"/>
      <c r="E81" s="191"/>
      <c r="F81" s="191"/>
      <c r="G81" s="191"/>
      <c r="H81" s="191"/>
      <c r="I81" s="191"/>
      <c r="J81" s="191"/>
      <c r="K81" s="191"/>
      <c r="L81" s="191"/>
      <c r="M81" s="191"/>
      <c r="N81" s="191"/>
      <c r="O81" s="191"/>
      <c r="P81" s="191"/>
      <c r="Q81" s="191"/>
      <c r="R81" s="191"/>
      <c r="S81" s="191"/>
      <c r="T81" s="191"/>
      <c r="U81" s="191"/>
      <c r="V81" s="191"/>
      <c r="W81" s="191"/>
      <c r="X81" s="191"/>
      <c r="Y81" s="191"/>
      <c r="Z81" s="191"/>
      <c r="AA81" s="191"/>
      <c r="AB81" s="191"/>
      <c r="AC81" s="191"/>
      <c r="AD81" s="191"/>
      <c r="AE81" s="191"/>
      <c r="AF81" s="191"/>
      <c r="AG81" s="191"/>
      <c r="AH81" s="191"/>
      <c r="AI81" s="528"/>
      <c r="AJ81" s="528"/>
      <c r="AK81" s="528"/>
      <c r="AL81" s="528"/>
      <c r="AM81" s="528"/>
      <c r="AN81" s="528"/>
      <c r="AO81" s="528"/>
      <c r="AP81" s="528"/>
      <c r="AQ81" s="528"/>
      <c r="AR81" s="528"/>
      <c r="AS81" s="528"/>
      <c r="AT81" s="528"/>
      <c r="AU81" s="163"/>
      <c r="AV81" s="168"/>
      <c r="AW81" s="162"/>
      <c r="AX81" s="162"/>
      <c r="AY81" s="162"/>
      <c r="BA81" s="203"/>
      <c r="BB81" s="203"/>
      <c r="BC81" s="203"/>
      <c r="BD81" s="203"/>
      <c r="BE81" s="203"/>
      <c r="BF81" s="203"/>
      <c r="BH81" s="201"/>
      <c r="BI81" s="201"/>
      <c r="BJ81" s="201"/>
      <c r="BK81" s="201"/>
      <c r="BL81" s="201"/>
      <c r="BM81" s="201"/>
      <c r="BN81" s="201"/>
      <c r="BO81" s="201"/>
      <c r="BP81" s="201"/>
      <c r="BQ81" s="201"/>
      <c r="BR81" s="201"/>
    </row>
    <row r="82" spans="2:72">
      <c r="B82" s="162"/>
      <c r="C82" s="162"/>
      <c r="D82" s="557"/>
      <c r="E82" s="191"/>
      <c r="F82" s="191"/>
      <c r="G82" s="191"/>
      <c r="AC82" s="156"/>
      <c r="AD82" s="156"/>
      <c r="AE82" s="156"/>
      <c r="AF82" s="190"/>
      <c r="AG82" s="190"/>
      <c r="AH82" s="190"/>
      <c r="AI82" s="190"/>
      <c r="AJ82" s="190"/>
      <c r="AK82" s="190"/>
      <c r="AL82" s="190"/>
      <c r="AM82" s="190"/>
      <c r="AN82" s="190"/>
      <c r="AZ82" s="287" t="s">
        <v>195</v>
      </c>
      <c r="BD82" s="289">
        <f>SUM(Cooling!AA7:AA8)</f>
        <v>3.3037674880000001</v>
      </c>
      <c r="BE82" s="289">
        <f>SUM(Cooling!AB7:AB8)</f>
        <v>0</v>
      </c>
      <c r="BF82" s="289">
        <f>SUM(Cooling!AC7:AC8)</f>
        <v>0</v>
      </c>
      <c r="BG82" s="287"/>
      <c r="BH82" s="201"/>
      <c r="BI82" s="201"/>
      <c r="BJ82" s="201"/>
      <c r="BK82" s="201"/>
      <c r="BL82" s="201"/>
      <c r="BM82" s="201"/>
      <c r="BN82" s="201"/>
      <c r="BO82" s="201"/>
      <c r="BP82" s="201"/>
      <c r="BQ82" s="201"/>
      <c r="BR82" s="201"/>
    </row>
    <row r="83" spans="2:72">
      <c r="B83" s="162"/>
      <c r="C83" s="162"/>
      <c r="D83" s="557"/>
      <c r="E83" s="191"/>
      <c r="F83" s="191"/>
      <c r="G83" s="191"/>
      <c r="H83" s="224"/>
      <c r="I83" s="224"/>
      <c r="J83" s="224"/>
      <c r="K83" s="224"/>
      <c r="L83" s="224"/>
      <c r="M83" s="224"/>
      <c r="N83" s="224"/>
      <c r="O83" s="224"/>
      <c r="P83" s="224"/>
      <c r="Q83" s="224"/>
      <c r="R83" s="224"/>
      <c r="S83" s="224"/>
      <c r="T83" s="224"/>
      <c r="U83" s="224"/>
      <c r="V83" s="224"/>
      <c r="W83" s="224"/>
      <c r="X83" s="224"/>
      <c r="Y83" s="224"/>
      <c r="Z83" s="224"/>
      <c r="AA83" s="224"/>
      <c r="AB83" s="224"/>
      <c r="AC83" s="224"/>
      <c r="AD83" s="224"/>
      <c r="AE83" s="224"/>
      <c r="AF83" s="190"/>
      <c r="AG83" s="190"/>
      <c r="AH83" s="190"/>
      <c r="AI83" s="190"/>
      <c r="AJ83" s="190"/>
      <c r="AK83" s="190"/>
      <c r="AL83" s="190"/>
      <c r="AM83" s="190"/>
      <c r="AN83" s="190"/>
      <c r="BD83" s="289">
        <f>SUM(Cooling!X9:X10)</f>
        <v>1.1668245119999998</v>
      </c>
      <c r="BE83" s="289">
        <f>SUM(Cooling!Y9:Y10)</f>
        <v>0</v>
      </c>
      <c r="BF83" s="289">
        <f>SUM(Cooling!Z9:Z10)</f>
        <v>0</v>
      </c>
      <c r="BG83" s="288"/>
      <c r="BH83" s="201"/>
      <c r="BI83" s="201"/>
      <c r="BJ83" s="201"/>
      <c r="BK83" s="201"/>
      <c r="BL83" s="201"/>
      <c r="BM83" s="201"/>
      <c r="BN83" s="201"/>
      <c r="BO83" s="201"/>
      <c r="BP83" s="201"/>
      <c r="BQ83" s="201"/>
      <c r="BR83" s="201"/>
    </row>
    <row r="84" spans="2:72">
      <c r="B84" s="162"/>
      <c r="C84" s="162"/>
      <c r="D84" s="557"/>
      <c r="E84" s="191"/>
      <c r="F84" s="191"/>
      <c r="G84" s="191"/>
      <c r="H84" s="224"/>
      <c r="I84" s="224"/>
      <c r="J84" s="224"/>
      <c r="K84" s="224"/>
      <c r="L84" s="224"/>
      <c r="M84" s="224"/>
      <c r="N84" s="224"/>
      <c r="O84" s="224"/>
      <c r="P84" s="224"/>
      <c r="Q84" s="224"/>
      <c r="R84" s="224"/>
      <c r="S84" s="224"/>
      <c r="T84" s="224"/>
      <c r="U84" s="224"/>
      <c r="V84" s="224"/>
      <c r="W84" s="224"/>
      <c r="X84" s="224"/>
      <c r="Y84" s="224"/>
      <c r="Z84" s="224"/>
      <c r="AA84" s="224"/>
      <c r="AB84" s="224"/>
      <c r="AC84" s="224"/>
      <c r="AD84" s="224"/>
      <c r="AE84" s="224"/>
      <c r="AF84" s="190"/>
      <c r="AG84" s="190"/>
      <c r="AH84" s="190"/>
      <c r="AI84" s="190"/>
      <c r="AJ84" s="190"/>
      <c r="AK84" s="190"/>
      <c r="AL84" s="190"/>
      <c r="AM84" s="190"/>
      <c r="AN84" s="190"/>
      <c r="AO84" s="190"/>
      <c r="AR84" s="190"/>
      <c r="AZ84" s="282" t="s">
        <v>194</v>
      </c>
      <c r="BA84"/>
      <c r="BB84"/>
      <c r="BC84"/>
      <c r="BD84" s="283">
        <f>SUM(BD53:BD66)</f>
        <v>3.3037658454128147</v>
      </c>
      <c r="BE84" s="283" t="e">
        <f>SUM(BE53:BE66)</f>
        <v>#DIV/0!</v>
      </c>
      <c r="BF84" s="283" t="e">
        <f>SUM(BF53:BF66)</f>
        <v>#DIV/0!</v>
      </c>
      <c r="BG84" s="283"/>
      <c r="BH84" s="285"/>
      <c r="BI84" s="201"/>
      <c r="BJ84" s="201"/>
      <c r="BK84" s="201"/>
      <c r="BL84" s="201"/>
      <c r="BM84" s="201"/>
      <c r="BN84" s="201"/>
      <c r="BO84" s="201"/>
      <c r="BP84" s="201"/>
      <c r="BQ84" s="201"/>
      <c r="BR84" s="201"/>
      <c r="BS84" s="201"/>
    </row>
    <row r="85" spans="2:72">
      <c r="B85" s="162"/>
      <c r="C85" s="162"/>
      <c r="D85" s="557"/>
      <c r="E85" s="191"/>
      <c r="F85" s="191"/>
      <c r="G85" s="191"/>
      <c r="H85" s="224"/>
      <c r="I85" s="224"/>
      <c r="J85" s="224"/>
      <c r="K85" s="224"/>
      <c r="L85" s="224"/>
      <c r="M85" s="224"/>
      <c r="N85" s="224"/>
      <c r="O85" s="224"/>
      <c r="P85" s="224"/>
      <c r="Q85" s="224"/>
      <c r="R85" s="224"/>
      <c r="S85" s="224"/>
      <c r="T85" s="224"/>
      <c r="U85" s="224"/>
      <c r="V85" s="224"/>
      <c r="W85" s="224"/>
      <c r="X85" s="224"/>
      <c r="Y85" s="224"/>
      <c r="Z85" s="224"/>
      <c r="AA85" s="224"/>
      <c r="AB85" s="224"/>
      <c r="AC85" s="224"/>
      <c r="AD85" s="224"/>
      <c r="AE85" s="224"/>
      <c r="AF85" s="225"/>
      <c r="AG85" s="225"/>
      <c r="AH85" s="225"/>
      <c r="AI85" s="225"/>
      <c r="AJ85" s="225"/>
      <c r="AK85" s="225"/>
      <c r="AL85" s="225"/>
      <c r="AM85" s="225"/>
      <c r="AN85" s="225"/>
      <c r="AO85" s="190"/>
      <c r="AP85" s="190"/>
      <c r="AR85" s="190"/>
      <c r="AS85" s="190"/>
      <c r="BD85" s="283">
        <f>SUM(BD67:BD80)</f>
        <v>1.1668233843055642</v>
      </c>
      <c r="BE85" s="283" t="e">
        <f>SUM(BE67:BE80)</f>
        <v>#DIV/0!</v>
      </c>
      <c r="BF85" s="283" t="e">
        <f>SUM(BF67:BF80)</f>
        <v>#DIV/0!</v>
      </c>
      <c r="BG85" s="284"/>
      <c r="BH85" s="283"/>
      <c r="BI85" s="286"/>
      <c r="BJ85" s="201"/>
      <c r="BK85" s="201"/>
      <c r="BL85" s="201"/>
      <c r="BM85" s="201"/>
      <c r="BN85" s="201"/>
      <c r="BO85" s="201"/>
      <c r="BP85" s="201"/>
      <c r="BQ85" s="201"/>
      <c r="BR85" s="201"/>
      <c r="BS85" s="201"/>
      <c r="BT85" s="201"/>
    </row>
    <row r="86" spans="2:72">
      <c r="B86" s="162"/>
      <c r="C86" s="162"/>
      <c r="D86" s="557"/>
      <c r="E86" s="191"/>
      <c r="F86" s="191"/>
      <c r="G86" s="191"/>
      <c r="H86" s="224"/>
      <c r="I86" s="224"/>
      <c r="J86" s="224"/>
      <c r="K86" s="224"/>
      <c r="L86" s="224"/>
      <c r="M86" s="224"/>
      <c r="N86" s="224"/>
      <c r="O86" s="224"/>
      <c r="P86" s="224"/>
      <c r="Q86" s="224"/>
      <c r="R86" s="224"/>
      <c r="S86" s="224"/>
      <c r="T86" s="224"/>
      <c r="U86" s="224"/>
      <c r="V86" s="224"/>
      <c r="W86" s="224"/>
      <c r="X86" s="224"/>
      <c r="Y86" s="224"/>
      <c r="Z86" s="224"/>
      <c r="AA86" s="224"/>
      <c r="AB86" s="224"/>
      <c r="AC86" s="224"/>
      <c r="AD86" s="224"/>
      <c r="AE86" s="224"/>
      <c r="AF86" s="225"/>
      <c r="AG86" s="225"/>
      <c r="AH86" s="225"/>
      <c r="AI86" s="225"/>
      <c r="AJ86" s="225"/>
      <c r="AK86" s="225"/>
      <c r="AL86" s="225"/>
      <c r="AM86" s="225"/>
      <c r="AN86" s="225"/>
      <c r="AO86" s="190"/>
      <c r="AP86" s="190"/>
      <c r="AR86" s="190"/>
      <c r="AS86" s="190"/>
      <c r="BD86" s="221">
        <f>BD82-BD84</f>
        <v>1.6425871853797958E-6</v>
      </c>
      <c r="BE86" s="221" t="e">
        <f>BE82-BE84</f>
        <v>#DIV/0!</v>
      </c>
      <c r="BF86" s="221" t="e">
        <f>BF82-BF84</f>
        <v>#DIV/0!</v>
      </c>
      <c r="BG86" s="221"/>
      <c r="BH86" s="221"/>
      <c r="BJ86" s="201"/>
      <c r="BK86" s="201"/>
      <c r="BL86" s="201"/>
      <c r="BM86" s="201"/>
      <c r="BN86" s="201"/>
      <c r="BO86" s="201"/>
      <c r="BP86" s="201"/>
      <c r="BQ86" s="201"/>
      <c r="BR86" s="201"/>
      <c r="BS86" s="201"/>
      <c r="BT86" s="201"/>
    </row>
    <row r="87" spans="2:72">
      <c r="B87" s="162"/>
      <c r="C87" s="162"/>
      <c r="D87" s="557"/>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0"/>
      <c r="AG87" s="190"/>
      <c r="AH87" s="190"/>
      <c r="AI87" s="190"/>
      <c r="AJ87" s="190"/>
      <c r="AK87" s="190"/>
      <c r="AL87" s="190"/>
      <c r="AM87" s="190"/>
      <c r="AN87" s="190"/>
      <c r="AO87" s="190"/>
      <c r="AP87" s="190"/>
      <c r="AR87" s="190"/>
      <c r="AS87" s="190"/>
    </row>
    <row r="88" spans="2:72">
      <c r="B88" s="162"/>
      <c r="C88" s="162"/>
      <c r="D88" s="557"/>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0"/>
      <c r="AG88" s="190"/>
      <c r="AH88" s="190"/>
      <c r="AI88" s="190"/>
      <c r="AJ88" s="190"/>
      <c r="AK88" s="190"/>
      <c r="AL88" s="190"/>
      <c r="AM88" s="190"/>
      <c r="AN88" s="190"/>
      <c r="AO88" s="190"/>
      <c r="AP88" s="190"/>
      <c r="AR88" s="190"/>
      <c r="AS88" s="190"/>
    </row>
    <row r="89" spans="2:72">
      <c r="B89" s="162"/>
      <c r="C89" s="162"/>
      <c r="D89" s="557"/>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0"/>
      <c r="AG89" s="190"/>
      <c r="AH89" s="190"/>
      <c r="AI89" s="190"/>
      <c r="AJ89" s="190"/>
      <c r="AK89" s="190"/>
      <c r="AL89" s="190"/>
      <c r="AM89" s="190"/>
      <c r="AN89" s="190"/>
      <c r="AO89" s="190"/>
      <c r="AP89" s="190"/>
      <c r="AR89" s="190"/>
      <c r="AS89" s="190"/>
    </row>
    <row r="90" spans="2:72">
      <c r="B90" s="162"/>
      <c r="C90" s="162"/>
      <c r="D90" s="557"/>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0"/>
      <c r="AG90" s="190"/>
      <c r="AH90" s="190"/>
      <c r="AI90" s="190"/>
      <c r="AJ90" s="190"/>
      <c r="AK90" s="190"/>
      <c r="AL90" s="190"/>
      <c r="AM90" s="190"/>
      <c r="AN90" s="190"/>
      <c r="AO90" s="190"/>
      <c r="AP90" s="190"/>
      <c r="AR90" s="190"/>
      <c r="AS90" s="190"/>
    </row>
    <row r="91" spans="2:72">
      <c r="B91" s="162"/>
      <c r="C91" s="162"/>
      <c r="D91" s="557"/>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0"/>
      <c r="AG91" s="190"/>
      <c r="AH91" s="190"/>
      <c r="AI91" s="190"/>
      <c r="AJ91" s="190"/>
      <c r="AK91" s="190"/>
      <c r="AL91" s="190"/>
      <c r="AM91" s="190"/>
      <c r="AN91" s="190"/>
      <c r="AO91" s="190"/>
      <c r="AP91" s="190"/>
      <c r="AR91" s="190"/>
      <c r="AS91" s="190"/>
    </row>
    <row r="92" spans="2:72">
      <c r="B92" s="162"/>
      <c r="C92" s="162"/>
      <c r="D92" s="557"/>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0"/>
      <c r="AG92" s="190"/>
      <c r="AH92" s="190"/>
      <c r="AI92" s="190"/>
      <c r="AJ92" s="190"/>
      <c r="AK92" s="190"/>
      <c r="AL92" s="190"/>
      <c r="AM92" s="190"/>
      <c r="AN92" s="190"/>
      <c r="AO92" s="190"/>
      <c r="AP92" s="190"/>
      <c r="AR92" s="190"/>
      <c r="AS92" s="190"/>
    </row>
    <row r="93" spans="2:72">
      <c r="B93" s="162"/>
      <c r="C93" s="162"/>
      <c r="D93" s="557"/>
      <c r="E93" s="191"/>
      <c r="F93" s="191"/>
      <c r="G93" s="191"/>
      <c r="H93" s="191"/>
      <c r="I93" s="191"/>
      <c r="J93" s="191"/>
      <c r="K93" s="191"/>
      <c r="L93" s="191"/>
      <c r="M93" s="191"/>
      <c r="N93" s="191"/>
      <c r="O93" s="191"/>
      <c r="P93" s="191"/>
      <c r="Q93" s="191"/>
      <c r="R93" s="191"/>
      <c r="S93" s="191"/>
      <c r="T93" s="191"/>
      <c r="U93" s="191"/>
      <c r="V93" s="191"/>
      <c r="W93" s="191"/>
      <c r="X93" s="191"/>
      <c r="Y93" s="191"/>
      <c r="Z93" s="191"/>
      <c r="AA93" s="191"/>
      <c r="AB93" s="191"/>
      <c r="AC93" s="191"/>
      <c r="AD93" s="191"/>
      <c r="AE93" s="191"/>
      <c r="AF93" s="190"/>
      <c r="AG93" s="190"/>
      <c r="AH93" s="190"/>
      <c r="AI93" s="190"/>
      <c r="AJ93" s="190"/>
      <c r="AK93" s="190"/>
      <c r="AL93" s="190"/>
      <c r="AM93" s="190"/>
      <c r="AN93" s="190"/>
      <c r="AO93" s="190"/>
      <c r="AP93" s="190"/>
      <c r="AR93" s="190"/>
      <c r="AS93" s="190"/>
    </row>
    <row r="94" spans="2:72">
      <c r="B94" s="162"/>
      <c r="C94" s="162"/>
      <c r="D94" s="557"/>
      <c r="E94" s="191"/>
      <c r="F94" s="191"/>
      <c r="G94" s="191"/>
      <c r="H94" s="191"/>
      <c r="I94" s="191"/>
      <c r="J94" s="191"/>
      <c r="K94" s="191"/>
      <c r="L94" s="191"/>
      <c r="M94" s="191"/>
      <c r="N94" s="191"/>
      <c r="O94" s="191"/>
      <c r="P94" s="191"/>
      <c r="Q94" s="191"/>
      <c r="R94" s="191"/>
      <c r="S94" s="191"/>
      <c r="T94" s="191"/>
      <c r="U94" s="191"/>
      <c r="V94" s="191"/>
      <c r="W94" s="191"/>
      <c r="X94" s="191"/>
      <c r="Y94" s="191"/>
      <c r="Z94" s="191"/>
      <c r="AA94" s="191"/>
      <c r="AB94" s="191"/>
      <c r="AC94" s="191"/>
      <c r="AD94" s="191"/>
      <c r="AE94" s="191"/>
      <c r="AF94" s="190"/>
      <c r="AG94" s="190"/>
      <c r="AH94" s="190"/>
      <c r="AI94" s="190"/>
      <c r="AJ94" s="190"/>
      <c r="AK94" s="190"/>
      <c r="AL94" s="190"/>
      <c r="AM94" s="190"/>
      <c r="AN94" s="190"/>
      <c r="AO94" s="190"/>
      <c r="AP94" s="190"/>
      <c r="AR94" s="190"/>
      <c r="AS94" s="190"/>
    </row>
    <row r="95" spans="2:72">
      <c r="B95" s="162"/>
      <c r="C95" s="162"/>
      <c r="D95" s="557"/>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190"/>
      <c r="AD95" s="190"/>
      <c r="AE95" s="190"/>
      <c r="AF95" s="190"/>
      <c r="AG95" s="190"/>
      <c r="AH95" s="190"/>
      <c r="AI95" s="190"/>
      <c r="AJ95" s="190"/>
      <c r="AK95" s="190"/>
      <c r="AL95" s="190"/>
      <c r="AM95" s="190"/>
    </row>
    <row r="96" spans="2:72">
      <c r="B96" s="162"/>
      <c r="C96" s="162"/>
      <c r="D96" s="557"/>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0"/>
      <c r="AD96" s="190"/>
      <c r="AE96" s="190"/>
      <c r="AF96" s="190"/>
      <c r="AG96" s="190"/>
      <c r="AH96" s="190"/>
      <c r="AI96" s="190"/>
      <c r="AJ96" s="190"/>
      <c r="AK96" s="190"/>
      <c r="AL96" s="190"/>
      <c r="AM96" s="190"/>
    </row>
    <row r="97" spans="2:39">
      <c r="B97" s="162"/>
      <c r="C97" s="162"/>
      <c r="D97" s="557"/>
      <c r="E97" s="191"/>
      <c r="F97" s="191"/>
      <c r="G97" s="191"/>
      <c r="H97" s="191"/>
      <c r="I97" s="191"/>
      <c r="J97" s="191"/>
      <c r="K97" s="191"/>
      <c r="L97" s="191"/>
      <c r="M97" s="191"/>
      <c r="N97" s="191"/>
      <c r="O97" s="191"/>
      <c r="P97" s="191"/>
      <c r="Q97" s="191"/>
      <c r="R97" s="191"/>
      <c r="S97" s="191"/>
      <c r="T97" s="191"/>
      <c r="U97" s="191"/>
      <c r="V97" s="191"/>
      <c r="W97" s="191"/>
      <c r="X97" s="191"/>
      <c r="Y97" s="191"/>
      <c r="Z97" s="191"/>
      <c r="AA97" s="191"/>
      <c r="AB97" s="191"/>
      <c r="AC97" s="190"/>
      <c r="AD97" s="190"/>
      <c r="AE97" s="190"/>
      <c r="AF97" s="190"/>
      <c r="AG97" s="190"/>
      <c r="AH97" s="190"/>
      <c r="AI97" s="190"/>
      <c r="AJ97" s="190"/>
      <c r="AK97" s="190"/>
      <c r="AL97" s="190"/>
      <c r="AM97" s="190"/>
    </row>
    <row r="98" spans="2:39">
      <c r="B98" s="162"/>
      <c r="C98" s="162"/>
      <c r="D98" s="557"/>
      <c r="E98" s="191"/>
      <c r="F98" s="191"/>
      <c r="G98" s="191"/>
      <c r="H98" s="191"/>
      <c r="I98" s="191"/>
      <c r="J98" s="191"/>
      <c r="K98" s="191"/>
      <c r="L98" s="191"/>
      <c r="M98" s="191"/>
      <c r="N98" s="191"/>
      <c r="O98" s="191"/>
      <c r="P98" s="191"/>
      <c r="Q98" s="191"/>
      <c r="R98" s="191"/>
      <c r="S98" s="191"/>
      <c r="T98" s="191"/>
      <c r="U98" s="191"/>
      <c r="V98" s="191"/>
      <c r="W98" s="191"/>
      <c r="X98" s="191"/>
      <c r="Y98" s="191"/>
      <c r="Z98" s="191"/>
      <c r="AA98" s="191"/>
      <c r="AB98" s="191"/>
      <c r="AC98" s="190"/>
      <c r="AD98" s="190"/>
      <c r="AE98" s="190"/>
      <c r="AF98" s="190"/>
      <c r="AG98" s="190"/>
      <c r="AH98" s="190"/>
      <c r="AI98" s="190"/>
      <c r="AJ98" s="190"/>
      <c r="AK98" s="190"/>
      <c r="AL98" s="190"/>
      <c r="AM98" s="190"/>
    </row>
    <row r="99" spans="2:39">
      <c r="B99" s="162"/>
      <c r="C99" s="162"/>
      <c r="D99" s="557"/>
      <c r="E99" s="191"/>
      <c r="F99" s="191"/>
      <c r="G99" s="191"/>
      <c r="H99" s="191"/>
      <c r="I99" s="191"/>
      <c r="J99" s="191"/>
      <c r="K99" s="191"/>
      <c r="L99" s="191"/>
      <c r="M99" s="191"/>
      <c r="N99" s="191"/>
      <c r="O99" s="191"/>
      <c r="P99" s="191"/>
      <c r="Q99" s="191"/>
      <c r="R99" s="191"/>
      <c r="S99" s="191"/>
      <c r="T99" s="191"/>
      <c r="U99" s="191"/>
      <c r="V99" s="191"/>
      <c r="W99" s="191"/>
      <c r="X99" s="191"/>
      <c r="Y99" s="191"/>
      <c r="Z99" s="191"/>
      <c r="AA99" s="191"/>
      <c r="AB99" s="191"/>
      <c r="AC99" s="190"/>
      <c r="AD99" s="190"/>
      <c r="AE99" s="190"/>
      <c r="AF99" s="190"/>
      <c r="AG99" s="190"/>
      <c r="AH99" s="190"/>
      <c r="AI99" s="190"/>
      <c r="AJ99" s="190"/>
      <c r="AK99" s="190"/>
      <c r="AL99" s="190"/>
      <c r="AM99" s="190"/>
    </row>
    <row r="100" spans="2:39">
      <c r="B100" s="162"/>
      <c r="C100" s="162"/>
      <c r="D100" s="557"/>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c r="AA100" s="191"/>
      <c r="AB100" s="191"/>
      <c r="AC100" s="190"/>
      <c r="AD100" s="190"/>
      <c r="AE100" s="190"/>
      <c r="AF100" s="190"/>
      <c r="AG100" s="190"/>
      <c r="AH100" s="190"/>
      <c r="AI100" s="190"/>
      <c r="AJ100" s="190"/>
      <c r="AK100" s="190"/>
      <c r="AL100" s="190"/>
      <c r="AM100" s="190"/>
    </row>
    <row r="101" spans="2:39">
      <c r="B101" s="162"/>
      <c r="C101" s="162"/>
      <c r="D101" s="557"/>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c r="AA101" s="191"/>
      <c r="AB101" s="191"/>
      <c r="AC101" s="190"/>
      <c r="AD101" s="190"/>
      <c r="AE101" s="190"/>
      <c r="AF101" s="190"/>
      <c r="AG101" s="190"/>
      <c r="AH101" s="190"/>
      <c r="AI101" s="190"/>
      <c r="AJ101" s="190"/>
      <c r="AK101" s="190"/>
      <c r="AL101" s="190"/>
      <c r="AM101" s="190"/>
    </row>
    <row r="102" spans="2:39">
      <c r="B102" s="162"/>
      <c r="C102" s="162"/>
      <c r="D102" s="557"/>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c r="AA102" s="191"/>
      <c r="AB102" s="191"/>
      <c r="AC102" s="190"/>
      <c r="AD102" s="190"/>
      <c r="AE102" s="190"/>
      <c r="AF102" s="190"/>
      <c r="AG102" s="190"/>
      <c r="AH102" s="190"/>
      <c r="AI102" s="190"/>
      <c r="AJ102" s="190"/>
      <c r="AK102" s="190"/>
      <c r="AL102" s="190"/>
      <c r="AM102" s="190"/>
    </row>
    <row r="103" spans="2:39">
      <c r="B103" s="162"/>
      <c r="C103" s="162"/>
      <c r="D103" s="557"/>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c r="AA103" s="191"/>
      <c r="AB103" s="191"/>
      <c r="AC103" s="190"/>
      <c r="AD103" s="190"/>
      <c r="AE103" s="190"/>
      <c r="AF103" s="190"/>
      <c r="AG103" s="190"/>
      <c r="AH103" s="190"/>
      <c r="AI103" s="190"/>
      <c r="AJ103" s="190"/>
      <c r="AK103" s="190"/>
      <c r="AL103" s="190"/>
      <c r="AM103" s="190"/>
    </row>
    <row r="104" spans="2:39">
      <c r="B104" s="162"/>
      <c r="C104" s="162"/>
      <c r="D104" s="557"/>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c r="AA104" s="191"/>
      <c r="AB104" s="191"/>
      <c r="AC104" s="190"/>
      <c r="AD104" s="190"/>
      <c r="AE104" s="190"/>
      <c r="AF104" s="190"/>
      <c r="AG104" s="190"/>
      <c r="AH104" s="190"/>
      <c r="AI104" s="190"/>
      <c r="AJ104" s="190"/>
      <c r="AK104" s="190"/>
      <c r="AL104" s="190"/>
      <c r="AM104" s="190"/>
    </row>
    <row r="105" spans="2:39">
      <c r="B105" s="162"/>
      <c r="C105" s="162"/>
      <c r="D105" s="557"/>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c r="AA105" s="191"/>
      <c r="AB105" s="191"/>
      <c r="AC105" s="190"/>
      <c r="AD105" s="190"/>
      <c r="AE105" s="190"/>
      <c r="AF105" s="190"/>
      <c r="AG105" s="190"/>
      <c r="AH105" s="190"/>
      <c r="AI105" s="190"/>
      <c r="AJ105" s="190"/>
      <c r="AK105" s="190"/>
      <c r="AL105" s="190"/>
      <c r="AM105" s="190"/>
    </row>
    <row r="106" spans="2:39">
      <c r="B106" s="162"/>
      <c r="C106" s="162"/>
      <c r="D106" s="557"/>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c r="AA106" s="191"/>
      <c r="AB106" s="191"/>
      <c r="AC106" s="190"/>
      <c r="AD106" s="190"/>
      <c r="AE106" s="190"/>
      <c r="AF106" s="190"/>
      <c r="AG106" s="190"/>
      <c r="AH106" s="190"/>
      <c r="AI106" s="190"/>
      <c r="AJ106" s="190"/>
      <c r="AK106" s="190"/>
      <c r="AL106" s="190"/>
      <c r="AM106" s="190"/>
    </row>
    <row r="107" spans="2:39">
      <c r="B107" s="162"/>
      <c r="C107" s="162"/>
      <c r="D107" s="557"/>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c r="AA107" s="191"/>
      <c r="AB107" s="191"/>
      <c r="AC107" s="190"/>
      <c r="AD107" s="190"/>
      <c r="AE107" s="190"/>
      <c r="AF107" s="190"/>
      <c r="AG107" s="190"/>
      <c r="AH107" s="190"/>
      <c r="AI107" s="190"/>
      <c r="AJ107" s="190"/>
      <c r="AK107" s="190"/>
      <c r="AL107" s="190"/>
      <c r="AM107" s="190"/>
    </row>
    <row r="108" spans="2:39">
      <c r="B108" s="162"/>
      <c r="C108" s="162"/>
      <c r="D108" s="557"/>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c r="AA108" s="191"/>
      <c r="AB108" s="191"/>
      <c r="AC108" s="190"/>
      <c r="AD108" s="190"/>
      <c r="AE108" s="190"/>
      <c r="AF108" s="190"/>
      <c r="AG108" s="190"/>
      <c r="AH108" s="190"/>
      <c r="AI108" s="190"/>
      <c r="AJ108" s="190"/>
      <c r="AK108" s="190"/>
      <c r="AL108" s="190"/>
      <c r="AM108" s="190"/>
    </row>
    <row r="109" spans="2:39">
      <c r="B109" s="162"/>
      <c r="C109" s="162"/>
      <c r="D109" s="557"/>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c r="AA109" s="191"/>
      <c r="AB109" s="191"/>
      <c r="AC109" s="190"/>
      <c r="AD109" s="190"/>
      <c r="AE109" s="190"/>
      <c r="AF109" s="190"/>
      <c r="AG109" s="190"/>
      <c r="AH109" s="190"/>
      <c r="AI109" s="190"/>
      <c r="AJ109" s="190"/>
      <c r="AK109" s="190"/>
      <c r="AL109" s="190"/>
      <c r="AM109" s="190"/>
    </row>
    <row r="110" spans="2:39">
      <c r="B110" s="162"/>
      <c r="C110" s="162"/>
      <c r="D110" s="557"/>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0"/>
      <c r="AD110" s="190"/>
      <c r="AE110" s="190"/>
      <c r="AF110" s="190"/>
      <c r="AG110" s="190"/>
      <c r="AH110" s="190"/>
      <c r="AI110" s="190"/>
      <c r="AJ110" s="190"/>
      <c r="AK110" s="190"/>
      <c r="AL110" s="190"/>
      <c r="AM110" s="190"/>
    </row>
    <row r="111" spans="2:39">
      <c r="B111" s="162"/>
      <c r="C111" s="162"/>
      <c r="D111" s="557"/>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c r="AA111" s="191"/>
      <c r="AB111" s="191"/>
      <c r="AC111" s="190"/>
      <c r="AD111" s="190"/>
      <c r="AE111" s="190"/>
      <c r="AF111" s="190"/>
      <c r="AG111" s="190"/>
      <c r="AH111" s="190"/>
      <c r="AI111" s="190"/>
      <c r="AJ111" s="190"/>
      <c r="AK111" s="190"/>
      <c r="AL111" s="190"/>
      <c r="AM111" s="190"/>
    </row>
    <row r="112" spans="2:39">
      <c r="B112" s="162"/>
      <c r="C112" s="162"/>
      <c r="D112" s="557"/>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c r="AA112" s="191"/>
      <c r="AB112" s="191"/>
      <c r="AC112" s="190"/>
      <c r="AD112" s="190"/>
      <c r="AE112" s="190"/>
      <c r="AF112" s="190"/>
      <c r="AG112" s="190"/>
      <c r="AH112" s="190"/>
      <c r="AI112" s="190"/>
      <c r="AJ112" s="190"/>
      <c r="AK112" s="190"/>
      <c r="AL112" s="190"/>
      <c r="AM112" s="190"/>
    </row>
    <row r="113" spans="2:39">
      <c r="B113" s="162"/>
      <c r="C113" s="162"/>
      <c r="D113" s="557"/>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c r="AA113" s="191"/>
      <c r="AB113" s="191"/>
      <c r="AC113" s="190"/>
      <c r="AD113" s="190"/>
      <c r="AE113" s="190"/>
      <c r="AF113" s="190"/>
      <c r="AG113" s="190"/>
      <c r="AH113" s="190"/>
      <c r="AI113" s="190"/>
      <c r="AJ113" s="190"/>
      <c r="AK113" s="190"/>
      <c r="AL113" s="190"/>
      <c r="AM113" s="190"/>
    </row>
    <row r="114" spans="2:39">
      <c r="B114" s="162"/>
      <c r="C114" s="162"/>
      <c r="D114" s="557"/>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c r="AA114" s="191"/>
      <c r="AB114" s="191"/>
      <c r="AC114" s="190"/>
      <c r="AD114" s="190"/>
      <c r="AE114" s="190"/>
      <c r="AF114" s="190"/>
      <c r="AG114" s="190"/>
      <c r="AH114" s="190"/>
      <c r="AI114" s="190"/>
      <c r="AJ114" s="190"/>
      <c r="AK114" s="190"/>
      <c r="AL114" s="190"/>
      <c r="AM114" s="190"/>
    </row>
    <row r="115" spans="2:39">
      <c r="B115" s="162"/>
      <c r="C115" s="162"/>
      <c r="D115" s="557"/>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c r="AA115" s="191"/>
      <c r="AB115" s="191"/>
      <c r="AC115" s="190"/>
      <c r="AD115" s="190"/>
      <c r="AE115" s="190"/>
      <c r="AF115" s="190"/>
      <c r="AG115" s="190"/>
      <c r="AH115" s="190"/>
      <c r="AI115" s="190"/>
      <c r="AJ115" s="190"/>
      <c r="AK115" s="190"/>
      <c r="AL115" s="190"/>
      <c r="AM115" s="190"/>
    </row>
    <row r="116" spans="2:39">
      <c r="B116" s="162"/>
      <c r="C116" s="162"/>
      <c r="D116" s="557"/>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c r="AA116" s="191"/>
      <c r="AB116" s="191"/>
      <c r="AC116" s="190"/>
      <c r="AD116" s="190"/>
      <c r="AE116" s="190"/>
      <c r="AF116" s="190"/>
      <c r="AG116" s="190"/>
      <c r="AH116" s="190"/>
      <c r="AI116" s="190"/>
      <c r="AJ116" s="190"/>
      <c r="AK116" s="190"/>
      <c r="AL116" s="190"/>
      <c r="AM116" s="190"/>
    </row>
    <row r="117" spans="2:39">
      <c r="B117" s="162"/>
      <c r="C117" s="162"/>
      <c r="D117" s="557"/>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c r="AA117" s="191"/>
      <c r="AB117" s="191"/>
      <c r="AC117" s="190"/>
      <c r="AD117" s="190"/>
      <c r="AE117" s="190"/>
      <c r="AF117" s="190"/>
      <c r="AG117" s="190"/>
      <c r="AH117" s="190"/>
      <c r="AI117" s="190"/>
      <c r="AJ117" s="190"/>
      <c r="AK117" s="190"/>
      <c r="AL117" s="190"/>
      <c r="AM117" s="190"/>
    </row>
    <row r="118" spans="2:39">
      <c r="B118" s="162"/>
      <c r="C118" s="162"/>
      <c r="D118" s="557"/>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c r="AA118" s="191"/>
      <c r="AB118" s="191"/>
      <c r="AC118" s="190"/>
      <c r="AD118" s="190"/>
      <c r="AE118" s="190"/>
      <c r="AF118" s="190"/>
      <c r="AG118" s="190"/>
      <c r="AH118" s="190"/>
      <c r="AI118" s="190"/>
      <c r="AJ118" s="190"/>
      <c r="AK118" s="190"/>
      <c r="AL118" s="190"/>
      <c r="AM118" s="190"/>
    </row>
    <row r="119" spans="2:39">
      <c r="B119" s="162"/>
      <c r="C119" s="162"/>
      <c r="D119" s="557"/>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c r="AA119" s="191"/>
      <c r="AB119" s="191"/>
      <c r="AC119" s="190"/>
      <c r="AD119" s="190"/>
      <c r="AE119" s="190"/>
      <c r="AF119" s="190"/>
      <c r="AG119" s="190"/>
      <c r="AH119" s="190"/>
      <c r="AI119" s="190"/>
      <c r="AJ119" s="190"/>
      <c r="AK119" s="190"/>
      <c r="AL119" s="190"/>
      <c r="AM119" s="190"/>
    </row>
    <row r="120" spans="2:39">
      <c r="B120" s="162"/>
      <c r="C120" s="162"/>
      <c r="D120" s="557"/>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c r="AA120" s="191"/>
      <c r="AB120" s="191"/>
      <c r="AC120" s="190"/>
      <c r="AD120" s="190"/>
      <c r="AE120" s="190"/>
      <c r="AF120" s="190"/>
      <c r="AG120" s="190"/>
      <c r="AH120" s="190"/>
      <c r="AI120" s="190"/>
      <c r="AJ120" s="190"/>
      <c r="AK120" s="190"/>
      <c r="AL120" s="190"/>
      <c r="AM120" s="190"/>
    </row>
    <row r="121" spans="2:39">
      <c r="B121" s="162"/>
      <c r="C121" s="162"/>
      <c r="D121" s="557"/>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c r="AA121" s="191"/>
      <c r="AB121" s="191"/>
      <c r="AC121" s="190"/>
      <c r="AD121" s="190"/>
      <c r="AE121" s="190"/>
      <c r="AF121" s="190"/>
      <c r="AG121" s="190"/>
      <c r="AH121" s="190"/>
      <c r="AI121" s="190"/>
      <c r="AJ121" s="190"/>
      <c r="AK121" s="190"/>
      <c r="AL121" s="190"/>
      <c r="AM121" s="190"/>
    </row>
    <row r="122" spans="2:39">
      <c r="B122" s="162"/>
      <c r="C122" s="162"/>
      <c r="D122" s="557"/>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c r="AA122" s="191"/>
      <c r="AB122" s="191"/>
      <c r="AC122" s="190"/>
      <c r="AD122" s="190"/>
      <c r="AE122" s="190"/>
      <c r="AF122" s="190"/>
      <c r="AG122" s="190"/>
      <c r="AH122" s="190"/>
      <c r="AI122" s="190"/>
      <c r="AJ122" s="190"/>
      <c r="AK122" s="190"/>
      <c r="AL122" s="190"/>
      <c r="AM122" s="190"/>
    </row>
    <row r="123" spans="2:39">
      <c r="B123" s="162"/>
      <c r="C123" s="162"/>
      <c r="D123" s="557"/>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c r="AA123" s="191"/>
      <c r="AB123" s="191"/>
      <c r="AC123" s="190"/>
      <c r="AD123" s="190"/>
      <c r="AE123" s="190"/>
      <c r="AF123" s="190"/>
      <c r="AG123" s="190"/>
      <c r="AH123" s="190"/>
      <c r="AI123" s="190"/>
      <c r="AJ123" s="190"/>
      <c r="AK123" s="190"/>
      <c r="AL123" s="190"/>
      <c r="AM123" s="190"/>
    </row>
    <row r="124" spans="2:39">
      <c r="B124" s="162"/>
      <c r="C124" s="162"/>
      <c r="D124" s="557"/>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c r="AA124" s="191"/>
      <c r="AB124" s="191"/>
      <c r="AC124" s="190"/>
      <c r="AD124" s="190"/>
      <c r="AE124" s="190"/>
      <c r="AF124" s="190"/>
      <c r="AG124" s="190"/>
      <c r="AH124" s="190"/>
      <c r="AI124" s="190"/>
      <c r="AJ124" s="190"/>
      <c r="AK124" s="190"/>
      <c r="AL124" s="190"/>
      <c r="AM124" s="190"/>
    </row>
    <row r="125" spans="2:39">
      <c r="B125" s="162"/>
      <c r="C125" s="162"/>
      <c r="D125" s="557"/>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0"/>
      <c r="AD125" s="190"/>
      <c r="AE125" s="190"/>
      <c r="AF125" s="190"/>
      <c r="AG125" s="190"/>
      <c r="AH125" s="190"/>
      <c r="AI125" s="190"/>
      <c r="AJ125" s="190"/>
      <c r="AK125" s="190"/>
      <c r="AL125" s="190"/>
      <c r="AM125" s="190"/>
    </row>
    <row r="126" spans="2:39">
      <c r="B126" s="162"/>
      <c r="C126" s="162"/>
      <c r="D126" s="557"/>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c r="AA126" s="191"/>
      <c r="AB126" s="191"/>
      <c r="AC126" s="190"/>
      <c r="AD126" s="190"/>
      <c r="AE126" s="190"/>
      <c r="AF126" s="190"/>
      <c r="AG126" s="190"/>
      <c r="AH126" s="190"/>
      <c r="AI126" s="190"/>
      <c r="AJ126" s="190"/>
      <c r="AK126" s="190"/>
      <c r="AL126" s="190"/>
      <c r="AM126" s="190"/>
    </row>
    <row r="127" spans="2:39">
      <c r="B127" s="162"/>
      <c r="C127" s="162"/>
      <c r="D127" s="557"/>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c r="AA127" s="191"/>
      <c r="AB127" s="191"/>
      <c r="AC127" s="190"/>
      <c r="AD127" s="190"/>
      <c r="AE127" s="190"/>
      <c r="AF127" s="190"/>
      <c r="AG127" s="190"/>
      <c r="AH127" s="190"/>
      <c r="AI127" s="190"/>
      <c r="AJ127" s="190"/>
      <c r="AK127" s="190"/>
      <c r="AL127" s="190"/>
      <c r="AM127" s="190"/>
    </row>
    <row r="128" spans="2:39">
      <c r="B128" s="162"/>
      <c r="C128" s="162"/>
      <c r="D128" s="557"/>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0"/>
      <c r="AD128" s="190"/>
      <c r="AE128" s="190"/>
      <c r="AF128" s="190"/>
      <c r="AG128" s="190"/>
      <c r="AH128" s="190"/>
      <c r="AI128" s="190"/>
      <c r="AJ128" s="190"/>
      <c r="AK128" s="190"/>
      <c r="AL128" s="190"/>
      <c r="AM128" s="190"/>
    </row>
    <row r="129" spans="2:39">
      <c r="B129" s="162"/>
      <c r="C129" s="162"/>
      <c r="D129" s="557"/>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0"/>
      <c r="AD129" s="190"/>
      <c r="AE129" s="190"/>
      <c r="AF129" s="190"/>
      <c r="AG129" s="190"/>
      <c r="AH129" s="190"/>
      <c r="AI129" s="190"/>
      <c r="AJ129" s="190"/>
      <c r="AK129" s="190"/>
      <c r="AL129" s="190"/>
      <c r="AM129" s="190"/>
    </row>
    <row r="130" spans="2:39">
      <c r="B130" s="162"/>
      <c r="C130" s="162"/>
      <c r="D130" s="557"/>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c r="AA130" s="191"/>
      <c r="AB130" s="191"/>
      <c r="AC130" s="190"/>
      <c r="AD130" s="190"/>
      <c r="AE130" s="190"/>
      <c r="AF130" s="190"/>
      <c r="AG130" s="190"/>
      <c r="AH130" s="190"/>
      <c r="AI130" s="190"/>
      <c r="AJ130" s="190"/>
      <c r="AK130" s="190"/>
      <c r="AL130" s="190"/>
      <c r="AM130" s="190"/>
    </row>
    <row r="131" spans="2:39">
      <c r="B131" s="162"/>
      <c r="C131" s="162"/>
      <c r="D131" s="557"/>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c r="AA131" s="191"/>
      <c r="AB131" s="191"/>
      <c r="AC131" s="190"/>
      <c r="AD131" s="190"/>
      <c r="AE131" s="190"/>
      <c r="AF131" s="190"/>
      <c r="AG131" s="190"/>
      <c r="AH131" s="190"/>
      <c r="AI131" s="190"/>
      <c r="AJ131" s="190"/>
      <c r="AK131" s="190"/>
      <c r="AL131" s="190"/>
      <c r="AM131" s="190"/>
    </row>
    <row r="132" spans="2:39">
      <c r="B132" s="162"/>
      <c r="C132" s="162"/>
      <c r="D132" s="557"/>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c r="AA132" s="191"/>
      <c r="AB132" s="191"/>
      <c r="AC132" s="190"/>
      <c r="AD132" s="190"/>
      <c r="AE132" s="190"/>
      <c r="AF132" s="190"/>
      <c r="AG132" s="190"/>
      <c r="AH132" s="190"/>
      <c r="AI132" s="190"/>
      <c r="AJ132" s="190"/>
      <c r="AK132" s="190"/>
      <c r="AL132" s="190"/>
      <c r="AM132" s="190"/>
    </row>
    <row r="133" spans="2:39">
      <c r="B133" s="162"/>
      <c r="C133" s="162"/>
      <c r="D133" s="557"/>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c r="AA133" s="191"/>
      <c r="AB133" s="191"/>
      <c r="AC133" s="190"/>
      <c r="AD133" s="190"/>
      <c r="AE133" s="190"/>
      <c r="AF133" s="190"/>
      <c r="AG133" s="190"/>
      <c r="AH133" s="190"/>
      <c r="AI133" s="190"/>
      <c r="AJ133" s="190"/>
      <c r="AK133" s="190"/>
      <c r="AL133" s="190"/>
      <c r="AM133" s="190"/>
    </row>
    <row r="134" spans="2:39">
      <c r="B134" s="162"/>
      <c r="C134" s="162"/>
      <c r="D134" s="557"/>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191"/>
      <c r="AB134" s="191"/>
      <c r="AC134" s="190"/>
      <c r="AD134" s="190"/>
      <c r="AE134" s="190"/>
      <c r="AF134" s="190"/>
      <c r="AG134" s="190"/>
      <c r="AH134" s="190"/>
      <c r="AI134" s="190"/>
      <c r="AJ134" s="190"/>
      <c r="AK134" s="190"/>
      <c r="AL134" s="190"/>
      <c r="AM134" s="190"/>
    </row>
    <row r="135" spans="2:39">
      <c r="B135" s="162"/>
      <c r="C135" s="162"/>
      <c r="D135" s="557"/>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c r="AA135" s="191"/>
      <c r="AB135" s="191"/>
      <c r="AC135" s="190"/>
      <c r="AD135" s="190"/>
      <c r="AE135" s="190"/>
      <c r="AF135" s="190"/>
      <c r="AG135" s="190"/>
      <c r="AH135" s="190"/>
      <c r="AI135" s="190"/>
      <c r="AJ135" s="190"/>
      <c r="AK135" s="190"/>
      <c r="AL135" s="190"/>
      <c r="AM135" s="190"/>
    </row>
    <row r="136" spans="2:39">
      <c r="B136" s="162"/>
      <c r="C136" s="162"/>
      <c r="D136" s="557"/>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c r="AA136" s="191"/>
      <c r="AB136" s="191"/>
      <c r="AC136" s="190"/>
      <c r="AD136" s="190"/>
      <c r="AE136" s="190"/>
      <c r="AF136" s="190"/>
      <c r="AG136" s="190"/>
      <c r="AH136" s="190"/>
      <c r="AI136" s="190"/>
      <c r="AJ136" s="190"/>
      <c r="AK136" s="190"/>
      <c r="AL136" s="190"/>
      <c r="AM136" s="190"/>
    </row>
    <row r="137" spans="2:39">
      <c r="B137" s="162"/>
      <c r="C137" s="162"/>
      <c r="D137" s="557"/>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c r="AA137" s="191"/>
      <c r="AB137" s="191"/>
      <c r="AC137" s="190"/>
      <c r="AD137" s="190"/>
      <c r="AE137" s="190"/>
      <c r="AF137" s="190"/>
      <c r="AG137" s="190"/>
      <c r="AH137" s="190"/>
      <c r="AI137" s="190"/>
      <c r="AJ137" s="190"/>
      <c r="AK137" s="190"/>
      <c r="AL137" s="190"/>
      <c r="AM137" s="190"/>
    </row>
    <row r="138" spans="2:39">
      <c r="B138" s="162"/>
      <c r="C138" s="162"/>
      <c r="D138" s="557"/>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c r="AA138" s="191"/>
      <c r="AB138" s="191"/>
      <c r="AC138" s="190"/>
      <c r="AD138" s="190"/>
      <c r="AE138" s="190"/>
      <c r="AF138" s="190"/>
      <c r="AG138" s="190"/>
      <c r="AH138" s="190"/>
      <c r="AI138" s="190"/>
      <c r="AJ138" s="190"/>
      <c r="AK138" s="190"/>
      <c r="AL138" s="190"/>
      <c r="AM138" s="190"/>
    </row>
    <row r="139" spans="2:39">
      <c r="B139" s="162"/>
      <c r="C139" s="162"/>
      <c r="D139" s="557"/>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c r="AA139" s="191"/>
      <c r="AB139" s="191"/>
      <c r="AC139" s="190"/>
      <c r="AD139" s="190"/>
      <c r="AE139" s="190"/>
      <c r="AF139" s="190"/>
      <c r="AG139" s="190"/>
      <c r="AH139" s="190"/>
      <c r="AI139" s="190"/>
      <c r="AJ139" s="190"/>
      <c r="AK139" s="190"/>
      <c r="AL139" s="190"/>
      <c r="AM139" s="190"/>
    </row>
    <row r="140" spans="2:39">
      <c r="B140" s="162"/>
      <c r="C140" s="162"/>
      <c r="D140" s="557"/>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c r="AA140" s="191"/>
      <c r="AB140" s="191"/>
      <c r="AC140" s="190"/>
      <c r="AD140" s="190"/>
      <c r="AE140" s="190"/>
      <c r="AF140" s="190"/>
      <c r="AG140" s="190"/>
      <c r="AH140" s="190"/>
      <c r="AI140" s="190"/>
      <c r="AJ140" s="190"/>
      <c r="AK140" s="190"/>
      <c r="AL140" s="190"/>
      <c r="AM140" s="190"/>
    </row>
    <row r="141" spans="2:39">
      <c r="B141" s="162"/>
      <c r="C141" s="162"/>
      <c r="D141" s="557"/>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c r="AA141" s="191"/>
      <c r="AB141" s="191"/>
      <c r="AC141" s="190"/>
      <c r="AD141" s="190"/>
      <c r="AE141" s="190"/>
      <c r="AF141" s="190"/>
      <c r="AG141" s="190"/>
      <c r="AH141" s="190"/>
      <c r="AI141" s="190"/>
      <c r="AJ141" s="190"/>
      <c r="AK141" s="190"/>
      <c r="AL141" s="190"/>
      <c r="AM141" s="190"/>
    </row>
    <row r="142" spans="2:39">
      <c r="B142" s="162"/>
      <c r="C142" s="162"/>
      <c r="D142" s="557"/>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0"/>
      <c r="AD142" s="190"/>
      <c r="AE142" s="190"/>
      <c r="AF142" s="190"/>
      <c r="AG142" s="190"/>
      <c r="AH142" s="190"/>
      <c r="AI142" s="190"/>
      <c r="AJ142" s="190"/>
      <c r="AK142" s="190"/>
      <c r="AL142" s="190"/>
      <c r="AM142" s="190"/>
    </row>
    <row r="143" spans="2:39">
      <c r="B143" s="162"/>
      <c r="C143" s="162"/>
      <c r="D143" s="557"/>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c r="AA143" s="191"/>
      <c r="AB143" s="191"/>
      <c r="AC143" s="190"/>
      <c r="AD143" s="190"/>
      <c r="AE143" s="190"/>
      <c r="AF143" s="190"/>
      <c r="AG143" s="190"/>
      <c r="AH143" s="190"/>
      <c r="AI143" s="190"/>
      <c r="AJ143" s="190"/>
      <c r="AK143" s="190"/>
      <c r="AL143" s="190"/>
      <c r="AM143" s="190"/>
    </row>
    <row r="144" spans="2:39">
      <c r="B144" s="162"/>
      <c r="C144" s="162"/>
      <c r="D144" s="557"/>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c r="AA144" s="191"/>
      <c r="AB144" s="191"/>
      <c r="AC144" s="190"/>
      <c r="AD144" s="190"/>
      <c r="AE144" s="190"/>
      <c r="AF144" s="190"/>
      <c r="AG144" s="190"/>
      <c r="AH144" s="190"/>
      <c r="AI144" s="190"/>
      <c r="AJ144" s="190"/>
      <c r="AK144" s="190"/>
      <c r="AL144" s="190"/>
      <c r="AM144" s="190"/>
    </row>
    <row r="145" spans="2:39">
      <c r="B145" s="162"/>
      <c r="C145" s="162"/>
      <c r="D145" s="557"/>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c r="AA145" s="191"/>
      <c r="AB145" s="191"/>
      <c r="AC145" s="190"/>
      <c r="AD145" s="190"/>
      <c r="AE145" s="190"/>
      <c r="AF145" s="190"/>
      <c r="AG145" s="190"/>
      <c r="AH145" s="190"/>
      <c r="AI145" s="190"/>
      <c r="AJ145" s="190"/>
      <c r="AK145" s="190"/>
      <c r="AL145" s="190"/>
      <c r="AM145" s="190"/>
    </row>
    <row r="146" spans="2:39">
      <c r="B146" s="162"/>
      <c r="C146" s="162"/>
      <c r="D146" s="557"/>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c r="AA146" s="191"/>
      <c r="AB146" s="191"/>
      <c r="AC146" s="190"/>
      <c r="AD146" s="190"/>
      <c r="AE146" s="190"/>
      <c r="AF146" s="190"/>
      <c r="AG146" s="190"/>
      <c r="AH146" s="190"/>
      <c r="AI146" s="190"/>
      <c r="AJ146" s="190"/>
      <c r="AK146" s="190"/>
      <c r="AL146" s="190"/>
      <c r="AM146" s="190"/>
    </row>
    <row r="147" spans="2:39">
      <c r="B147" s="162"/>
      <c r="C147" s="162"/>
      <c r="D147" s="557"/>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c r="AA147" s="191"/>
      <c r="AB147" s="191"/>
      <c r="AC147" s="190"/>
      <c r="AD147" s="190"/>
      <c r="AE147" s="190"/>
      <c r="AF147" s="190"/>
      <c r="AG147" s="190"/>
      <c r="AH147" s="190"/>
      <c r="AI147" s="190"/>
      <c r="AJ147" s="190"/>
      <c r="AK147" s="190"/>
      <c r="AL147" s="190"/>
      <c r="AM147" s="190"/>
    </row>
    <row r="148" spans="2:39">
      <c r="B148" s="162"/>
      <c r="C148" s="162"/>
      <c r="D148" s="557"/>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c r="AA148" s="191"/>
      <c r="AB148" s="191"/>
      <c r="AC148" s="190"/>
      <c r="AD148" s="190"/>
      <c r="AE148" s="190"/>
      <c r="AF148" s="190"/>
      <c r="AG148" s="190"/>
      <c r="AH148" s="190"/>
      <c r="AI148" s="190"/>
      <c r="AJ148" s="190"/>
      <c r="AK148" s="190"/>
      <c r="AL148" s="190"/>
      <c r="AM148" s="190"/>
    </row>
    <row r="149" spans="2:39">
      <c r="B149" s="162"/>
      <c r="C149" s="162"/>
      <c r="D149" s="557"/>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c r="AA149" s="191"/>
      <c r="AB149" s="191"/>
      <c r="AC149" s="190"/>
      <c r="AD149" s="190"/>
      <c r="AE149" s="190"/>
      <c r="AF149" s="190"/>
      <c r="AG149" s="190"/>
      <c r="AH149" s="190"/>
      <c r="AI149" s="190"/>
      <c r="AJ149" s="190"/>
      <c r="AK149" s="190"/>
      <c r="AL149" s="190"/>
      <c r="AM149" s="190"/>
    </row>
    <row r="150" spans="2:39">
      <c r="B150" s="162"/>
      <c r="C150" s="162"/>
      <c r="D150" s="557"/>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c r="AA150" s="191"/>
      <c r="AB150" s="191"/>
      <c r="AC150" s="190"/>
      <c r="AD150" s="190"/>
      <c r="AE150" s="190"/>
      <c r="AF150" s="190"/>
      <c r="AG150" s="190"/>
      <c r="AH150" s="190"/>
      <c r="AI150" s="190"/>
      <c r="AJ150" s="190"/>
      <c r="AK150" s="190"/>
      <c r="AL150" s="190"/>
      <c r="AM150" s="190"/>
    </row>
    <row r="151" spans="2:39">
      <c r="B151" s="162"/>
      <c r="C151" s="162"/>
      <c r="D151" s="557"/>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c r="AA151" s="191"/>
      <c r="AB151" s="191"/>
      <c r="AC151" s="190"/>
      <c r="AD151" s="190"/>
      <c r="AE151" s="190"/>
      <c r="AF151" s="190"/>
      <c r="AG151" s="190"/>
      <c r="AH151" s="190"/>
      <c r="AI151" s="190"/>
      <c r="AJ151" s="190"/>
      <c r="AK151" s="190"/>
      <c r="AL151" s="190"/>
      <c r="AM151" s="190"/>
    </row>
    <row r="152" spans="2:39">
      <c r="B152" s="162"/>
      <c r="C152" s="162"/>
      <c r="D152" s="557"/>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0"/>
      <c r="AD152" s="190"/>
      <c r="AE152" s="190"/>
      <c r="AF152" s="190"/>
      <c r="AG152" s="190"/>
      <c r="AH152" s="190"/>
      <c r="AI152" s="190"/>
      <c r="AJ152" s="190"/>
      <c r="AK152" s="190"/>
      <c r="AL152" s="190"/>
      <c r="AM152" s="190"/>
    </row>
    <row r="153" spans="2:39">
      <c r="B153" s="162"/>
      <c r="C153" s="162"/>
      <c r="D153" s="557"/>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0"/>
      <c r="AD153" s="190"/>
      <c r="AE153" s="190"/>
      <c r="AF153" s="190"/>
      <c r="AG153" s="190"/>
      <c r="AH153" s="190"/>
      <c r="AI153" s="190"/>
      <c r="AJ153" s="190"/>
      <c r="AK153" s="190"/>
      <c r="AL153" s="190"/>
      <c r="AM153" s="190"/>
    </row>
    <row r="154" spans="2:39">
      <c r="B154" s="162"/>
      <c r="C154" s="162"/>
      <c r="D154" s="557"/>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0"/>
      <c r="AD154" s="190"/>
      <c r="AE154" s="190"/>
      <c r="AF154" s="190"/>
      <c r="AG154" s="190"/>
      <c r="AH154" s="190"/>
      <c r="AI154" s="190"/>
      <c r="AJ154" s="190"/>
      <c r="AK154" s="190"/>
      <c r="AL154" s="190"/>
      <c r="AM154" s="190"/>
    </row>
    <row r="155" spans="2:39">
      <c r="B155" s="162"/>
      <c r="C155" s="162"/>
      <c r="D155" s="557"/>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c r="AA155" s="191"/>
      <c r="AB155" s="191"/>
      <c r="AC155" s="190"/>
      <c r="AD155" s="190"/>
      <c r="AE155" s="190"/>
      <c r="AF155" s="190"/>
      <c r="AG155" s="190"/>
      <c r="AH155" s="190"/>
      <c r="AI155" s="190"/>
      <c r="AJ155" s="190"/>
      <c r="AK155" s="190"/>
      <c r="AL155" s="190"/>
      <c r="AM155" s="190"/>
    </row>
    <row r="156" spans="2:39">
      <c r="B156" s="162"/>
      <c r="C156" s="162"/>
      <c r="D156" s="557"/>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c r="AA156" s="191"/>
      <c r="AB156" s="191"/>
      <c r="AC156" s="190"/>
      <c r="AD156" s="190"/>
      <c r="AE156" s="190"/>
      <c r="AF156" s="190"/>
      <c r="AG156" s="190"/>
      <c r="AH156" s="190"/>
      <c r="AI156" s="190"/>
      <c r="AJ156" s="190"/>
      <c r="AK156" s="190"/>
      <c r="AL156" s="190"/>
      <c r="AM156" s="190"/>
    </row>
    <row r="157" spans="2:39">
      <c r="B157" s="162"/>
      <c r="C157" s="162"/>
      <c r="D157" s="557"/>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c r="AA157" s="191"/>
      <c r="AB157" s="191"/>
      <c r="AC157" s="190"/>
      <c r="AD157" s="190"/>
      <c r="AE157" s="190"/>
      <c r="AF157" s="190"/>
      <c r="AG157" s="190"/>
      <c r="AH157" s="190"/>
      <c r="AI157" s="190"/>
      <c r="AJ157" s="190"/>
      <c r="AK157" s="190"/>
      <c r="AL157" s="190"/>
      <c r="AM157" s="190"/>
    </row>
    <row r="158" spans="2:39">
      <c r="B158" s="162"/>
      <c r="C158" s="162"/>
      <c r="D158" s="557"/>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c r="AA158" s="191"/>
      <c r="AB158" s="191"/>
      <c r="AC158" s="190"/>
      <c r="AD158" s="190"/>
      <c r="AE158" s="190"/>
      <c r="AF158" s="190"/>
      <c r="AG158" s="190"/>
      <c r="AH158" s="190"/>
      <c r="AI158" s="190"/>
      <c r="AJ158" s="190"/>
      <c r="AK158" s="190"/>
      <c r="AL158" s="190"/>
      <c r="AM158" s="190"/>
    </row>
    <row r="159" spans="2:39">
      <c r="B159" s="162"/>
      <c r="C159" s="162"/>
      <c r="D159" s="557"/>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c r="AA159" s="191"/>
      <c r="AB159" s="191"/>
      <c r="AC159" s="190"/>
      <c r="AD159" s="190"/>
      <c r="AE159" s="190"/>
      <c r="AF159" s="190"/>
      <c r="AG159" s="190"/>
      <c r="AH159" s="190"/>
      <c r="AI159" s="190"/>
      <c r="AJ159" s="190"/>
      <c r="AK159" s="190"/>
      <c r="AL159" s="190"/>
      <c r="AM159" s="190"/>
    </row>
    <row r="160" spans="2:39">
      <c r="B160" s="162"/>
      <c r="C160" s="162"/>
      <c r="D160" s="557"/>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c r="AA160" s="191"/>
      <c r="AB160" s="191"/>
      <c r="AC160" s="190"/>
      <c r="AD160" s="190"/>
      <c r="AE160" s="190"/>
      <c r="AF160" s="190"/>
      <c r="AG160" s="190"/>
      <c r="AH160" s="190"/>
      <c r="AI160" s="190"/>
      <c r="AJ160" s="190"/>
      <c r="AK160" s="190"/>
      <c r="AL160" s="190"/>
      <c r="AM160" s="190"/>
    </row>
    <row r="161" spans="2:39">
      <c r="B161" s="162"/>
      <c r="C161" s="162"/>
      <c r="D161" s="557"/>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c r="AA161" s="191"/>
      <c r="AB161" s="191"/>
      <c r="AC161" s="190"/>
      <c r="AD161" s="190"/>
      <c r="AE161" s="190"/>
      <c r="AF161" s="190"/>
      <c r="AG161" s="190"/>
      <c r="AH161" s="190"/>
      <c r="AI161" s="190"/>
      <c r="AJ161" s="190"/>
      <c r="AK161" s="190"/>
      <c r="AL161" s="190"/>
      <c r="AM161" s="190"/>
    </row>
    <row r="162" spans="2:39">
      <c r="B162" s="162"/>
      <c r="C162" s="162"/>
      <c r="D162" s="557"/>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c r="AA162" s="191"/>
      <c r="AB162" s="191"/>
      <c r="AC162" s="190"/>
      <c r="AD162" s="190"/>
      <c r="AE162" s="190"/>
      <c r="AF162" s="190"/>
      <c r="AG162" s="190"/>
      <c r="AH162" s="190"/>
      <c r="AI162" s="190"/>
      <c r="AJ162" s="190"/>
      <c r="AK162" s="190"/>
      <c r="AL162" s="190"/>
      <c r="AM162" s="190"/>
    </row>
    <row r="163" spans="2:39">
      <c r="B163" s="162"/>
      <c r="C163" s="162"/>
      <c r="D163" s="557"/>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c r="AA163" s="191"/>
      <c r="AB163" s="191"/>
      <c r="AC163" s="190"/>
      <c r="AD163" s="190"/>
      <c r="AE163" s="190"/>
      <c r="AF163" s="190"/>
      <c r="AG163" s="190"/>
      <c r="AH163" s="190"/>
      <c r="AI163" s="190"/>
      <c r="AJ163" s="190"/>
      <c r="AK163" s="190"/>
      <c r="AL163" s="190"/>
      <c r="AM163" s="190"/>
    </row>
    <row r="164" spans="2:39">
      <c r="B164" s="162"/>
      <c r="C164" s="162"/>
      <c r="D164" s="557"/>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c r="AA164" s="191"/>
      <c r="AB164" s="191"/>
      <c r="AC164" s="190"/>
      <c r="AD164" s="190"/>
      <c r="AE164" s="190"/>
      <c r="AF164" s="190"/>
      <c r="AG164" s="190"/>
      <c r="AH164" s="190"/>
      <c r="AI164" s="190"/>
      <c r="AJ164" s="190"/>
      <c r="AK164" s="190"/>
      <c r="AL164" s="190"/>
      <c r="AM164" s="190"/>
    </row>
    <row r="165" spans="2:39">
      <c r="B165" s="162"/>
      <c r="C165" s="162"/>
      <c r="D165" s="557"/>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c r="AA165" s="191"/>
      <c r="AB165" s="191"/>
      <c r="AC165" s="190"/>
      <c r="AD165" s="190"/>
      <c r="AE165" s="190"/>
      <c r="AF165" s="190"/>
      <c r="AG165" s="190"/>
      <c r="AH165" s="190"/>
      <c r="AI165" s="190"/>
      <c r="AJ165" s="190"/>
      <c r="AK165" s="190"/>
      <c r="AL165" s="190"/>
      <c r="AM165" s="190"/>
    </row>
    <row r="166" spans="2:39">
      <c r="B166" s="162"/>
      <c r="C166" s="162"/>
      <c r="D166" s="557"/>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c r="AA166" s="191"/>
      <c r="AB166" s="191"/>
      <c r="AC166" s="190"/>
      <c r="AD166" s="190"/>
      <c r="AE166" s="190"/>
      <c r="AF166" s="190"/>
      <c r="AG166" s="190"/>
      <c r="AH166" s="190"/>
      <c r="AI166" s="190"/>
      <c r="AJ166" s="190"/>
      <c r="AK166" s="190"/>
      <c r="AL166" s="190"/>
      <c r="AM166" s="190"/>
    </row>
    <row r="167" spans="2:39">
      <c r="B167" s="162"/>
      <c r="C167" s="162"/>
      <c r="D167" s="557"/>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c r="AA167" s="191"/>
      <c r="AB167" s="191"/>
      <c r="AC167" s="190"/>
      <c r="AD167" s="190"/>
      <c r="AE167" s="190"/>
      <c r="AF167" s="190"/>
      <c r="AG167" s="190"/>
      <c r="AH167" s="190"/>
      <c r="AI167" s="190"/>
      <c r="AJ167" s="190"/>
      <c r="AK167" s="190"/>
      <c r="AL167" s="190"/>
      <c r="AM167" s="190"/>
    </row>
    <row r="168" spans="2:39">
      <c r="B168" s="162"/>
      <c r="C168" s="162"/>
      <c r="D168" s="557"/>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0"/>
      <c r="AD168" s="190"/>
      <c r="AE168" s="190"/>
      <c r="AF168" s="190"/>
      <c r="AG168" s="190"/>
      <c r="AH168" s="190"/>
      <c r="AI168" s="190"/>
      <c r="AJ168" s="190"/>
      <c r="AK168" s="190"/>
      <c r="AL168" s="190"/>
      <c r="AM168" s="190"/>
    </row>
    <row r="169" spans="2:39">
      <c r="B169" s="162"/>
      <c r="C169" s="162"/>
      <c r="D169" s="557"/>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c r="AA169" s="191"/>
      <c r="AB169" s="191"/>
      <c r="AC169" s="190"/>
      <c r="AD169" s="190"/>
      <c r="AE169" s="190"/>
      <c r="AF169" s="190"/>
      <c r="AG169" s="190"/>
      <c r="AH169" s="190"/>
      <c r="AI169" s="190"/>
      <c r="AJ169" s="190"/>
      <c r="AK169" s="190"/>
      <c r="AL169" s="190"/>
      <c r="AM169" s="190"/>
    </row>
    <row r="170" spans="2:39">
      <c r="B170" s="162"/>
      <c r="C170" s="162"/>
      <c r="D170" s="557"/>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c r="AA170" s="191"/>
      <c r="AB170" s="191"/>
      <c r="AC170" s="190"/>
      <c r="AD170" s="190"/>
      <c r="AE170" s="190"/>
      <c r="AF170" s="190"/>
      <c r="AG170" s="190"/>
      <c r="AH170" s="190"/>
      <c r="AI170" s="190"/>
      <c r="AJ170" s="190"/>
      <c r="AK170" s="190"/>
      <c r="AL170" s="190"/>
      <c r="AM170" s="190"/>
    </row>
    <row r="171" spans="2:39">
      <c r="B171" s="162"/>
      <c r="C171" s="162"/>
      <c r="D171" s="557"/>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c r="AA171" s="191"/>
      <c r="AB171" s="191"/>
      <c r="AC171" s="190"/>
      <c r="AD171" s="190"/>
      <c r="AE171" s="190"/>
      <c r="AF171" s="190"/>
      <c r="AG171" s="190"/>
      <c r="AH171" s="190"/>
      <c r="AI171" s="190"/>
      <c r="AJ171" s="190"/>
      <c r="AK171" s="190"/>
      <c r="AL171" s="190"/>
      <c r="AM171" s="190"/>
    </row>
    <row r="172" spans="2:39">
      <c r="B172" s="162"/>
      <c r="C172" s="162"/>
      <c r="D172" s="557"/>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c r="AA172" s="191"/>
      <c r="AB172" s="191"/>
      <c r="AC172" s="190"/>
      <c r="AD172" s="190"/>
      <c r="AE172" s="190"/>
      <c r="AF172" s="190"/>
      <c r="AG172" s="190"/>
      <c r="AH172" s="190"/>
      <c r="AI172" s="190"/>
      <c r="AJ172" s="190"/>
      <c r="AK172" s="190"/>
      <c r="AL172" s="190"/>
      <c r="AM172" s="190"/>
    </row>
    <row r="173" spans="2:39">
      <c r="B173" s="162"/>
      <c r="C173" s="162"/>
      <c r="D173" s="557"/>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c r="AA173" s="191"/>
      <c r="AB173" s="191"/>
      <c r="AC173" s="190"/>
      <c r="AD173" s="190"/>
      <c r="AE173" s="190"/>
      <c r="AF173" s="190"/>
      <c r="AG173" s="190"/>
      <c r="AH173" s="190"/>
      <c r="AI173" s="190"/>
      <c r="AJ173" s="190"/>
      <c r="AK173" s="190"/>
      <c r="AL173" s="190"/>
      <c r="AM173" s="190"/>
    </row>
    <row r="174" spans="2:39">
      <c r="B174" s="162"/>
      <c r="C174" s="162"/>
      <c r="D174" s="557"/>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c r="AA174" s="191"/>
      <c r="AB174" s="191"/>
      <c r="AC174" s="190"/>
      <c r="AD174" s="190"/>
      <c r="AE174" s="190"/>
      <c r="AF174" s="190"/>
      <c r="AG174" s="190"/>
      <c r="AH174" s="190"/>
      <c r="AI174" s="190"/>
      <c r="AJ174" s="190"/>
      <c r="AK174" s="190"/>
      <c r="AL174" s="190"/>
      <c r="AM174" s="190"/>
    </row>
    <row r="175" spans="2:39">
      <c r="B175" s="162"/>
      <c r="C175" s="162"/>
      <c r="D175" s="557"/>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c r="AA175" s="191"/>
      <c r="AB175" s="191"/>
      <c r="AC175" s="190"/>
      <c r="AD175" s="190"/>
      <c r="AE175" s="190"/>
      <c r="AF175" s="190"/>
      <c r="AG175" s="190"/>
      <c r="AH175" s="190"/>
      <c r="AI175" s="190"/>
      <c r="AJ175" s="190"/>
      <c r="AK175" s="190"/>
      <c r="AL175" s="190"/>
      <c r="AM175" s="190"/>
    </row>
    <row r="176" spans="2:39">
      <c r="B176" s="162"/>
      <c r="C176" s="162"/>
      <c r="D176" s="557"/>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c r="AA176" s="191"/>
      <c r="AB176" s="191"/>
      <c r="AC176" s="190"/>
      <c r="AD176" s="190"/>
      <c r="AE176" s="190"/>
      <c r="AF176" s="190"/>
      <c r="AG176" s="190"/>
      <c r="AH176" s="190"/>
      <c r="AI176" s="190"/>
      <c r="AJ176" s="190"/>
      <c r="AK176" s="190"/>
      <c r="AL176" s="190"/>
      <c r="AM176" s="190"/>
    </row>
    <row r="177" spans="2:39">
      <c r="B177" s="162"/>
      <c r="C177" s="162"/>
      <c r="D177" s="557"/>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c r="AA177" s="191"/>
      <c r="AB177" s="191"/>
      <c r="AC177" s="190"/>
      <c r="AD177" s="190"/>
      <c r="AE177" s="190"/>
      <c r="AF177" s="190"/>
      <c r="AG177" s="190"/>
      <c r="AH177" s="190"/>
      <c r="AI177" s="190"/>
      <c r="AJ177" s="190"/>
      <c r="AK177" s="190"/>
      <c r="AL177" s="190"/>
      <c r="AM177" s="190"/>
    </row>
    <row r="178" spans="2:39">
      <c r="B178" s="162"/>
      <c r="C178" s="162"/>
      <c r="D178" s="557"/>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c r="AA178" s="191"/>
      <c r="AB178" s="191"/>
      <c r="AC178" s="190"/>
      <c r="AD178" s="190"/>
      <c r="AE178" s="190"/>
      <c r="AF178" s="190"/>
      <c r="AG178" s="190"/>
      <c r="AH178" s="190"/>
      <c r="AI178" s="190"/>
      <c r="AJ178" s="190"/>
      <c r="AK178" s="190"/>
      <c r="AL178" s="190"/>
      <c r="AM178" s="190"/>
    </row>
    <row r="179" spans="2:39">
      <c r="B179" s="162"/>
      <c r="C179" s="162"/>
      <c r="D179" s="557"/>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0"/>
      <c r="AD179" s="190"/>
      <c r="AE179" s="190"/>
      <c r="AF179" s="190"/>
      <c r="AG179" s="190"/>
      <c r="AH179" s="190"/>
      <c r="AI179" s="190"/>
      <c r="AJ179" s="190"/>
      <c r="AK179" s="190"/>
      <c r="AL179" s="190"/>
      <c r="AM179" s="190"/>
    </row>
    <row r="180" spans="2:39">
      <c r="B180" s="162"/>
      <c r="C180" s="162"/>
      <c r="D180" s="557"/>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c r="AA180" s="191"/>
      <c r="AB180" s="191"/>
      <c r="AC180" s="190"/>
      <c r="AD180" s="190"/>
      <c r="AE180" s="190"/>
      <c r="AF180" s="190"/>
      <c r="AG180" s="190"/>
      <c r="AH180" s="190"/>
      <c r="AI180" s="190"/>
      <c r="AJ180" s="190"/>
      <c r="AK180" s="190"/>
      <c r="AL180" s="190"/>
      <c r="AM180" s="190"/>
    </row>
    <row r="181" spans="2:39">
      <c r="B181" s="162"/>
      <c r="C181" s="162"/>
      <c r="D181" s="557"/>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c r="AA181" s="191"/>
      <c r="AB181" s="191"/>
      <c r="AC181" s="190"/>
      <c r="AD181" s="190"/>
      <c r="AE181" s="190"/>
      <c r="AF181" s="190"/>
      <c r="AG181" s="190"/>
      <c r="AH181" s="190"/>
      <c r="AI181" s="190"/>
      <c r="AJ181" s="190"/>
      <c r="AK181" s="190"/>
      <c r="AL181" s="190"/>
      <c r="AM181" s="190"/>
    </row>
    <row r="182" spans="2:39">
      <c r="B182" s="162"/>
      <c r="C182" s="162"/>
      <c r="D182" s="557"/>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c r="AA182" s="191"/>
      <c r="AB182" s="191"/>
      <c r="AC182" s="190"/>
      <c r="AD182" s="190"/>
      <c r="AE182" s="190"/>
      <c r="AF182" s="190"/>
      <c r="AG182" s="190"/>
      <c r="AH182" s="190"/>
      <c r="AI182" s="190"/>
      <c r="AJ182" s="190"/>
      <c r="AK182" s="190"/>
      <c r="AL182" s="190"/>
      <c r="AM182" s="190"/>
    </row>
    <row r="183" spans="2:39">
      <c r="B183" s="162"/>
      <c r="C183" s="162"/>
      <c r="D183" s="557"/>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c r="AA183" s="191"/>
      <c r="AB183" s="191"/>
      <c r="AC183" s="190"/>
      <c r="AD183" s="190"/>
      <c r="AE183" s="190"/>
      <c r="AF183" s="190"/>
      <c r="AG183" s="190"/>
      <c r="AH183" s="190"/>
      <c r="AI183" s="190"/>
      <c r="AJ183" s="190"/>
      <c r="AK183" s="190"/>
      <c r="AL183" s="190"/>
      <c r="AM183" s="190"/>
    </row>
    <row r="184" spans="2:39">
      <c r="B184" s="162"/>
      <c r="C184" s="162"/>
      <c r="D184" s="557"/>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c r="AA184" s="191"/>
      <c r="AB184" s="191"/>
      <c r="AC184" s="190"/>
      <c r="AD184" s="190"/>
      <c r="AE184" s="190"/>
      <c r="AF184" s="190"/>
      <c r="AG184" s="190"/>
      <c r="AH184" s="190"/>
      <c r="AI184" s="190"/>
      <c r="AJ184" s="190"/>
      <c r="AK184" s="190"/>
      <c r="AL184" s="190"/>
      <c r="AM184" s="190"/>
    </row>
    <row r="185" spans="2:39">
      <c r="B185" s="162"/>
      <c r="C185" s="162"/>
      <c r="D185" s="557"/>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c r="AA185" s="191"/>
      <c r="AB185" s="191"/>
      <c r="AC185" s="190"/>
      <c r="AD185" s="190"/>
      <c r="AE185" s="190"/>
      <c r="AF185" s="190"/>
      <c r="AG185" s="190"/>
      <c r="AH185" s="190"/>
      <c r="AI185" s="190"/>
      <c r="AJ185" s="190"/>
      <c r="AK185" s="190"/>
      <c r="AL185" s="190"/>
      <c r="AM185" s="190"/>
    </row>
    <row r="186" spans="2:39">
      <c r="B186" s="162"/>
      <c r="C186" s="162"/>
      <c r="D186" s="557"/>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c r="AA186" s="191"/>
      <c r="AB186" s="191"/>
      <c r="AC186" s="190"/>
      <c r="AD186" s="190"/>
      <c r="AE186" s="190"/>
      <c r="AF186" s="190"/>
      <c r="AG186" s="190"/>
      <c r="AH186" s="190"/>
      <c r="AI186" s="190"/>
      <c r="AJ186" s="190"/>
      <c r="AK186" s="190"/>
      <c r="AL186" s="190"/>
      <c r="AM186" s="190"/>
    </row>
    <row r="187" spans="2:39">
      <c r="B187" s="162"/>
      <c r="C187" s="162"/>
      <c r="D187" s="557"/>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c r="AA187" s="191"/>
      <c r="AB187" s="191"/>
      <c r="AC187" s="190"/>
      <c r="AD187" s="190"/>
      <c r="AE187" s="190"/>
      <c r="AF187" s="190"/>
      <c r="AG187" s="190"/>
      <c r="AH187" s="190"/>
      <c r="AI187" s="190"/>
      <c r="AJ187" s="190"/>
      <c r="AK187" s="190"/>
      <c r="AL187" s="190"/>
      <c r="AM187" s="190"/>
    </row>
    <row r="188" spans="2:39">
      <c r="B188" s="162"/>
      <c r="C188" s="162"/>
      <c r="D188" s="557"/>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c r="AA188" s="191"/>
      <c r="AB188" s="191"/>
      <c r="AC188" s="190"/>
      <c r="AD188" s="190"/>
      <c r="AE188" s="190"/>
      <c r="AF188" s="190"/>
      <c r="AG188" s="190"/>
      <c r="AH188" s="190"/>
      <c r="AI188" s="190"/>
      <c r="AJ188" s="190"/>
      <c r="AK188" s="190"/>
      <c r="AL188" s="190"/>
      <c r="AM188" s="190"/>
    </row>
    <row r="189" spans="2:39">
      <c r="B189" s="162"/>
      <c r="C189" s="162"/>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c r="AA189" s="191"/>
      <c r="AB189" s="191"/>
      <c r="AC189" s="190"/>
      <c r="AD189" s="190"/>
      <c r="AE189" s="190"/>
      <c r="AF189" s="190"/>
      <c r="AG189" s="190"/>
      <c r="AH189" s="190"/>
      <c r="AI189" s="190"/>
      <c r="AJ189" s="190"/>
      <c r="AK189" s="190"/>
      <c r="AL189" s="190"/>
      <c r="AM189" s="190"/>
    </row>
    <row r="190" spans="2:39">
      <c r="B190" s="162"/>
      <c r="C190" s="162"/>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c r="AA190" s="191"/>
      <c r="AB190" s="191"/>
      <c r="AC190" s="190"/>
      <c r="AD190" s="190"/>
      <c r="AE190" s="190"/>
      <c r="AF190" s="190"/>
      <c r="AG190" s="190"/>
      <c r="AH190" s="190"/>
      <c r="AI190" s="190"/>
      <c r="AJ190" s="190"/>
      <c r="AK190" s="190"/>
      <c r="AL190" s="190"/>
      <c r="AM190" s="190"/>
    </row>
    <row r="191" spans="2:39">
      <c r="B191" s="162"/>
      <c r="C191" s="162"/>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c r="AA191" s="191"/>
      <c r="AB191" s="191"/>
      <c r="AC191" s="190"/>
      <c r="AD191" s="190"/>
      <c r="AE191" s="190"/>
      <c r="AF191" s="190"/>
      <c r="AG191" s="190"/>
      <c r="AH191" s="190"/>
      <c r="AI191" s="190"/>
      <c r="AJ191" s="190"/>
      <c r="AK191" s="190"/>
      <c r="AL191" s="190"/>
      <c r="AM191" s="190"/>
    </row>
    <row r="192" spans="2:39">
      <c r="B192" s="162"/>
      <c r="C192" s="162"/>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c r="AA192" s="191"/>
      <c r="AB192" s="191"/>
      <c r="AC192" s="190"/>
      <c r="AD192" s="190"/>
      <c r="AE192" s="190"/>
      <c r="AF192" s="190"/>
      <c r="AG192" s="190"/>
      <c r="AH192" s="190"/>
      <c r="AI192" s="190"/>
      <c r="AJ192" s="190"/>
      <c r="AK192" s="190"/>
      <c r="AL192" s="190"/>
      <c r="AM192" s="190"/>
    </row>
    <row r="193" spans="2:39">
      <c r="B193" s="162"/>
      <c r="C193" s="162"/>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c r="AA193" s="191"/>
      <c r="AB193" s="191"/>
      <c r="AC193" s="190"/>
      <c r="AD193" s="190"/>
      <c r="AE193" s="190"/>
      <c r="AF193" s="190"/>
      <c r="AG193" s="190"/>
      <c r="AH193" s="190"/>
      <c r="AI193" s="190"/>
      <c r="AJ193" s="190"/>
      <c r="AK193" s="190"/>
      <c r="AL193" s="190"/>
      <c r="AM193" s="190"/>
    </row>
    <row r="194" spans="2:39">
      <c r="B194" s="162"/>
      <c r="C194" s="162"/>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c r="AA194" s="191"/>
      <c r="AB194" s="191"/>
      <c r="AC194" s="190"/>
      <c r="AD194" s="190"/>
      <c r="AE194" s="190"/>
      <c r="AF194" s="190"/>
      <c r="AG194" s="190"/>
      <c r="AH194" s="190"/>
      <c r="AI194" s="190"/>
      <c r="AJ194" s="190"/>
      <c r="AK194" s="190"/>
      <c r="AL194" s="190"/>
      <c r="AM194" s="190"/>
    </row>
    <row r="195" spans="2:39">
      <c r="B195" s="162"/>
      <c r="C195" s="162"/>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c r="AA195" s="191"/>
      <c r="AB195" s="191"/>
      <c r="AC195" s="190"/>
      <c r="AD195" s="190"/>
      <c r="AE195" s="190"/>
      <c r="AF195" s="190"/>
      <c r="AG195" s="190"/>
      <c r="AH195" s="190"/>
      <c r="AI195" s="190"/>
      <c r="AJ195" s="190"/>
      <c r="AK195" s="190"/>
      <c r="AL195" s="190"/>
      <c r="AM195" s="190"/>
    </row>
    <row r="196" spans="2:39">
      <c r="B196" s="162"/>
      <c r="C196" s="162"/>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c r="AA196" s="191"/>
      <c r="AB196" s="191"/>
      <c r="AC196" s="190"/>
      <c r="AD196" s="190"/>
      <c r="AE196" s="190"/>
      <c r="AF196" s="190"/>
      <c r="AG196" s="190"/>
      <c r="AH196" s="190"/>
      <c r="AI196" s="190"/>
      <c r="AJ196" s="190"/>
      <c r="AK196" s="190"/>
      <c r="AL196" s="190"/>
      <c r="AM196" s="190"/>
    </row>
    <row r="197" spans="2:39">
      <c r="B197" s="162"/>
      <c r="C197" s="162"/>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c r="AA197" s="191"/>
      <c r="AB197" s="191"/>
      <c r="AC197" s="190"/>
      <c r="AD197" s="190"/>
      <c r="AE197" s="190"/>
      <c r="AF197" s="190"/>
      <c r="AG197" s="190"/>
      <c r="AH197" s="190"/>
      <c r="AI197" s="190"/>
      <c r="AJ197" s="190"/>
      <c r="AK197" s="190"/>
      <c r="AL197" s="190"/>
      <c r="AM197" s="190"/>
    </row>
    <row r="198" spans="2:39">
      <c r="B198" s="162"/>
      <c r="C198" s="162"/>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c r="AA198" s="191"/>
      <c r="AB198" s="191"/>
      <c r="AC198" s="190"/>
      <c r="AD198" s="190"/>
      <c r="AE198" s="190"/>
      <c r="AF198" s="190"/>
      <c r="AG198" s="190"/>
      <c r="AH198" s="190"/>
      <c r="AI198" s="190"/>
      <c r="AJ198" s="190"/>
      <c r="AK198" s="190"/>
      <c r="AL198" s="190"/>
      <c r="AM198" s="190"/>
    </row>
    <row r="199" spans="2:39">
      <c r="B199" s="162"/>
      <c r="C199" s="162"/>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c r="AA199" s="191"/>
      <c r="AB199" s="191"/>
      <c r="AC199" s="190"/>
      <c r="AD199" s="190"/>
      <c r="AE199" s="190"/>
      <c r="AF199" s="190"/>
      <c r="AG199" s="190"/>
      <c r="AH199" s="190"/>
      <c r="AI199" s="190"/>
      <c r="AJ199" s="190"/>
      <c r="AK199" s="190"/>
      <c r="AL199" s="190"/>
      <c r="AM199" s="190"/>
    </row>
    <row r="200" spans="2:39">
      <c r="B200" s="162"/>
      <c r="C200" s="162"/>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c r="AA200" s="191"/>
      <c r="AB200" s="191"/>
      <c r="AC200" s="190"/>
      <c r="AD200" s="190"/>
      <c r="AE200" s="190"/>
      <c r="AF200" s="190"/>
      <c r="AG200" s="190"/>
      <c r="AH200" s="190"/>
      <c r="AI200" s="190"/>
      <c r="AJ200" s="190"/>
      <c r="AK200" s="190"/>
      <c r="AL200" s="190"/>
      <c r="AM200" s="190"/>
    </row>
    <row r="201" spans="2:39">
      <c r="B201" s="162"/>
      <c r="C201" s="162"/>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c r="AA201" s="191"/>
      <c r="AB201" s="191"/>
      <c r="AC201" s="190"/>
      <c r="AD201" s="190"/>
      <c r="AE201" s="190"/>
      <c r="AF201" s="190"/>
      <c r="AG201" s="190"/>
      <c r="AH201" s="190"/>
      <c r="AI201" s="190"/>
      <c r="AJ201" s="190"/>
      <c r="AK201" s="190"/>
      <c r="AL201" s="190"/>
      <c r="AM201" s="190"/>
    </row>
    <row r="202" spans="2:39">
      <c r="B202" s="162"/>
      <c r="C202" s="162"/>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c r="AA202" s="191"/>
      <c r="AB202" s="191"/>
      <c r="AC202" s="190"/>
      <c r="AD202" s="190"/>
      <c r="AE202" s="190"/>
      <c r="AF202" s="190"/>
      <c r="AG202" s="190"/>
      <c r="AH202" s="190"/>
      <c r="AI202" s="190"/>
      <c r="AJ202" s="190"/>
      <c r="AK202" s="190"/>
      <c r="AL202" s="190"/>
      <c r="AM202" s="190"/>
    </row>
    <row r="203" spans="2:39">
      <c r="B203" s="162"/>
      <c r="C203" s="162"/>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c r="AA203" s="191"/>
      <c r="AB203" s="191"/>
      <c r="AC203" s="190"/>
      <c r="AD203" s="190"/>
      <c r="AE203" s="190"/>
      <c r="AF203" s="190"/>
      <c r="AG203" s="190"/>
      <c r="AH203" s="190"/>
      <c r="AI203" s="190"/>
      <c r="AJ203" s="190"/>
      <c r="AK203" s="190"/>
      <c r="AL203" s="190"/>
      <c r="AM203" s="190"/>
    </row>
    <row r="204" spans="2:39">
      <c r="B204" s="162"/>
      <c r="C204" s="162"/>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c r="AA204" s="191"/>
      <c r="AB204" s="191"/>
      <c r="AC204" s="190"/>
      <c r="AD204" s="190"/>
      <c r="AE204" s="190"/>
      <c r="AF204" s="190"/>
      <c r="AG204" s="190"/>
      <c r="AH204" s="190"/>
      <c r="AI204" s="190"/>
      <c r="AJ204" s="190"/>
      <c r="AK204" s="190"/>
      <c r="AL204" s="190"/>
      <c r="AM204" s="190"/>
    </row>
    <row r="205" spans="2:39">
      <c r="B205" s="162"/>
      <c r="C205" s="162"/>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c r="AA205" s="191"/>
      <c r="AB205" s="191"/>
      <c r="AC205" s="190"/>
      <c r="AD205" s="190"/>
      <c r="AE205" s="190"/>
      <c r="AF205" s="190"/>
      <c r="AG205" s="190"/>
      <c r="AH205" s="190"/>
      <c r="AI205" s="190"/>
      <c r="AJ205" s="190"/>
      <c r="AK205" s="190"/>
      <c r="AL205" s="190"/>
      <c r="AM205" s="190"/>
    </row>
    <row r="206" spans="2:39">
      <c r="B206" s="162"/>
      <c r="C206" s="162"/>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191"/>
      <c r="AB206" s="191"/>
      <c r="AC206" s="190"/>
      <c r="AD206" s="190"/>
      <c r="AE206" s="190"/>
      <c r="AF206" s="190"/>
      <c r="AG206" s="190"/>
      <c r="AH206" s="190"/>
      <c r="AI206" s="190"/>
      <c r="AJ206" s="190"/>
      <c r="AK206" s="190"/>
      <c r="AL206" s="190"/>
      <c r="AM206" s="190"/>
    </row>
    <row r="207" spans="2:39">
      <c r="B207" s="162"/>
      <c r="C207" s="162"/>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c r="AA207" s="191"/>
      <c r="AB207" s="191"/>
      <c r="AC207" s="190"/>
      <c r="AD207" s="190"/>
      <c r="AE207" s="190"/>
      <c r="AF207" s="190"/>
      <c r="AG207" s="190"/>
      <c r="AH207" s="190"/>
      <c r="AI207" s="190"/>
      <c r="AJ207" s="190"/>
      <c r="AK207" s="190"/>
      <c r="AL207" s="190"/>
      <c r="AM207" s="190"/>
    </row>
    <row r="208" spans="2:39">
      <c r="B208" s="162"/>
      <c r="C208" s="162"/>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c r="AA208" s="191"/>
      <c r="AB208" s="191"/>
      <c r="AC208" s="190"/>
      <c r="AD208" s="190"/>
      <c r="AE208" s="190"/>
      <c r="AF208" s="190"/>
      <c r="AG208" s="190"/>
      <c r="AH208" s="190"/>
      <c r="AI208" s="190"/>
      <c r="AJ208" s="190"/>
      <c r="AK208" s="190"/>
      <c r="AL208" s="190"/>
      <c r="AM208" s="190"/>
    </row>
    <row r="209" spans="2:39">
      <c r="B209" s="162"/>
      <c r="C209" s="162"/>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c r="AA209" s="191"/>
      <c r="AB209" s="191"/>
      <c r="AC209" s="190"/>
      <c r="AD209" s="190"/>
      <c r="AE209" s="190"/>
      <c r="AF209" s="190"/>
      <c r="AG209" s="190"/>
      <c r="AH209" s="190"/>
      <c r="AI209" s="190"/>
      <c r="AJ209" s="190"/>
      <c r="AK209" s="190"/>
      <c r="AL209" s="190"/>
      <c r="AM209" s="190"/>
    </row>
    <row r="210" spans="2:39">
      <c r="B210" s="162"/>
      <c r="C210" s="162"/>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c r="AA210" s="191"/>
      <c r="AB210" s="191"/>
      <c r="AC210" s="190"/>
      <c r="AD210" s="190"/>
      <c r="AE210" s="190"/>
      <c r="AF210" s="190"/>
      <c r="AG210" s="190"/>
      <c r="AH210" s="190"/>
      <c r="AI210" s="190"/>
      <c r="AJ210" s="190"/>
      <c r="AK210" s="190"/>
      <c r="AL210" s="190"/>
      <c r="AM210" s="190"/>
    </row>
    <row r="211" spans="2:39">
      <c r="B211" s="162"/>
      <c r="C211" s="162"/>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c r="AA211" s="191"/>
      <c r="AB211" s="191"/>
      <c r="AC211" s="190"/>
      <c r="AD211" s="190"/>
      <c r="AE211" s="190"/>
      <c r="AF211" s="190"/>
      <c r="AG211" s="190"/>
      <c r="AH211" s="190"/>
      <c r="AI211" s="190"/>
      <c r="AJ211" s="190"/>
      <c r="AK211" s="190"/>
      <c r="AL211" s="190"/>
      <c r="AM211" s="190"/>
    </row>
    <row r="212" spans="2:39">
      <c r="B212" s="162"/>
      <c r="C212" s="162"/>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c r="AA212" s="191"/>
      <c r="AB212" s="191"/>
      <c r="AC212" s="190"/>
      <c r="AD212" s="190"/>
      <c r="AE212" s="190"/>
      <c r="AF212" s="190"/>
      <c r="AG212" s="190"/>
      <c r="AH212" s="190"/>
      <c r="AI212" s="190"/>
      <c r="AJ212" s="190"/>
      <c r="AK212" s="190"/>
      <c r="AL212" s="190"/>
      <c r="AM212" s="190"/>
    </row>
    <row r="213" spans="2:39">
      <c r="B213" s="162"/>
      <c r="C213" s="162"/>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c r="AA213" s="191"/>
      <c r="AB213" s="191"/>
      <c r="AC213" s="190"/>
      <c r="AD213" s="190"/>
      <c r="AE213" s="190"/>
      <c r="AF213" s="190"/>
      <c r="AG213" s="190"/>
      <c r="AH213" s="190"/>
      <c r="AI213" s="190"/>
      <c r="AJ213" s="190"/>
      <c r="AK213" s="190"/>
      <c r="AL213" s="190"/>
      <c r="AM213" s="190"/>
    </row>
    <row r="214" spans="2:39">
      <c r="B214" s="162"/>
      <c r="C214" s="162"/>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c r="AA214" s="191"/>
      <c r="AB214" s="191"/>
      <c r="AC214" s="190"/>
      <c r="AD214" s="190"/>
      <c r="AE214" s="190"/>
      <c r="AF214" s="190"/>
      <c r="AG214" s="190"/>
      <c r="AH214" s="190"/>
      <c r="AI214" s="190"/>
      <c r="AJ214" s="190"/>
      <c r="AK214" s="190"/>
      <c r="AL214" s="190"/>
      <c r="AM214" s="190"/>
    </row>
    <row r="215" spans="2:39">
      <c r="B215" s="162"/>
      <c r="C215" s="162"/>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c r="AA215" s="191"/>
      <c r="AB215" s="191"/>
      <c r="AC215" s="190"/>
      <c r="AD215" s="190"/>
      <c r="AE215" s="190"/>
      <c r="AF215" s="190"/>
      <c r="AG215" s="190"/>
      <c r="AH215" s="190"/>
      <c r="AI215" s="190"/>
      <c r="AJ215" s="190"/>
      <c r="AK215" s="190"/>
      <c r="AL215" s="190"/>
      <c r="AM215" s="190"/>
    </row>
    <row r="216" spans="2:39">
      <c r="B216" s="162"/>
      <c r="C216" s="162"/>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c r="AA216" s="191"/>
      <c r="AB216" s="191"/>
      <c r="AC216" s="190"/>
      <c r="AD216" s="190"/>
      <c r="AE216" s="190"/>
      <c r="AF216" s="190"/>
      <c r="AG216" s="190"/>
      <c r="AH216" s="190"/>
      <c r="AI216" s="190"/>
      <c r="AJ216" s="190"/>
      <c r="AK216" s="190"/>
      <c r="AL216" s="190"/>
      <c r="AM216" s="190"/>
    </row>
    <row r="217" spans="2:39">
      <c r="B217" s="162"/>
      <c r="C217" s="162"/>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c r="AA217" s="191"/>
      <c r="AB217" s="191"/>
      <c r="AC217" s="190"/>
      <c r="AD217" s="190"/>
      <c r="AE217" s="190"/>
      <c r="AF217" s="190"/>
      <c r="AG217" s="190"/>
      <c r="AH217" s="190"/>
      <c r="AI217" s="190"/>
      <c r="AJ217" s="190"/>
      <c r="AK217" s="190"/>
      <c r="AL217" s="190"/>
      <c r="AM217" s="190"/>
    </row>
    <row r="218" spans="2:39">
      <c r="B218" s="162"/>
      <c r="C218" s="162"/>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c r="AA218" s="191"/>
      <c r="AB218" s="191"/>
      <c r="AC218" s="190"/>
      <c r="AD218" s="190"/>
      <c r="AE218" s="190"/>
      <c r="AF218" s="190"/>
      <c r="AG218" s="190"/>
      <c r="AH218" s="190"/>
      <c r="AI218" s="190"/>
      <c r="AJ218" s="190"/>
      <c r="AK218" s="190"/>
      <c r="AL218" s="190"/>
      <c r="AM218" s="190"/>
    </row>
    <row r="219" spans="2:39">
      <c r="B219" s="162"/>
      <c r="C219" s="162"/>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c r="AA219" s="191"/>
      <c r="AB219" s="191"/>
      <c r="AC219" s="190"/>
      <c r="AD219" s="190"/>
      <c r="AE219" s="190"/>
      <c r="AF219" s="190"/>
      <c r="AG219" s="190"/>
      <c r="AH219" s="190"/>
      <c r="AI219" s="190"/>
      <c r="AJ219" s="190"/>
      <c r="AK219" s="190"/>
      <c r="AL219" s="190"/>
      <c r="AM219" s="190"/>
    </row>
    <row r="220" spans="2:39">
      <c r="B220" s="162"/>
      <c r="C220" s="162"/>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c r="AA220" s="191"/>
      <c r="AB220" s="191"/>
      <c r="AC220" s="190"/>
      <c r="AD220" s="190"/>
      <c r="AE220" s="190"/>
      <c r="AF220" s="190"/>
      <c r="AG220" s="190"/>
      <c r="AH220" s="190"/>
      <c r="AI220" s="190"/>
      <c r="AJ220" s="190"/>
      <c r="AK220" s="190"/>
      <c r="AL220" s="190"/>
      <c r="AM220" s="190"/>
    </row>
    <row r="221" spans="2:39">
      <c r="B221" s="162"/>
      <c r="C221" s="162"/>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c r="AA221" s="191"/>
      <c r="AB221" s="191"/>
      <c r="AC221" s="190"/>
      <c r="AD221" s="190"/>
      <c r="AE221" s="190"/>
      <c r="AF221" s="190"/>
      <c r="AG221" s="190"/>
      <c r="AH221" s="190"/>
      <c r="AI221" s="190"/>
      <c r="AJ221" s="190"/>
      <c r="AK221" s="190"/>
      <c r="AL221" s="190"/>
      <c r="AM221" s="190"/>
    </row>
    <row r="222" spans="2:39">
      <c r="B222" s="162"/>
      <c r="C222" s="162"/>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c r="AA222" s="191"/>
      <c r="AB222" s="191"/>
      <c r="AC222" s="190"/>
      <c r="AD222" s="190"/>
      <c r="AE222" s="190"/>
      <c r="AF222" s="190"/>
      <c r="AG222" s="190"/>
      <c r="AH222" s="190"/>
      <c r="AI222" s="190"/>
      <c r="AJ222" s="190"/>
      <c r="AK222" s="190"/>
      <c r="AL222" s="190"/>
      <c r="AM222" s="190"/>
    </row>
    <row r="223" spans="2:39">
      <c r="B223" s="162"/>
      <c r="C223" s="162"/>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c r="AA223" s="191"/>
      <c r="AB223" s="191"/>
      <c r="AC223" s="190"/>
      <c r="AD223" s="190"/>
      <c r="AE223" s="190"/>
      <c r="AF223" s="190"/>
      <c r="AG223" s="190"/>
      <c r="AH223" s="190"/>
      <c r="AI223" s="190"/>
      <c r="AJ223" s="190"/>
      <c r="AK223" s="190"/>
      <c r="AL223" s="190"/>
      <c r="AM223" s="190"/>
    </row>
    <row r="224" spans="2:39">
      <c r="B224" s="162"/>
      <c r="C224" s="162"/>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c r="AA224" s="191"/>
      <c r="AB224" s="191"/>
      <c r="AC224" s="190"/>
      <c r="AD224" s="190"/>
      <c r="AE224" s="190"/>
      <c r="AF224" s="190"/>
      <c r="AG224" s="190"/>
      <c r="AH224" s="190"/>
      <c r="AI224" s="190"/>
      <c r="AJ224" s="190"/>
      <c r="AK224" s="190"/>
      <c r="AL224" s="190"/>
      <c r="AM224" s="190"/>
    </row>
    <row r="225" spans="2:39">
      <c r="B225" s="162"/>
      <c r="C225" s="162"/>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c r="AA225" s="191"/>
      <c r="AB225" s="191"/>
      <c r="AC225" s="190"/>
      <c r="AD225" s="190"/>
      <c r="AE225" s="190"/>
      <c r="AF225" s="190"/>
      <c r="AG225" s="190"/>
      <c r="AH225" s="190"/>
      <c r="AI225" s="190"/>
      <c r="AJ225" s="190"/>
      <c r="AK225" s="190"/>
      <c r="AL225" s="190"/>
      <c r="AM225" s="190"/>
    </row>
    <row r="226" spans="2:39">
      <c r="B226" s="162"/>
      <c r="C226" s="162"/>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c r="AA226" s="191"/>
      <c r="AB226" s="191"/>
      <c r="AC226" s="190"/>
      <c r="AD226" s="190"/>
      <c r="AE226" s="190"/>
      <c r="AF226" s="190"/>
      <c r="AG226" s="190"/>
      <c r="AH226" s="190"/>
      <c r="AI226" s="190"/>
      <c r="AJ226" s="190"/>
      <c r="AK226" s="190"/>
      <c r="AL226" s="190"/>
      <c r="AM226" s="190"/>
    </row>
    <row r="227" spans="2:39">
      <c r="B227" s="162"/>
      <c r="C227" s="162"/>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c r="AA227" s="191"/>
      <c r="AB227" s="191"/>
      <c r="AC227" s="190"/>
      <c r="AD227" s="190"/>
      <c r="AE227" s="190"/>
      <c r="AF227" s="190"/>
      <c r="AG227" s="190"/>
      <c r="AH227" s="190"/>
      <c r="AI227" s="190"/>
      <c r="AJ227" s="190"/>
      <c r="AK227" s="190"/>
      <c r="AL227" s="190"/>
      <c r="AM227" s="190"/>
    </row>
    <row r="228" spans="2:39">
      <c r="B228" s="162"/>
      <c r="C228" s="162"/>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c r="AA228" s="191"/>
      <c r="AB228" s="191"/>
      <c r="AC228" s="190"/>
      <c r="AD228" s="190"/>
      <c r="AE228" s="190"/>
      <c r="AF228" s="190"/>
      <c r="AG228" s="190"/>
      <c r="AH228" s="190"/>
      <c r="AI228" s="190"/>
      <c r="AJ228" s="190"/>
      <c r="AK228" s="190"/>
      <c r="AL228" s="190"/>
      <c r="AM228" s="190"/>
    </row>
    <row r="229" spans="2:39">
      <c r="B229" s="162"/>
      <c r="C229" s="162"/>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c r="AA229" s="191"/>
      <c r="AB229" s="191"/>
      <c r="AC229" s="190"/>
      <c r="AD229" s="190"/>
      <c r="AE229" s="190"/>
      <c r="AF229" s="190"/>
      <c r="AG229" s="190"/>
      <c r="AH229" s="190"/>
      <c r="AI229" s="190"/>
      <c r="AJ229" s="190"/>
      <c r="AK229" s="190"/>
      <c r="AL229" s="190"/>
      <c r="AM229" s="190"/>
    </row>
    <row r="230" spans="2:39">
      <c r="B230" s="162"/>
      <c r="C230" s="162"/>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c r="AA230" s="191"/>
      <c r="AB230" s="191"/>
      <c r="AC230" s="190"/>
      <c r="AD230" s="190"/>
      <c r="AE230" s="190"/>
      <c r="AF230" s="190"/>
      <c r="AG230" s="190"/>
      <c r="AH230" s="190"/>
      <c r="AI230" s="190"/>
      <c r="AJ230" s="190"/>
      <c r="AK230" s="190"/>
      <c r="AL230" s="190"/>
      <c r="AM230" s="190"/>
    </row>
    <row r="231" spans="2:39">
      <c r="B231" s="162"/>
      <c r="C231" s="162"/>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c r="AA231" s="191"/>
      <c r="AB231" s="191"/>
      <c r="AC231" s="190"/>
      <c r="AD231" s="190"/>
      <c r="AE231" s="190"/>
      <c r="AF231" s="190"/>
      <c r="AG231" s="190"/>
      <c r="AH231" s="190"/>
      <c r="AI231" s="190"/>
      <c r="AJ231" s="190"/>
      <c r="AK231" s="190"/>
      <c r="AL231" s="190"/>
      <c r="AM231" s="190"/>
    </row>
    <row r="232" spans="2:39">
      <c r="B232" s="162"/>
      <c r="C232" s="162"/>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c r="AA232" s="191"/>
      <c r="AB232" s="191"/>
      <c r="AC232" s="190"/>
      <c r="AD232" s="190"/>
      <c r="AE232" s="190"/>
      <c r="AF232" s="190"/>
      <c r="AG232" s="190"/>
      <c r="AH232" s="190"/>
      <c r="AI232" s="190"/>
      <c r="AJ232" s="190"/>
      <c r="AK232" s="190"/>
      <c r="AL232" s="190"/>
      <c r="AM232" s="190"/>
    </row>
    <row r="233" spans="2:39">
      <c r="B233" s="162"/>
      <c r="C233" s="162"/>
      <c r="D233" s="191"/>
      <c r="E233" s="191"/>
      <c r="F233" s="191"/>
      <c r="G233" s="191"/>
      <c r="H233" s="191"/>
      <c r="I233" s="191"/>
      <c r="J233" s="191"/>
      <c r="K233" s="191"/>
      <c r="L233" s="191"/>
      <c r="M233" s="191"/>
      <c r="N233" s="191"/>
      <c r="O233" s="191"/>
      <c r="P233" s="191"/>
      <c r="Q233" s="191"/>
      <c r="R233" s="191"/>
      <c r="S233" s="191"/>
      <c r="T233" s="191"/>
      <c r="U233" s="191"/>
      <c r="V233" s="191"/>
      <c r="W233" s="191"/>
      <c r="X233" s="191"/>
      <c r="Y233" s="191"/>
      <c r="Z233" s="191"/>
      <c r="AA233" s="191"/>
      <c r="AB233" s="191"/>
      <c r="AC233" s="190"/>
      <c r="AD233" s="190"/>
      <c r="AE233" s="190"/>
      <c r="AF233" s="190"/>
      <c r="AG233" s="190"/>
      <c r="AH233" s="190"/>
      <c r="AI233" s="190"/>
      <c r="AJ233" s="190"/>
      <c r="AK233" s="190"/>
      <c r="AL233" s="190"/>
      <c r="AM233" s="190"/>
    </row>
    <row r="234" spans="2:39">
      <c r="B234" s="162"/>
      <c r="C234" s="162"/>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c r="AA234" s="191"/>
      <c r="AB234" s="191"/>
      <c r="AC234" s="190"/>
      <c r="AD234" s="190"/>
      <c r="AE234" s="190"/>
      <c r="AF234" s="190"/>
      <c r="AG234" s="190"/>
      <c r="AH234" s="190"/>
      <c r="AI234" s="190"/>
      <c r="AJ234" s="190"/>
      <c r="AK234" s="190"/>
      <c r="AL234" s="190"/>
      <c r="AM234" s="190"/>
    </row>
    <row r="235" spans="2:39">
      <c r="B235" s="162"/>
      <c r="C235" s="162"/>
      <c r="D235" s="191"/>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0"/>
      <c r="AD235" s="190"/>
      <c r="AE235" s="190"/>
      <c r="AF235" s="190"/>
      <c r="AG235" s="190"/>
      <c r="AH235" s="190"/>
      <c r="AI235" s="190"/>
      <c r="AJ235" s="190"/>
      <c r="AK235" s="190"/>
      <c r="AL235" s="190"/>
      <c r="AM235" s="190"/>
    </row>
    <row r="236" spans="2:39">
      <c r="B236" s="162"/>
      <c r="C236" s="162"/>
      <c r="D236" s="191"/>
      <c r="E236" s="191"/>
      <c r="F236" s="191"/>
      <c r="G236" s="191"/>
      <c r="H236" s="191"/>
      <c r="I236" s="191"/>
      <c r="J236" s="191"/>
      <c r="K236" s="191"/>
      <c r="L236" s="191"/>
      <c r="M236" s="191"/>
      <c r="N236" s="191"/>
      <c r="O236" s="191"/>
      <c r="P236" s="191"/>
      <c r="Q236" s="191"/>
      <c r="R236" s="191"/>
      <c r="S236" s="191"/>
      <c r="T236" s="191"/>
      <c r="U236" s="191"/>
      <c r="V236" s="191"/>
      <c r="W236" s="191"/>
      <c r="X236" s="191"/>
      <c r="Y236" s="191"/>
      <c r="Z236" s="191"/>
      <c r="AA236" s="191"/>
      <c r="AB236" s="191"/>
      <c r="AC236" s="190"/>
      <c r="AD236" s="190"/>
      <c r="AE236" s="190"/>
      <c r="AF236" s="190"/>
      <c r="AG236" s="190"/>
      <c r="AH236" s="190"/>
      <c r="AI236" s="190"/>
      <c r="AJ236" s="190"/>
      <c r="AK236" s="190"/>
      <c r="AL236" s="190"/>
      <c r="AM236" s="190"/>
    </row>
    <row r="237" spans="2:39">
      <c r="B237" s="162"/>
      <c r="C237" s="162"/>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c r="AA237" s="191"/>
      <c r="AB237" s="191"/>
      <c r="AC237" s="190"/>
      <c r="AD237" s="190"/>
      <c r="AE237" s="190"/>
      <c r="AF237" s="190"/>
      <c r="AG237" s="190"/>
      <c r="AH237" s="190"/>
      <c r="AI237" s="190"/>
      <c r="AJ237" s="190"/>
      <c r="AK237" s="190"/>
      <c r="AL237" s="190"/>
      <c r="AM237" s="190"/>
    </row>
    <row r="238" spans="2:39">
      <c r="B238" s="162"/>
      <c r="C238" s="162"/>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c r="AA238" s="191"/>
      <c r="AB238" s="191"/>
      <c r="AC238" s="190"/>
      <c r="AD238" s="190"/>
      <c r="AE238" s="190"/>
      <c r="AF238" s="190"/>
      <c r="AG238" s="190"/>
      <c r="AH238" s="190"/>
      <c r="AI238" s="190"/>
      <c r="AJ238" s="190"/>
      <c r="AK238" s="190"/>
      <c r="AL238" s="190"/>
      <c r="AM238" s="190"/>
    </row>
    <row r="239" spans="2:39">
      <c r="B239" s="162"/>
      <c r="C239" s="162"/>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c r="AA239" s="191"/>
      <c r="AB239" s="191"/>
      <c r="AC239" s="190"/>
      <c r="AD239" s="190"/>
      <c r="AE239" s="190"/>
      <c r="AF239" s="190"/>
      <c r="AG239" s="190"/>
      <c r="AH239" s="190"/>
      <c r="AI239" s="190"/>
      <c r="AJ239" s="190"/>
      <c r="AK239" s="190"/>
      <c r="AL239" s="190"/>
      <c r="AM239" s="190"/>
    </row>
    <row r="240" spans="2:39">
      <c r="B240" s="162"/>
      <c r="C240" s="162"/>
      <c r="D240" s="191"/>
      <c r="E240" s="191"/>
      <c r="F240" s="191"/>
      <c r="G240" s="191"/>
      <c r="H240" s="191"/>
      <c r="I240" s="191"/>
      <c r="J240" s="191"/>
      <c r="K240" s="191"/>
      <c r="L240" s="191"/>
      <c r="M240" s="191"/>
      <c r="N240" s="191"/>
      <c r="O240" s="191"/>
      <c r="P240" s="191"/>
      <c r="Q240" s="191"/>
      <c r="R240" s="191"/>
      <c r="S240" s="191"/>
      <c r="T240" s="191"/>
      <c r="U240" s="191"/>
      <c r="V240" s="191"/>
      <c r="W240" s="191"/>
      <c r="X240" s="191"/>
      <c r="Y240" s="191"/>
      <c r="Z240" s="191"/>
      <c r="AA240" s="191"/>
      <c r="AB240" s="191"/>
      <c r="AC240" s="190"/>
      <c r="AD240" s="190"/>
      <c r="AE240" s="190"/>
      <c r="AF240" s="190"/>
      <c r="AG240" s="190"/>
      <c r="AH240" s="190"/>
      <c r="AI240" s="190"/>
      <c r="AJ240" s="190"/>
      <c r="AK240" s="190"/>
      <c r="AL240" s="190"/>
      <c r="AM240" s="190"/>
    </row>
    <row r="241" spans="2:39">
      <c r="B241" s="162"/>
      <c r="C241" s="162"/>
      <c r="D241" s="191"/>
      <c r="E241" s="191"/>
      <c r="F241" s="191"/>
      <c r="G241" s="191"/>
      <c r="H241" s="191"/>
      <c r="I241" s="191"/>
      <c r="J241" s="191"/>
      <c r="K241" s="191"/>
      <c r="L241" s="191"/>
      <c r="M241" s="191"/>
      <c r="N241" s="191"/>
      <c r="O241" s="191"/>
      <c r="P241" s="191"/>
      <c r="Q241" s="191"/>
      <c r="R241" s="191"/>
      <c r="S241" s="191"/>
      <c r="T241" s="191"/>
      <c r="U241" s="191"/>
      <c r="V241" s="191"/>
      <c r="W241" s="191"/>
      <c r="X241" s="191"/>
      <c r="Y241" s="191"/>
      <c r="Z241" s="191"/>
      <c r="AA241" s="191"/>
      <c r="AB241" s="191"/>
      <c r="AC241" s="190"/>
      <c r="AD241" s="190"/>
      <c r="AE241" s="190"/>
      <c r="AF241" s="190"/>
      <c r="AG241" s="190"/>
      <c r="AH241" s="190"/>
      <c r="AI241" s="190"/>
      <c r="AJ241" s="190"/>
      <c r="AK241" s="190"/>
      <c r="AL241" s="190"/>
      <c r="AM241" s="190"/>
    </row>
    <row r="242" spans="2:39">
      <c r="B242" s="162"/>
      <c r="C242" s="162"/>
      <c r="D242" s="191"/>
      <c r="E242" s="191"/>
      <c r="F242" s="191"/>
      <c r="G242" s="191"/>
      <c r="H242" s="191"/>
      <c r="I242" s="191"/>
      <c r="J242" s="191"/>
      <c r="K242" s="191"/>
      <c r="L242" s="191"/>
      <c r="M242" s="191"/>
      <c r="N242" s="191"/>
      <c r="O242" s="191"/>
      <c r="P242" s="191"/>
      <c r="Q242" s="191"/>
      <c r="R242" s="191"/>
      <c r="S242" s="191"/>
      <c r="T242" s="191"/>
      <c r="U242" s="191"/>
      <c r="V242" s="191"/>
      <c r="W242" s="191"/>
      <c r="X242" s="191"/>
      <c r="Y242" s="191"/>
      <c r="Z242" s="191"/>
      <c r="AA242" s="191"/>
      <c r="AB242" s="191"/>
      <c r="AC242" s="190"/>
      <c r="AD242" s="190"/>
      <c r="AE242" s="190"/>
      <c r="AF242" s="190"/>
      <c r="AG242" s="190"/>
      <c r="AH242" s="190"/>
      <c r="AI242" s="190"/>
      <c r="AJ242" s="190"/>
      <c r="AK242" s="190"/>
      <c r="AL242" s="190"/>
      <c r="AM242" s="190"/>
    </row>
    <row r="243" spans="2:39">
      <c r="B243" s="162"/>
      <c r="C243" s="162"/>
      <c r="D243" s="191"/>
      <c r="E243" s="191"/>
      <c r="F243" s="191"/>
      <c r="G243" s="191"/>
      <c r="H243" s="191"/>
      <c r="I243" s="191"/>
      <c r="J243" s="191"/>
      <c r="K243" s="191"/>
      <c r="L243" s="191"/>
      <c r="M243" s="191"/>
      <c r="N243" s="191"/>
      <c r="O243" s="191"/>
      <c r="P243" s="191"/>
      <c r="Q243" s="191"/>
      <c r="R243" s="191"/>
      <c r="S243" s="191"/>
      <c r="T243" s="191"/>
      <c r="U243" s="191"/>
      <c r="V243" s="191"/>
      <c r="W243" s="191"/>
      <c r="X243" s="191"/>
      <c r="Y243" s="191"/>
      <c r="Z243" s="191"/>
      <c r="AA243" s="191"/>
      <c r="AB243" s="191"/>
      <c r="AC243" s="190"/>
      <c r="AD243" s="190"/>
      <c r="AE243" s="190"/>
      <c r="AF243" s="190"/>
      <c r="AG243" s="190"/>
      <c r="AH243" s="190"/>
      <c r="AI243" s="190"/>
      <c r="AJ243" s="190"/>
      <c r="AK243" s="190"/>
      <c r="AL243" s="190"/>
      <c r="AM243" s="190"/>
    </row>
    <row r="244" spans="2:39">
      <c r="B244" s="162"/>
      <c r="C244" s="162"/>
      <c r="D244" s="191"/>
      <c r="E244" s="191"/>
      <c r="F244" s="191"/>
      <c r="G244" s="191"/>
      <c r="H244" s="191"/>
      <c r="I244" s="191"/>
      <c r="J244" s="191"/>
      <c r="K244" s="191"/>
      <c r="L244" s="191"/>
      <c r="M244" s="191"/>
      <c r="N244" s="191"/>
      <c r="O244" s="191"/>
      <c r="P244" s="191"/>
      <c r="Q244" s="191"/>
      <c r="R244" s="191"/>
      <c r="S244" s="191"/>
      <c r="T244" s="191"/>
      <c r="U244" s="191"/>
      <c r="V244" s="191"/>
      <c r="W244" s="191"/>
      <c r="X244" s="191"/>
      <c r="Y244" s="191"/>
      <c r="Z244" s="191"/>
      <c r="AA244" s="191"/>
      <c r="AB244" s="191"/>
      <c r="AC244" s="190"/>
      <c r="AD244" s="190"/>
      <c r="AE244" s="190"/>
      <c r="AF244" s="190"/>
      <c r="AG244" s="190"/>
      <c r="AH244" s="190"/>
      <c r="AI244" s="190"/>
      <c r="AJ244" s="190"/>
      <c r="AK244" s="190"/>
      <c r="AL244" s="190"/>
      <c r="AM244" s="190"/>
    </row>
    <row r="245" spans="2:39">
      <c r="B245" s="162"/>
      <c r="C245" s="162"/>
      <c r="D245" s="191"/>
      <c r="E245" s="191"/>
      <c r="F245" s="191"/>
      <c r="G245" s="191"/>
      <c r="H245" s="191"/>
      <c r="I245" s="191"/>
      <c r="J245" s="191"/>
      <c r="K245" s="191"/>
      <c r="L245" s="191"/>
      <c r="M245" s="191"/>
      <c r="N245" s="191"/>
      <c r="O245" s="191"/>
      <c r="P245" s="191"/>
      <c r="Q245" s="191"/>
      <c r="R245" s="191"/>
      <c r="S245" s="191"/>
      <c r="T245" s="191"/>
      <c r="U245" s="191"/>
      <c r="V245" s="191"/>
      <c r="W245" s="191"/>
      <c r="X245" s="191"/>
      <c r="Y245" s="191"/>
      <c r="Z245" s="191"/>
      <c r="AA245" s="191"/>
      <c r="AB245" s="191"/>
      <c r="AC245" s="190"/>
      <c r="AD245" s="190"/>
      <c r="AE245" s="190"/>
      <c r="AF245" s="190"/>
      <c r="AG245" s="190"/>
      <c r="AH245" s="190"/>
      <c r="AI245" s="190"/>
      <c r="AJ245" s="190"/>
      <c r="AK245" s="190"/>
      <c r="AL245" s="190"/>
      <c r="AM245" s="190"/>
    </row>
    <row r="246" spans="2:39">
      <c r="B246" s="162"/>
      <c r="C246" s="162"/>
      <c r="D246" s="191"/>
      <c r="E246" s="191"/>
      <c r="F246" s="191"/>
      <c r="G246" s="191"/>
      <c r="H246" s="191"/>
      <c r="I246" s="191"/>
      <c r="J246" s="191"/>
      <c r="K246" s="191"/>
      <c r="L246" s="191"/>
      <c r="M246" s="191"/>
      <c r="N246" s="191"/>
      <c r="O246" s="191"/>
      <c r="P246" s="191"/>
      <c r="Q246" s="191"/>
      <c r="R246" s="191"/>
      <c r="S246" s="191"/>
      <c r="T246" s="191"/>
      <c r="U246" s="191"/>
      <c r="V246" s="191"/>
      <c r="W246" s="191"/>
      <c r="X246" s="191"/>
      <c r="Y246" s="191"/>
      <c r="Z246" s="191"/>
      <c r="AA246" s="191"/>
      <c r="AB246" s="191"/>
      <c r="AC246" s="190"/>
      <c r="AD246" s="190"/>
      <c r="AE246" s="190"/>
      <c r="AF246" s="190"/>
      <c r="AG246" s="190"/>
      <c r="AH246" s="190"/>
      <c r="AI246" s="190"/>
      <c r="AJ246" s="190"/>
      <c r="AK246" s="190"/>
      <c r="AL246" s="190"/>
      <c r="AM246" s="190"/>
    </row>
    <row r="247" spans="2:39">
      <c r="B247" s="162"/>
      <c r="C247" s="162"/>
      <c r="D247" s="191"/>
      <c r="E247" s="191"/>
      <c r="F247" s="191"/>
      <c r="G247" s="191"/>
      <c r="H247" s="191"/>
      <c r="I247" s="191"/>
      <c r="J247" s="191"/>
      <c r="K247" s="191"/>
      <c r="L247" s="191"/>
      <c r="M247" s="191"/>
      <c r="N247" s="191"/>
      <c r="O247" s="191"/>
      <c r="P247" s="191"/>
      <c r="Q247" s="191"/>
      <c r="R247" s="191"/>
      <c r="S247" s="191"/>
      <c r="T247" s="191"/>
      <c r="U247" s="191"/>
      <c r="V247" s="191"/>
      <c r="W247" s="191"/>
      <c r="X247" s="191"/>
      <c r="Y247" s="191"/>
      <c r="Z247" s="191"/>
      <c r="AA247" s="191"/>
      <c r="AB247" s="191"/>
      <c r="AC247" s="190"/>
      <c r="AD247" s="190"/>
      <c r="AE247" s="190"/>
      <c r="AF247" s="190"/>
      <c r="AG247" s="190"/>
      <c r="AH247" s="190"/>
      <c r="AI247" s="190"/>
      <c r="AJ247" s="190"/>
      <c r="AK247" s="190"/>
      <c r="AL247" s="190"/>
      <c r="AM247" s="190"/>
    </row>
    <row r="248" spans="2:39">
      <c r="B248" s="162"/>
      <c r="C248" s="162"/>
      <c r="D248" s="191"/>
      <c r="E248" s="191"/>
      <c r="F248" s="191"/>
      <c r="G248" s="191"/>
      <c r="H248" s="191"/>
      <c r="I248" s="191"/>
      <c r="J248" s="191"/>
      <c r="K248" s="191"/>
      <c r="L248" s="191"/>
      <c r="M248" s="191"/>
      <c r="N248" s="191"/>
      <c r="O248" s="191"/>
      <c r="P248" s="191"/>
      <c r="Q248" s="191"/>
      <c r="R248" s="191"/>
      <c r="S248" s="191"/>
      <c r="T248" s="191"/>
      <c r="U248" s="191"/>
      <c r="V248" s="191"/>
      <c r="W248" s="191"/>
      <c r="X248" s="191"/>
      <c r="Y248" s="191"/>
      <c r="Z248" s="191"/>
      <c r="AA248" s="191"/>
      <c r="AB248" s="191"/>
      <c r="AC248" s="190"/>
      <c r="AD248" s="190"/>
      <c r="AE248" s="190"/>
      <c r="AF248" s="190"/>
      <c r="AG248" s="190"/>
      <c r="AH248" s="190"/>
      <c r="AI248" s="190"/>
      <c r="AJ248" s="190"/>
      <c r="AK248" s="190"/>
      <c r="AL248" s="190"/>
      <c r="AM248" s="190"/>
    </row>
    <row r="249" spans="2:39">
      <c r="B249" s="162"/>
      <c r="C249" s="162"/>
      <c r="D249" s="191"/>
      <c r="E249" s="191"/>
      <c r="F249" s="191"/>
      <c r="G249" s="191"/>
      <c r="H249" s="191"/>
      <c r="I249" s="191"/>
      <c r="J249" s="191"/>
      <c r="K249" s="191"/>
      <c r="L249" s="191"/>
      <c r="M249" s="191"/>
      <c r="N249" s="191"/>
      <c r="O249" s="191"/>
      <c r="P249" s="191"/>
      <c r="Q249" s="191"/>
      <c r="R249" s="191"/>
      <c r="S249" s="191"/>
      <c r="T249" s="191"/>
      <c r="U249" s="191"/>
      <c r="V249" s="191"/>
      <c r="W249" s="191"/>
      <c r="X249" s="191"/>
      <c r="Y249" s="191"/>
      <c r="Z249" s="191"/>
      <c r="AA249" s="191"/>
      <c r="AB249" s="191"/>
      <c r="AC249" s="190"/>
      <c r="AD249" s="190"/>
      <c r="AE249" s="190"/>
      <c r="AF249" s="190"/>
      <c r="AG249" s="190"/>
      <c r="AH249" s="190"/>
      <c r="AI249" s="190"/>
      <c r="AJ249" s="190"/>
      <c r="AK249" s="190"/>
      <c r="AL249" s="190"/>
      <c r="AM249" s="190"/>
    </row>
    <row r="250" spans="2:39">
      <c r="B250" s="162"/>
      <c r="C250" s="162"/>
      <c r="D250" s="191"/>
      <c r="E250" s="191"/>
      <c r="F250" s="191"/>
      <c r="G250" s="191"/>
      <c r="H250" s="191"/>
      <c r="I250" s="191"/>
      <c r="J250" s="191"/>
      <c r="K250" s="191"/>
      <c r="L250" s="191"/>
      <c r="M250" s="191"/>
      <c r="N250" s="191"/>
      <c r="O250" s="191"/>
      <c r="P250" s="191"/>
      <c r="Q250" s="191"/>
      <c r="R250" s="191"/>
      <c r="S250" s="191"/>
      <c r="T250" s="191"/>
      <c r="U250" s="191"/>
      <c r="V250" s="191"/>
      <c r="W250" s="191"/>
      <c r="X250" s="191"/>
      <c r="Y250" s="191"/>
      <c r="Z250" s="191"/>
      <c r="AA250" s="191"/>
      <c r="AB250" s="191"/>
      <c r="AC250" s="190"/>
      <c r="AD250" s="190"/>
      <c r="AE250" s="190"/>
      <c r="AF250" s="190"/>
      <c r="AG250" s="190"/>
      <c r="AH250" s="190"/>
      <c r="AI250" s="190"/>
      <c r="AJ250" s="190"/>
      <c r="AK250" s="190"/>
      <c r="AL250" s="190"/>
      <c r="AM250" s="190"/>
    </row>
    <row r="251" spans="2:39">
      <c r="B251" s="162"/>
      <c r="C251" s="162"/>
      <c r="D251" s="191"/>
      <c r="E251" s="191"/>
      <c r="F251" s="191"/>
      <c r="G251" s="191"/>
      <c r="H251" s="191"/>
      <c r="I251" s="191"/>
      <c r="J251" s="191"/>
      <c r="K251" s="191"/>
      <c r="L251" s="191"/>
      <c r="M251" s="191"/>
      <c r="N251" s="191"/>
      <c r="O251" s="191"/>
      <c r="P251" s="191"/>
      <c r="Q251" s="191"/>
      <c r="R251" s="191"/>
      <c r="S251" s="191"/>
      <c r="T251" s="191"/>
      <c r="U251" s="191"/>
      <c r="V251" s="191"/>
      <c r="W251" s="191"/>
      <c r="X251" s="191"/>
      <c r="Y251" s="191"/>
      <c r="Z251" s="191"/>
      <c r="AA251" s="191"/>
      <c r="AB251" s="191"/>
      <c r="AC251" s="190"/>
      <c r="AD251" s="190"/>
      <c r="AE251" s="190"/>
      <c r="AF251" s="190"/>
      <c r="AG251" s="190"/>
      <c r="AH251" s="190"/>
      <c r="AI251" s="190"/>
      <c r="AJ251" s="190"/>
      <c r="AK251" s="190"/>
      <c r="AL251" s="190"/>
      <c r="AM251" s="190"/>
    </row>
    <row r="252" spans="2:39">
      <c r="B252" s="162"/>
      <c r="C252" s="162"/>
      <c r="D252" s="191"/>
      <c r="E252" s="191"/>
      <c r="F252" s="191"/>
      <c r="G252" s="191"/>
      <c r="H252" s="191"/>
      <c r="I252" s="191"/>
      <c r="J252" s="191"/>
      <c r="K252" s="191"/>
      <c r="L252" s="191"/>
      <c r="M252" s="191"/>
      <c r="N252" s="191"/>
      <c r="O252" s="191"/>
      <c r="P252" s="191"/>
      <c r="Q252" s="191"/>
      <c r="R252" s="191"/>
      <c r="S252" s="191"/>
      <c r="T252" s="191"/>
      <c r="U252" s="191"/>
      <c r="V252" s="191"/>
      <c r="W252" s="191"/>
      <c r="X252" s="191"/>
      <c r="Y252" s="191"/>
      <c r="Z252" s="191"/>
      <c r="AA252" s="191"/>
      <c r="AB252" s="191"/>
      <c r="AC252" s="190"/>
      <c r="AD252" s="190"/>
      <c r="AE252" s="190"/>
      <c r="AF252" s="190"/>
      <c r="AG252" s="190"/>
      <c r="AH252" s="190"/>
      <c r="AI252" s="190"/>
      <c r="AJ252" s="190"/>
      <c r="AK252" s="190"/>
      <c r="AL252" s="190"/>
      <c r="AM252" s="190"/>
    </row>
    <row r="253" spans="2:39">
      <c r="B253" s="162"/>
      <c r="C253" s="162"/>
      <c r="D253" s="191"/>
      <c r="E253" s="191"/>
      <c r="F253" s="191"/>
      <c r="G253" s="191"/>
      <c r="H253" s="191"/>
      <c r="I253" s="191"/>
      <c r="J253" s="191"/>
      <c r="K253" s="191"/>
      <c r="L253" s="191"/>
      <c r="M253" s="191"/>
      <c r="N253" s="191"/>
      <c r="O253" s="191"/>
      <c r="P253" s="191"/>
      <c r="Q253" s="191"/>
      <c r="R253" s="191"/>
      <c r="S253" s="191"/>
      <c r="T253" s="191"/>
      <c r="U253" s="191"/>
      <c r="V253" s="191"/>
      <c r="W253" s="191"/>
      <c r="X253" s="191"/>
      <c r="Y253" s="191"/>
      <c r="Z253" s="191"/>
      <c r="AA253" s="191"/>
      <c r="AB253" s="191"/>
      <c r="AC253" s="190"/>
      <c r="AD253" s="190"/>
      <c r="AE253" s="190"/>
      <c r="AF253" s="190"/>
      <c r="AG253" s="190"/>
      <c r="AH253" s="190"/>
      <c r="AI253" s="190"/>
      <c r="AJ253" s="190"/>
      <c r="AK253" s="190"/>
      <c r="AL253" s="190"/>
      <c r="AM253" s="190"/>
    </row>
    <row r="254" spans="2:39">
      <c r="B254" s="162"/>
      <c r="C254" s="162"/>
      <c r="D254" s="191"/>
      <c r="E254" s="191"/>
      <c r="F254" s="191"/>
      <c r="G254" s="191"/>
      <c r="H254" s="191"/>
      <c r="I254" s="191"/>
      <c r="J254" s="191"/>
      <c r="K254" s="191"/>
      <c r="L254" s="191"/>
      <c r="M254" s="191"/>
      <c r="N254" s="191"/>
      <c r="O254" s="191"/>
      <c r="P254" s="191"/>
      <c r="Q254" s="191"/>
      <c r="R254" s="191"/>
      <c r="S254" s="191"/>
      <c r="T254" s="191"/>
      <c r="U254" s="191"/>
      <c r="V254" s="191"/>
      <c r="W254" s="191"/>
      <c r="X254" s="191"/>
      <c r="Y254" s="191"/>
      <c r="Z254" s="191"/>
      <c r="AA254" s="191"/>
      <c r="AB254" s="191"/>
      <c r="AC254" s="190"/>
      <c r="AD254" s="190"/>
      <c r="AE254" s="190"/>
      <c r="AF254" s="190"/>
      <c r="AG254" s="190"/>
      <c r="AH254" s="190"/>
      <c r="AI254" s="190"/>
      <c r="AJ254" s="190"/>
      <c r="AK254" s="190"/>
      <c r="AL254" s="190"/>
      <c r="AM254" s="190"/>
    </row>
    <row r="255" spans="2:39">
      <c r="B255" s="162"/>
      <c r="C255" s="162"/>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0"/>
      <c r="AD255" s="190"/>
      <c r="AE255" s="190"/>
      <c r="AF255" s="190"/>
      <c r="AG255" s="190"/>
      <c r="AH255" s="190"/>
      <c r="AI255" s="190"/>
      <c r="AJ255" s="190"/>
      <c r="AK255" s="190"/>
      <c r="AL255" s="190"/>
      <c r="AM255" s="190"/>
    </row>
    <row r="256" spans="2:39">
      <c r="B256" s="162"/>
      <c r="C256" s="162"/>
      <c r="D256" s="191"/>
      <c r="E256" s="191"/>
      <c r="F256" s="191"/>
      <c r="G256" s="191"/>
      <c r="H256" s="191"/>
      <c r="I256" s="191"/>
      <c r="J256" s="191"/>
      <c r="K256" s="191"/>
      <c r="L256" s="191"/>
      <c r="M256" s="191"/>
      <c r="N256" s="191"/>
      <c r="O256" s="191"/>
      <c r="P256" s="191"/>
      <c r="Q256" s="191"/>
      <c r="R256" s="191"/>
      <c r="S256" s="191"/>
      <c r="T256" s="191"/>
      <c r="U256" s="191"/>
      <c r="V256" s="191"/>
      <c r="W256" s="191"/>
      <c r="X256" s="191"/>
      <c r="Y256" s="191"/>
      <c r="Z256" s="191"/>
      <c r="AA256" s="191"/>
      <c r="AB256" s="191"/>
      <c r="AC256" s="190"/>
      <c r="AD256" s="190"/>
      <c r="AE256" s="190"/>
      <c r="AF256" s="190"/>
      <c r="AG256" s="190"/>
      <c r="AH256" s="190"/>
      <c r="AI256" s="190"/>
      <c r="AJ256" s="190"/>
      <c r="AK256" s="190"/>
      <c r="AL256" s="190"/>
      <c r="AM256" s="190"/>
    </row>
    <row r="257" spans="2:39">
      <c r="B257" s="162"/>
      <c r="C257" s="162"/>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0"/>
      <c r="AD257" s="190"/>
      <c r="AE257" s="190"/>
      <c r="AF257" s="190"/>
      <c r="AG257" s="190"/>
      <c r="AH257" s="190"/>
      <c r="AI257" s="190"/>
      <c r="AJ257" s="190"/>
      <c r="AK257" s="190"/>
      <c r="AL257" s="190"/>
      <c r="AM257" s="190"/>
    </row>
    <row r="258" spans="2:39">
      <c r="B258" s="162"/>
      <c r="C258" s="162"/>
      <c r="D258" s="191"/>
      <c r="E258" s="191"/>
      <c r="F258" s="191"/>
      <c r="G258" s="191"/>
      <c r="H258" s="191"/>
      <c r="I258" s="191"/>
      <c r="J258" s="191"/>
      <c r="K258" s="191"/>
      <c r="L258" s="191"/>
      <c r="M258" s="191"/>
      <c r="N258" s="191"/>
      <c r="O258" s="191"/>
      <c r="P258" s="191"/>
      <c r="Q258" s="191"/>
      <c r="R258" s="191"/>
      <c r="S258" s="191"/>
      <c r="T258" s="191"/>
      <c r="U258" s="191"/>
      <c r="V258" s="191"/>
      <c r="W258" s="191"/>
      <c r="X258" s="191"/>
      <c r="Y258" s="191"/>
      <c r="Z258" s="191"/>
      <c r="AA258" s="191"/>
      <c r="AB258" s="191"/>
      <c r="AC258" s="190"/>
      <c r="AD258" s="190"/>
      <c r="AE258" s="190"/>
      <c r="AF258" s="190"/>
      <c r="AG258" s="190"/>
      <c r="AH258" s="190"/>
      <c r="AI258" s="190"/>
      <c r="AJ258" s="190"/>
      <c r="AK258" s="190"/>
      <c r="AL258" s="190"/>
      <c r="AM258" s="190"/>
    </row>
    <row r="259" spans="2:39">
      <c r="B259" s="162"/>
      <c r="C259" s="162"/>
      <c r="D259" s="191"/>
      <c r="E259" s="191"/>
      <c r="F259" s="191"/>
      <c r="G259" s="191"/>
      <c r="H259" s="191"/>
      <c r="I259" s="191"/>
      <c r="J259" s="191"/>
      <c r="K259" s="191"/>
      <c r="L259" s="191"/>
      <c r="M259" s="191"/>
      <c r="N259" s="191"/>
      <c r="O259" s="191"/>
      <c r="P259" s="191"/>
      <c r="Q259" s="191"/>
      <c r="R259" s="191"/>
      <c r="S259" s="191"/>
      <c r="T259" s="191"/>
      <c r="U259" s="191"/>
      <c r="V259" s="191"/>
      <c r="W259" s="191"/>
      <c r="X259" s="191"/>
      <c r="Y259" s="191"/>
      <c r="Z259" s="191"/>
      <c r="AA259" s="191"/>
      <c r="AB259" s="191"/>
      <c r="AC259" s="190"/>
      <c r="AD259" s="190"/>
      <c r="AE259" s="190"/>
      <c r="AF259" s="190"/>
      <c r="AG259" s="190"/>
      <c r="AH259" s="190"/>
      <c r="AI259" s="190"/>
      <c r="AJ259" s="190"/>
      <c r="AK259" s="190"/>
      <c r="AL259" s="190"/>
      <c r="AM259" s="190"/>
    </row>
    <row r="260" spans="2:39">
      <c r="B260" s="162"/>
      <c r="C260" s="162"/>
      <c r="D260" s="191"/>
      <c r="E260" s="191"/>
      <c r="F260" s="191"/>
      <c r="G260" s="191"/>
      <c r="H260" s="191"/>
      <c r="I260" s="191"/>
      <c r="J260" s="191"/>
      <c r="K260" s="191"/>
      <c r="L260" s="191"/>
      <c r="M260" s="191"/>
      <c r="N260" s="191"/>
      <c r="O260" s="191"/>
      <c r="P260" s="191"/>
      <c r="Q260" s="191"/>
      <c r="R260" s="191"/>
      <c r="S260" s="191"/>
      <c r="T260" s="191"/>
      <c r="U260" s="191"/>
      <c r="V260" s="191"/>
      <c r="W260" s="191"/>
      <c r="X260" s="191"/>
      <c r="Y260" s="191"/>
      <c r="Z260" s="191"/>
      <c r="AA260" s="191"/>
      <c r="AB260" s="191"/>
      <c r="AC260" s="190"/>
      <c r="AD260" s="190"/>
      <c r="AE260" s="190"/>
      <c r="AF260" s="190"/>
      <c r="AG260" s="190"/>
      <c r="AH260" s="190"/>
      <c r="AI260" s="190"/>
      <c r="AJ260" s="190"/>
      <c r="AK260" s="190"/>
      <c r="AL260" s="190"/>
      <c r="AM260" s="190"/>
    </row>
    <row r="261" spans="2:39">
      <c r="B261" s="162"/>
      <c r="C261" s="162"/>
      <c r="D261" s="191"/>
      <c r="E261" s="191"/>
      <c r="F261" s="191"/>
      <c r="G261" s="191"/>
      <c r="H261" s="191"/>
      <c r="I261" s="191"/>
      <c r="J261" s="191"/>
      <c r="K261" s="191"/>
      <c r="L261" s="191"/>
      <c r="M261" s="191"/>
      <c r="N261" s="191"/>
      <c r="O261" s="191"/>
      <c r="P261" s="191"/>
      <c r="Q261" s="191"/>
      <c r="R261" s="191"/>
      <c r="S261" s="191"/>
      <c r="T261" s="191"/>
      <c r="U261" s="191"/>
      <c r="V261" s="191"/>
      <c r="W261" s="191"/>
      <c r="X261" s="191"/>
      <c r="Y261" s="191"/>
      <c r="Z261" s="191"/>
      <c r="AA261" s="191"/>
      <c r="AB261" s="191"/>
      <c r="AC261" s="190"/>
      <c r="AD261" s="190"/>
      <c r="AE261" s="190"/>
      <c r="AF261" s="190"/>
      <c r="AG261" s="190"/>
      <c r="AH261" s="190"/>
      <c r="AI261" s="190"/>
      <c r="AJ261" s="190"/>
      <c r="AK261" s="190"/>
      <c r="AL261" s="190"/>
      <c r="AM261" s="190"/>
    </row>
    <row r="262" spans="2:39">
      <c r="B262" s="162"/>
      <c r="C262" s="162"/>
      <c r="D262" s="191"/>
      <c r="E262" s="191"/>
      <c r="F262" s="191"/>
      <c r="G262" s="191"/>
      <c r="H262" s="191"/>
      <c r="I262" s="191"/>
      <c r="J262" s="191"/>
      <c r="K262" s="191"/>
      <c r="L262" s="191"/>
      <c r="M262" s="191"/>
      <c r="N262" s="191"/>
      <c r="O262" s="191"/>
      <c r="P262" s="191"/>
      <c r="Q262" s="191"/>
      <c r="R262" s="191"/>
      <c r="S262" s="191"/>
      <c r="T262" s="191"/>
      <c r="U262" s="191"/>
      <c r="V262" s="191"/>
      <c r="W262" s="191"/>
      <c r="X262" s="191"/>
      <c r="Y262" s="191"/>
      <c r="Z262" s="191"/>
      <c r="AA262" s="191"/>
      <c r="AB262" s="191"/>
      <c r="AC262" s="190"/>
      <c r="AD262" s="190"/>
      <c r="AE262" s="190"/>
      <c r="AF262" s="190"/>
      <c r="AG262" s="190"/>
      <c r="AH262" s="190"/>
      <c r="AI262" s="190"/>
      <c r="AJ262" s="190"/>
      <c r="AK262" s="190"/>
      <c r="AL262" s="190"/>
      <c r="AM262" s="190"/>
    </row>
    <row r="263" spans="2:39">
      <c r="B263" s="162"/>
      <c r="C263" s="162"/>
      <c r="D263" s="191"/>
      <c r="E263" s="191"/>
      <c r="F263" s="191"/>
      <c r="G263" s="191"/>
      <c r="H263" s="191"/>
      <c r="I263" s="191"/>
      <c r="J263" s="191"/>
      <c r="K263" s="191"/>
      <c r="L263" s="191"/>
      <c r="M263" s="191"/>
      <c r="N263" s="191"/>
      <c r="O263" s="191"/>
      <c r="P263" s="191"/>
      <c r="Q263" s="191"/>
      <c r="R263" s="191"/>
      <c r="S263" s="191"/>
      <c r="T263" s="191"/>
      <c r="U263" s="191"/>
      <c r="V263" s="191"/>
      <c r="W263" s="191"/>
      <c r="X263" s="191"/>
      <c r="Y263" s="191"/>
      <c r="Z263" s="191"/>
      <c r="AA263" s="191"/>
      <c r="AB263" s="191"/>
      <c r="AC263" s="190"/>
      <c r="AD263" s="190"/>
      <c r="AE263" s="190"/>
      <c r="AF263" s="190"/>
      <c r="AG263" s="190"/>
      <c r="AH263" s="190"/>
      <c r="AI263" s="190"/>
      <c r="AJ263" s="190"/>
      <c r="AK263" s="190"/>
      <c r="AL263" s="190"/>
      <c r="AM263" s="190"/>
    </row>
    <row r="264" spans="2:39">
      <c r="B264" s="162"/>
      <c r="C264" s="162"/>
      <c r="D264" s="191"/>
      <c r="E264" s="191"/>
      <c r="F264" s="191"/>
      <c r="G264" s="191"/>
      <c r="H264" s="191"/>
      <c r="I264" s="191"/>
      <c r="J264" s="191"/>
      <c r="K264" s="191"/>
      <c r="L264" s="191"/>
      <c r="M264" s="191"/>
      <c r="N264" s="191"/>
      <c r="O264" s="191"/>
      <c r="P264" s="191"/>
      <c r="Q264" s="191"/>
      <c r="R264" s="191"/>
      <c r="S264" s="191"/>
      <c r="T264" s="191"/>
      <c r="U264" s="191"/>
      <c r="V264" s="191"/>
      <c r="W264" s="191"/>
      <c r="X264" s="191"/>
      <c r="Y264" s="191"/>
      <c r="Z264" s="191"/>
      <c r="AA264" s="191"/>
      <c r="AB264" s="191"/>
      <c r="AC264" s="190"/>
      <c r="AD264" s="190"/>
      <c r="AE264" s="190"/>
      <c r="AF264" s="190"/>
      <c r="AG264" s="190"/>
      <c r="AH264" s="190"/>
      <c r="AI264" s="190"/>
      <c r="AJ264" s="190"/>
      <c r="AK264" s="190"/>
      <c r="AL264" s="190"/>
      <c r="AM264" s="190"/>
    </row>
    <row r="265" spans="2:39">
      <c r="B265" s="162"/>
      <c r="C265" s="162"/>
      <c r="D265" s="191"/>
      <c r="E265" s="191"/>
      <c r="F265" s="191"/>
      <c r="G265" s="191"/>
      <c r="H265" s="191"/>
      <c r="I265" s="191"/>
      <c r="J265" s="191"/>
      <c r="K265" s="191"/>
      <c r="L265" s="191"/>
      <c r="M265" s="191"/>
      <c r="N265" s="191"/>
      <c r="O265" s="191"/>
      <c r="P265" s="191"/>
      <c r="Q265" s="191"/>
      <c r="R265" s="191"/>
      <c r="S265" s="191"/>
      <c r="T265" s="191"/>
      <c r="U265" s="191"/>
      <c r="V265" s="191"/>
      <c r="W265" s="191"/>
      <c r="X265" s="191"/>
      <c r="Y265" s="191"/>
      <c r="Z265" s="191"/>
      <c r="AA265" s="191"/>
      <c r="AB265" s="191"/>
      <c r="AC265" s="190"/>
      <c r="AD265" s="190"/>
      <c r="AE265" s="190"/>
      <c r="AF265" s="190"/>
      <c r="AG265" s="190"/>
      <c r="AH265" s="190"/>
      <c r="AI265" s="190"/>
      <c r="AJ265" s="190"/>
      <c r="AK265" s="190"/>
      <c r="AL265" s="190"/>
      <c r="AM265" s="190"/>
    </row>
    <row r="266" spans="2:39">
      <c r="B266" s="162"/>
      <c r="C266" s="162"/>
      <c r="D266" s="191"/>
      <c r="E266" s="191"/>
      <c r="F266" s="191"/>
      <c r="G266" s="191"/>
      <c r="H266" s="191"/>
      <c r="I266" s="191"/>
      <c r="J266" s="191"/>
      <c r="K266" s="191"/>
      <c r="L266" s="191"/>
      <c r="M266" s="191"/>
      <c r="N266" s="191"/>
      <c r="O266" s="191"/>
      <c r="P266" s="191"/>
      <c r="Q266" s="191"/>
      <c r="R266" s="191"/>
      <c r="S266" s="191"/>
      <c r="T266" s="191"/>
      <c r="U266" s="191"/>
      <c r="V266" s="191"/>
      <c r="W266" s="191"/>
      <c r="X266" s="191"/>
      <c r="Y266" s="191"/>
      <c r="Z266" s="191"/>
      <c r="AA266" s="191"/>
      <c r="AB266" s="191"/>
      <c r="AC266" s="190"/>
      <c r="AD266" s="190"/>
      <c r="AE266" s="190"/>
      <c r="AF266" s="190"/>
      <c r="AG266" s="190"/>
      <c r="AH266" s="190"/>
      <c r="AI266" s="190"/>
      <c r="AJ266" s="190"/>
      <c r="AK266" s="190"/>
      <c r="AL266" s="190"/>
      <c r="AM266" s="190"/>
    </row>
    <row r="267" spans="2:39">
      <c r="B267" s="162"/>
      <c r="C267" s="162"/>
      <c r="D267" s="191"/>
      <c r="E267" s="191"/>
      <c r="F267" s="191"/>
      <c r="G267" s="191"/>
      <c r="H267" s="191"/>
      <c r="I267" s="191"/>
      <c r="J267" s="191"/>
      <c r="K267" s="191"/>
      <c r="L267" s="191"/>
      <c r="M267" s="191"/>
      <c r="N267" s="191"/>
      <c r="O267" s="191"/>
      <c r="P267" s="191"/>
      <c r="Q267" s="191"/>
      <c r="R267" s="191"/>
      <c r="S267" s="191"/>
      <c r="T267" s="191"/>
      <c r="U267" s="191"/>
      <c r="V267" s="191"/>
      <c r="W267" s="191"/>
      <c r="X267" s="191"/>
      <c r="Y267" s="191"/>
      <c r="Z267" s="191"/>
      <c r="AA267" s="191"/>
      <c r="AB267" s="191"/>
      <c r="AC267" s="190"/>
      <c r="AD267" s="190"/>
      <c r="AE267" s="190"/>
      <c r="AF267" s="190"/>
      <c r="AG267" s="190"/>
      <c r="AH267" s="190"/>
      <c r="AI267" s="190"/>
      <c r="AJ267" s="190"/>
      <c r="AK267" s="190"/>
      <c r="AL267" s="190"/>
      <c r="AM267" s="190"/>
    </row>
    <row r="268" spans="2:39">
      <c r="B268" s="162"/>
      <c r="C268" s="162"/>
      <c r="D268" s="191"/>
      <c r="E268" s="191"/>
      <c r="F268" s="191"/>
      <c r="G268" s="191"/>
      <c r="H268" s="191"/>
      <c r="I268" s="191"/>
      <c r="J268" s="191"/>
      <c r="K268" s="191"/>
      <c r="L268" s="191"/>
      <c r="M268" s="191"/>
      <c r="N268" s="191"/>
      <c r="O268" s="191"/>
      <c r="P268" s="191"/>
      <c r="Q268" s="191"/>
      <c r="R268" s="191"/>
      <c r="S268" s="191"/>
      <c r="T268" s="191"/>
      <c r="U268" s="191"/>
      <c r="V268" s="191"/>
      <c r="W268" s="191"/>
      <c r="X268" s="191"/>
      <c r="Y268" s="191"/>
      <c r="Z268" s="191"/>
      <c r="AA268" s="191"/>
      <c r="AB268" s="191"/>
      <c r="AC268" s="190"/>
      <c r="AD268" s="190"/>
      <c r="AE268" s="190"/>
      <c r="AF268" s="190"/>
      <c r="AG268" s="190"/>
      <c r="AH268" s="190"/>
      <c r="AI268" s="190"/>
      <c r="AJ268" s="190"/>
      <c r="AK268" s="190"/>
      <c r="AL268" s="190"/>
      <c r="AM268" s="190"/>
    </row>
    <row r="269" spans="2:39">
      <c r="B269" s="162"/>
      <c r="C269" s="162"/>
      <c r="D269" s="191"/>
      <c r="E269" s="191"/>
      <c r="F269" s="191"/>
      <c r="G269" s="191"/>
      <c r="H269" s="191"/>
      <c r="I269" s="191"/>
      <c r="J269" s="191"/>
      <c r="K269" s="191"/>
      <c r="L269" s="191"/>
      <c r="M269" s="191"/>
      <c r="N269" s="191"/>
      <c r="O269" s="191"/>
      <c r="P269" s="191"/>
      <c r="Q269" s="191"/>
      <c r="R269" s="191"/>
      <c r="S269" s="191"/>
      <c r="T269" s="191"/>
      <c r="U269" s="191"/>
      <c r="V269" s="191"/>
      <c r="W269" s="191"/>
      <c r="X269" s="191"/>
      <c r="Y269" s="191"/>
      <c r="Z269" s="191"/>
      <c r="AA269" s="191"/>
      <c r="AB269" s="191"/>
      <c r="AC269" s="190"/>
      <c r="AD269" s="190"/>
      <c r="AE269" s="190"/>
      <c r="AF269" s="190"/>
      <c r="AG269" s="190"/>
      <c r="AH269" s="190"/>
      <c r="AI269" s="190"/>
      <c r="AJ269" s="190"/>
      <c r="AK269" s="190"/>
      <c r="AL269" s="190"/>
      <c r="AM269" s="190"/>
    </row>
    <row r="270" spans="2:39">
      <c r="B270" s="162"/>
      <c r="C270" s="162"/>
      <c r="D270" s="191"/>
      <c r="E270" s="191"/>
      <c r="F270" s="191"/>
      <c r="G270" s="191"/>
      <c r="H270" s="191"/>
      <c r="I270" s="191"/>
      <c r="J270" s="191"/>
      <c r="K270" s="191"/>
      <c r="L270" s="191"/>
      <c r="M270" s="191"/>
      <c r="N270" s="191"/>
      <c r="O270" s="191"/>
      <c r="P270" s="191"/>
      <c r="Q270" s="191"/>
      <c r="R270" s="191"/>
      <c r="S270" s="191"/>
      <c r="T270" s="191"/>
      <c r="U270" s="191"/>
      <c r="V270" s="191"/>
      <c r="W270" s="191"/>
      <c r="X270" s="191"/>
      <c r="Y270" s="191"/>
      <c r="Z270" s="191"/>
      <c r="AA270" s="191"/>
      <c r="AB270" s="191"/>
      <c r="AC270" s="190"/>
      <c r="AD270" s="190"/>
      <c r="AE270" s="190"/>
      <c r="AF270" s="190"/>
      <c r="AG270" s="190"/>
      <c r="AH270" s="190"/>
      <c r="AI270" s="190"/>
      <c r="AJ270" s="190"/>
      <c r="AK270" s="190"/>
      <c r="AL270" s="190"/>
      <c r="AM270" s="190"/>
    </row>
    <row r="271" spans="2:39">
      <c r="B271" s="162"/>
      <c r="C271" s="162"/>
      <c r="D271" s="191"/>
      <c r="E271" s="191"/>
      <c r="F271" s="191"/>
      <c r="G271" s="191"/>
      <c r="H271" s="191"/>
      <c r="I271" s="191"/>
      <c r="J271" s="191"/>
      <c r="K271" s="191"/>
      <c r="L271" s="191"/>
      <c r="M271" s="191"/>
      <c r="N271" s="191"/>
      <c r="O271" s="191"/>
      <c r="P271" s="191"/>
      <c r="Q271" s="191"/>
      <c r="R271" s="191"/>
      <c r="S271" s="191"/>
      <c r="T271" s="191"/>
      <c r="U271" s="191"/>
      <c r="V271" s="191"/>
      <c r="W271" s="191"/>
      <c r="X271" s="191"/>
      <c r="Y271" s="191"/>
      <c r="Z271" s="191"/>
      <c r="AA271" s="191"/>
      <c r="AB271" s="191"/>
      <c r="AC271" s="190"/>
      <c r="AD271" s="190"/>
      <c r="AE271" s="190"/>
      <c r="AF271" s="190"/>
      <c r="AG271" s="190"/>
      <c r="AH271" s="190"/>
      <c r="AI271" s="190"/>
      <c r="AJ271" s="190"/>
      <c r="AK271" s="190"/>
      <c r="AL271" s="190"/>
      <c r="AM271" s="190"/>
    </row>
    <row r="272" spans="2:39">
      <c r="B272" s="162"/>
      <c r="C272" s="162"/>
      <c r="D272" s="191"/>
      <c r="E272" s="191"/>
      <c r="F272" s="191"/>
      <c r="G272" s="191"/>
      <c r="H272" s="191"/>
      <c r="I272" s="191"/>
      <c r="J272" s="191"/>
      <c r="K272" s="191"/>
      <c r="L272" s="191"/>
      <c r="M272" s="191"/>
      <c r="N272" s="191"/>
      <c r="O272" s="191"/>
      <c r="P272" s="191"/>
      <c r="Q272" s="191"/>
      <c r="R272" s="191"/>
      <c r="S272" s="191"/>
      <c r="T272" s="191"/>
      <c r="U272" s="191"/>
      <c r="V272" s="191"/>
      <c r="W272" s="191"/>
      <c r="X272" s="191"/>
      <c r="Y272" s="191"/>
      <c r="Z272" s="191"/>
      <c r="AA272" s="191"/>
      <c r="AB272" s="191"/>
      <c r="AC272" s="190"/>
      <c r="AD272" s="190"/>
      <c r="AE272" s="190"/>
      <c r="AF272" s="190"/>
      <c r="AG272" s="190"/>
      <c r="AH272" s="190"/>
      <c r="AI272" s="190"/>
      <c r="AJ272" s="190"/>
      <c r="AK272" s="190"/>
      <c r="AL272" s="190"/>
      <c r="AM272" s="190"/>
    </row>
    <row r="273" spans="2:39">
      <c r="B273" s="162"/>
      <c r="C273" s="162"/>
      <c r="D273" s="191"/>
      <c r="E273" s="191"/>
      <c r="F273" s="191"/>
      <c r="G273" s="191"/>
      <c r="H273" s="191"/>
      <c r="I273" s="191"/>
      <c r="J273" s="191"/>
      <c r="K273" s="191"/>
      <c r="L273" s="191"/>
      <c r="M273" s="191"/>
      <c r="N273" s="191"/>
      <c r="O273" s="191"/>
      <c r="P273" s="191"/>
      <c r="Q273" s="191"/>
      <c r="R273" s="191"/>
      <c r="S273" s="191"/>
      <c r="T273" s="191"/>
      <c r="U273" s="191"/>
      <c r="V273" s="191"/>
      <c r="W273" s="191"/>
      <c r="X273" s="191"/>
      <c r="Y273" s="191"/>
      <c r="Z273" s="191"/>
      <c r="AA273" s="191"/>
      <c r="AB273" s="191"/>
      <c r="AC273" s="190"/>
      <c r="AD273" s="190"/>
      <c r="AE273" s="190"/>
      <c r="AF273" s="190"/>
      <c r="AG273" s="190"/>
      <c r="AH273" s="190"/>
      <c r="AI273" s="190"/>
      <c r="AJ273" s="190"/>
      <c r="AK273" s="190"/>
      <c r="AL273" s="190"/>
      <c r="AM273" s="190"/>
    </row>
    <row r="274" spans="2:39">
      <c r="B274" s="162"/>
      <c r="C274" s="162"/>
      <c r="D274" s="191"/>
      <c r="E274" s="191"/>
      <c r="F274" s="191"/>
      <c r="G274" s="191"/>
      <c r="H274" s="191"/>
      <c r="I274" s="191"/>
      <c r="J274" s="191"/>
      <c r="K274" s="191"/>
      <c r="L274" s="191"/>
      <c r="M274" s="191"/>
      <c r="N274" s="191"/>
      <c r="O274" s="191"/>
      <c r="P274" s="191"/>
      <c r="Q274" s="191"/>
      <c r="R274" s="191"/>
      <c r="S274" s="191"/>
      <c r="T274" s="191"/>
      <c r="U274" s="191"/>
      <c r="V274" s="191"/>
      <c r="W274" s="191"/>
      <c r="X274" s="191"/>
      <c r="Y274" s="191"/>
      <c r="Z274" s="191"/>
      <c r="AA274" s="191"/>
      <c r="AB274" s="191"/>
      <c r="AC274" s="190"/>
      <c r="AD274" s="190"/>
      <c r="AE274" s="190"/>
      <c r="AF274" s="190"/>
      <c r="AG274" s="190"/>
      <c r="AH274" s="190"/>
      <c r="AI274" s="190"/>
      <c r="AJ274" s="190"/>
      <c r="AK274" s="190"/>
      <c r="AL274" s="190"/>
      <c r="AM274" s="190"/>
    </row>
    <row r="275" spans="2:39">
      <c r="B275" s="162"/>
      <c r="C275" s="162"/>
      <c r="D275" s="191"/>
      <c r="E275" s="191"/>
      <c r="F275" s="191"/>
      <c r="G275" s="191"/>
      <c r="H275" s="191"/>
      <c r="I275" s="191"/>
      <c r="J275" s="191"/>
      <c r="K275" s="191"/>
      <c r="L275" s="191"/>
      <c r="M275" s="191"/>
      <c r="N275" s="191"/>
      <c r="O275" s="191"/>
      <c r="P275" s="191"/>
      <c r="Q275" s="191"/>
      <c r="R275" s="191"/>
      <c r="S275" s="191"/>
      <c r="T275" s="191"/>
      <c r="U275" s="191"/>
      <c r="V275" s="191"/>
      <c r="W275" s="191"/>
      <c r="X275" s="191"/>
      <c r="Y275" s="191"/>
      <c r="Z275" s="191"/>
      <c r="AA275" s="191"/>
      <c r="AB275" s="191"/>
      <c r="AC275" s="190"/>
      <c r="AD275" s="190"/>
      <c r="AE275" s="190"/>
      <c r="AF275" s="190"/>
      <c r="AG275" s="190"/>
      <c r="AH275" s="190"/>
      <c r="AI275" s="190"/>
      <c r="AJ275" s="190"/>
      <c r="AK275" s="190"/>
      <c r="AL275" s="190"/>
      <c r="AM275" s="190"/>
    </row>
    <row r="276" spans="2:39">
      <c r="B276" s="162"/>
      <c r="C276" s="162"/>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c r="AA276" s="191"/>
      <c r="AB276" s="191"/>
      <c r="AC276" s="190"/>
      <c r="AD276" s="190"/>
      <c r="AE276" s="190"/>
      <c r="AF276" s="190"/>
      <c r="AG276" s="190"/>
      <c r="AH276" s="190"/>
      <c r="AI276" s="190"/>
      <c r="AJ276" s="190"/>
      <c r="AK276" s="190"/>
      <c r="AL276" s="190"/>
      <c r="AM276" s="190"/>
    </row>
    <row r="277" spans="2:39">
      <c r="B277" s="162"/>
      <c r="C277" s="162"/>
      <c r="D277" s="191"/>
      <c r="E277" s="191"/>
      <c r="F277" s="191"/>
      <c r="G277" s="191"/>
      <c r="H277" s="191"/>
      <c r="I277" s="191"/>
      <c r="J277" s="191"/>
      <c r="K277" s="191"/>
      <c r="L277" s="191"/>
      <c r="M277" s="191"/>
      <c r="N277" s="191"/>
      <c r="O277" s="191"/>
      <c r="P277" s="191"/>
      <c r="Q277" s="191"/>
      <c r="R277" s="191"/>
      <c r="S277" s="191"/>
      <c r="T277" s="191"/>
      <c r="U277" s="191"/>
      <c r="V277" s="191"/>
      <c r="W277" s="191"/>
      <c r="X277" s="191"/>
      <c r="Y277" s="191"/>
      <c r="Z277" s="191"/>
      <c r="AA277" s="191"/>
      <c r="AB277" s="191"/>
      <c r="AC277" s="190"/>
      <c r="AD277" s="190"/>
      <c r="AE277" s="190"/>
      <c r="AF277" s="190"/>
      <c r="AG277" s="190"/>
      <c r="AH277" s="190"/>
      <c r="AI277" s="190"/>
      <c r="AJ277" s="190"/>
      <c r="AK277" s="190"/>
      <c r="AL277" s="190"/>
      <c r="AM277" s="190"/>
    </row>
    <row r="278" spans="2:39">
      <c r="B278" s="162"/>
      <c r="C278" s="162"/>
      <c r="D278" s="191"/>
      <c r="E278" s="191"/>
      <c r="F278" s="191"/>
      <c r="G278" s="191"/>
      <c r="H278" s="191"/>
      <c r="I278" s="191"/>
      <c r="J278" s="191"/>
      <c r="K278" s="191"/>
      <c r="L278" s="191"/>
      <c r="M278" s="191"/>
      <c r="N278" s="191"/>
      <c r="O278" s="191"/>
      <c r="P278" s="191"/>
      <c r="Q278" s="191"/>
      <c r="R278" s="191"/>
      <c r="S278" s="191"/>
      <c r="T278" s="191"/>
      <c r="U278" s="191"/>
      <c r="V278" s="191"/>
      <c r="W278" s="191"/>
      <c r="X278" s="191"/>
      <c r="Y278" s="191"/>
      <c r="Z278" s="191"/>
      <c r="AA278" s="191"/>
      <c r="AB278" s="191"/>
      <c r="AC278" s="190"/>
      <c r="AD278" s="190"/>
      <c r="AE278" s="190"/>
      <c r="AF278" s="190"/>
      <c r="AG278" s="190"/>
      <c r="AH278" s="190"/>
      <c r="AI278" s="190"/>
      <c r="AJ278" s="190"/>
      <c r="AK278" s="190"/>
      <c r="AL278" s="190"/>
      <c r="AM278" s="190"/>
    </row>
    <row r="279" spans="2:39">
      <c r="B279" s="162"/>
      <c r="C279" s="162"/>
      <c r="D279" s="191"/>
      <c r="E279" s="191"/>
      <c r="F279" s="191"/>
      <c r="G279" s="191"/>
      <c r="H279" s="191"/>
      <c r="I279" s="191"/>
      <c r="J279" s="191"/>
      <c r="K279" s="191"/>
      <c r="L279" s="191"/>
      <c r="M279" s="191"/>
      <c r="N279" s="191"/>
      <c r="O279" s="191"/>
      <c r="P279" s="191"/>
      <c r="Q279" s="191"/>
      <c r="R279" s="191"/>
      <c r="S279" s="191"/>
      <c r="T279" s="191"/>
      <c r="U279" s="191"/>
      <c r="V279" s="191"/>
      <c r="W279" s="191"/>
      <c r="X279" s="191"/>
      <c r="Y279" s="191"/>
      <c r="Z279" s="191"/>
      <c r="AA279" s="191"/>
      <c r="AB279" s="191"/>
      <c r="AC279" s="190"/>
      <c r="AD279" s="190"/>
      <c r="AE279" s="190"/>
      <c r="AF279" s="190"/>
      <c r="AG279" s="190"/>
      <c r="AH279" s="190"/>
      <c r="AI279" s="190"/>
      <c r="AJ279" s="190"/>
      <c r="AK279" s="190"/>
      <c r="AL279" s="190"/>
      <c r="AM279" s="190"/>
    </row>
    <row r="280" spans="2:39">
      <c r="B280" s="162"/>
      <c r="C280" s="162"/>
      <c r="D280" s="191"/>
      <c r="E280" s="191"/>
      <c r="F280" s="191"/>
      <c r="G280" s="191"/>
      <c r="H280" s="191"/>
      <c r="I280" s="191"/>
      <c r="J280" s="191"/>
      <c r="K280" s="191"/>
      <c r="L280" s="191"/>
      <c r="M280" s="191"/>
      <c r="N280" s="191"/>
      <c r="O280" s="191"/>
      <c r="P280" s="191"/>
      <c r="Q280" s="191"/>
      <c r="R280" s="191"/>
      <c r="S280" s="191"/>
      <c r="T280" s="191"/>
      <c r="U280" s="191"/>
      <c r="V280" s="191"/>
      <c r="W280" s="191"/>
      <c r="X280" s="191"/>
      <c r="Y280" s="191"/>
      <c r="Z280" s="191"/>
      <c r="AA280" s="191"/>
      <c r="AB280" s="191"/>
      <c r="AC280" s="190"/>
      <c r="AD280" s="190"/>
      <c r="AE280" s="190"/>
      <c r="AF280" s="190"/>
      <c r="AG280" s="190"/>
      <c r="AH280" s="190"/>
      <c r="AI280" s="190"/>
      <c r="AJ280" s="190"/>
      <c r="AK280" s="190"/>
      <c r="AL280" s="190"/>
      <c r="AM280" s="190"/>
    </row>
    <row r="281" spans="2:39">
      <c r="B281" s="162"/>
      <c r="C281" s="162"/>
      <c r="D281" s="191"/>
      <c r="E281" s="191"/>
      <c r="F281" s="191"/>
      <c r="G281" s="191"/>
      <c r="H281" s="191"/>
      <c r="I281" s="191"/>
      <c r="J281" s="191"/>
      <c r="K281" s="191"/>
      <c r="L281" s="191"/>
      <c r="M281" s="191"/>
      <c r="N281" s="191"/>
      <c r="O281" s="191"/>
      <c r="P281" s="191"/>
      <c r="Q281" s="191"/>
      <c r="R281" s="191"/>
      <c r="S281" s="191"/>
      <c r="T281" s="191"/>
      <c r="U281" s="191"/>
      <c r="V281" s="191"/>
      <c r="W281" s="191"/>
      <c r="X281" s="191"/>
      <c r="Y281" s="191"/>
      <c r="Z281" s="191"/>
      <c r="AA281" s="191"/>
      <c r="AB281" s="191"/>
      <c r="AC281" s="190"/>
      <c r="AD281" s="190"/>
      <c r="AE281" s="190"/>
      <c r="AF281" s="190"/>
      <c r="AG281" s="190"/>
      <c r="AH281" s="190"/>
      <c r="AI281" s="190"/>
      <c r="AJ281" s="190"/>
      <c r="AK281" s="190"/>
      <c r="AL281" s="190"/>
      <c r="AM281" s="190"/>
    </row>
    <row r="282" spans="2:39">
      <c r="B282" s="162"/>
      <c r="C282" s="162"/>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0"/>
      <c r="AD282" s="190"/>
      <c r="AE282" s="190"/>
      <c r="AF282" s="190"/>
      <c r="AG282" s="190"/>
      <c r="AH282" s="190"/>
      <c r="AI282" s="190"/>
      <c r="AJ282" s="190"/>
      <c r="AK282" s="190"/>
      <c r="AL282" s="190"/>
      <c r="AM282" s="190"/>
    </row>
    <row r="283" spans="2:39">
      <c r="B283" s="162"/>
      <c r="C283" s="162"/>
      <c r="D283" s="191"/>
      <c r="E283" s="191"/>
      <c r="F283" s="191"/>
      <c r="G283" s="191"/>
      <c r="H283" s="191"/>
      <c r="I283" s="191"/>
      <c r="J283" s="191"/>
      <c r="K283" s="191"/>
      <c r="L283" s="191"/>
      <c r="M283" s="191"/>
      <c r="N283" s="191"/>
      <c r="O283" s="191"/>
      <c r="P283" s="191"/>
      <c r="Q283" s="191"/>
      <c r="R283" s="191"/>
      <c r="S283" s="191"/>
      <c r="T283" s="191"/>
      <c r="U283" s="191"/>
      <c r="V283" s="191"/>
      <c r="W283" s="191"/>
      <c r="X283" s="191"/>
      <c r="Y283" s="191"/>
      <c r="Z283" s="191"/>
      <c r="AA283" s="191"/>
      <c r="AB283" s="191"/>
      <c r="AC283" s="190"/>
      <c r="AD283" s="190"/>
      <c r="AE283" s="190"/>
      <c r="AF283" s="190"/>
      <c r="AG283" s="190"/>
      <c r="AH283" s="190"/>
      <c r="AI283" s="190"/>
      <c r="AJ283" s="190"/>
      <c r="AK283" s="190"/>
      <c r="AL283" s="190"/>
      <c r="AM283" s="190"/>
    </row>
    <row r="284" spans="2:39">
      <c r="B284" s="162"/>
      <c r="C284" s="162"/>
      <c r="D284" s="191"/>
      <c r="E284" s="191"/>
      <c r="F284" s="191"/>
      <c r="G284" s="191"/>
      <c r="H284" s="191"/>
      <c r="I284" s="191"/>
      <c r="J284" s="191"/>
      <c r="K284" s="191"/>
      <c r="L284" s="191"/>
      <c r="M284" s="191"/>
      <c r="N284" s="191"/>
      <c r="O284" s="191"/>
      <c r="P284" s="191"/>
      <c r="Q284" s="191"/>
      <c r="R284" s="191"/>
      <c r="S284" s="191"/>
      <c r="T284" s="191"/>
      <c r="U284" s="191"/>
      <c r="V284" s="191"/>
      <c r="W284" s="191"/>
      <c r="X284" s="191"/>
      <c r="Y284" s="191"/>
      <c r="Z284" s="191"/>
      <c r="AA284" s="191"/>
      <c r="AB284" s="191"/>
      <c r="AC284" s="190"/>
      <c r="AD284" s="190"/>
      <c r="AE284" s="190"/>
      <c r="AF284" s="190"/>
      <c r="AG284" s="190"/>
      <c r="AH284" s="190"/>
      <c r="AI284" s="190"/>
      <c r="AJ284" s="190"/>
      <c r="AK284" s="190"/>
      <c r="AL284" s="190"/>
      <c r="AM284" s="190"/>
    </row>
    <row r="285" spans="2:39">
      <c r="B285" s="162"/>
      <c r="C285" s="162"/>
      <c r="D285" s="191"/>
      <c r="E285" s="191"/>
      <c r="F285" s="191"/>
      <c r="G285" s="191"/>
      <c r="H285" s="191"/>
      <c r="I285" s="191"/>
      <c r="J285" s="191"/>
      <c r="K285" s="191"/>
      <c r="L285" s="191"/>
      <c r="M285" s="191"/>
      <c r="N285" s="191"/>
      <c r="O285" s="191"/>
      <c r="P285" s="191"/>
      <c r="Q285" s="191"/>
      <c r="R285" s="191"/>
      <c r="S285" s="191"/>
      <c r="T285" s="191"/>
      <c r="U285" s="191"/>
      <c r="V285" s="191"/>
      <c r="W285" s="191"/>
      <c r="X285" s="191"/>
      <c r="Y285" s="191"/>
      <c r="Z285" s="191"/>
      <c r="AA285" s="191"/>
      <c r="AB285" s="191"/>
      <c r="AC285" s="190"/>
      <c r="AD285" s="190"/>
      <c r="AE285" s="190"/>
      <c r="AF285" s="190"/>
      <c r="AG285" s="190"/>
      <c r="AH285" s="190"/>
      <c r="AI285" s="190"/>
      <c r="AJ285" s="190"/>
      <c r="AK285" s="190"/>
      <c r="AL285" s="190"/>
      <c r="AM285" s="190"/>
    </row>
    <row r="286" spans="2:39">
      <c r="B286" s="162"/>
      <c r="C286" s="162"/>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c r="AA286" s="191"/>
      <c r="AB286" s="191"/>
      <c r="AC286" s="190"/>
      <c r="AD286" s="190"/>
      <c r="AE286" s="190"/>
      <c r="AF286" s="190"/>
      <c r="AG286" s="190"/>
      <c r="AH286" s="190"/>
      <c r="AI286" s="190"/>
      <c r="AJ286" s="190"/>
      <c r="AK286" s="190"/>
      <c r="AL286" s="190"/>
      <c r="AM286" s="190"/>
    </row>
    <row r="287" spans="2:39">
      <c r="B287" s="162"/>
      <c r="C287" s="162"/>
      <c r="D287" s="191"/>
      <c r="E287" s="191"/>
      <c r="F287" s="191"/>
      <c r="G287" s="191"/>
      <c r="H287" s="191"/>
      <c r="I287" s="191"/>
      <c r="J287" s="191"/>
      <c r="K287" s="191"/>
      <c r="L287" s="191"/>
      <c r="M287" s="191"/>
      <c r="N287" s="191"/>
      <c r="O287" s="191"/>
      <c r="P287" s="191"/>
      <c r="Q287" s="191"/>
      <c r="R287" s="191"/>
      <c r="S287" s="191"/>
      <c r="T287" s="191"/>
      <c r="U287" s="191"/>
      <c r="V287" s="191"/>
      <c r="W287" s="191"/>
      <c r="X287" s="191"/>
      <c r="Y287" s="191"/>
      <c r="Z287" s="191"/>
      <c r="AA287" s="191"/>
      <c r="AB287" s="191"/>
      <c r="AC287" s="190"/>
      <c r="AD287" s="190"/>
      <c r="AE287" s="190"/>
      <c r="AF287" s="190"/>
      <c r="AG287" s="190"/>
      <c r="AH287" s="190"/>
      <c r="AI287" s="190"/>
      <c r="AJ287" s="190"/>
      <c r="AK287" s="190"/>
      <c r="AL287" s="190"/>
      <c r="AM287" s="190"/>
    </row>
    <row r="288" spans="2:39">
      <c r="B288" s="162"/>
      <c r="C288" s="162"/>
      <c r="D288" s="191"/>
      <c r="E288" s="191"/>
      <c r="F288" s="191"/>
      <c r="G288" s="191"/>
      <c r="H288" s="191"/>
      <c r="I288" s="191"/>
      <c r="J288" s="191"/>
      <c r="K288" s="191"/>
      <c r="L288" s="191"/>
      <c r="M288" s="191"/>
      <c r="N288" s="191"/>
      <c r="O288" s="191"/>
      <c r="P288" s="191"/>
      <c r="Q288" s="191"/>
      <c r="R288" s="191"/>
      <c r="S288" s="191"/>
      <c r="T288" s="191"/>
      <c r="U288" s="191"/>
      <c r="V288" s="191"/>
      <c r="W288" s="191"/>
      <c r="X288" s="191"/>
      <c r="Y288" s="191"/>
      <c r="Z288" s="191"/>
      <c r="AA288" s="191"/>
      <c r="AB288" s="191"/>
      <c r="AC288" s="190"/>
      <c r="AD288" s="190"/>
      <c r="AE288" s="190"/>
      <c r="AF288" s="190"/>
      <c r="AG288" s="190"/>
      <c r="AH288" s="190"/>
      <c r="AI288" s="190"/>
      <c r="AJ288" s="190"/>
      <c r="AK288" s="190"/>
      <c r="AL288" s="190"/>
      <c r="AM288" s="190"/>
    </row>
    <row r="289" spans="2:39">
      <c r="B289" s="162"/>
      <c r="C289" s="162"/>
      <c r="D289" s="191"/>
      <c r="E289" s="191"/>
      <c r="F289" s="191"/>
      <c r="G289" s="191"/>
      <c r="H289" s="191"/>
      <c r="I289" s="191"/>
      <c r="J289" s="191"/>
      <c r="K289" s="191"/>
      <c r="L289" s="191"/>
      <c r="M289" s="191"/>
      <c r="N289" s="191"/>
      <c r="O289" s="191"/>
      <c r="P289" s="191"/>
      <c r="Q289" s="191"/>
      <c r="R289" s="191"/>
      <c r="S289" s="191"/>
      <c r="T289" s="191"/>
      <c r="U289" s="191"/>
      <c r="V289" s="191"/>
      <c r="W289" s="191"/>
      <c r="X289" s="191"/>
      <c r="Y289" s="191"/>
      <c r="Z289" s="191"/>
      <c r="AA289" s="191"/>
      <c r="AB289" s="191"/>
      <c r="AC289" s="190"/>
      <c r="AD289" s="190"/>
      <c r="AE289" s="190"/>
      <c r="AF289" s="190"/>
      <c r="AG289" s="190"/>
      <c r="AH289" s="190"/>
      <c r="AI289" s="190"/>
      <c r="AJ289" s="190"/>
      <c r="AK289" s="190"/>
      <c r="AL289" s="190"/>
      <c r="AM289" s="190"/>
    </row>
    <row r="290" spans="2:39">
      <c r="B290" s="162"/>
      <c r="C290" s="162"/>
      <c r="D290" s="191"/>
      <c r="E290" s="191"/>
      <c r="F290" s="191"/>
      <c r="G290" s="191"/>
      <c r="H290" s="191"/>
      <c r="I290" s="191"/>
      <c r="J290" s="191"/>
      <c r="K290" s="191"/>
      <c r="L290" s="191"/>
      <c r="M290" s="191"/>
      <c r="N290" s="191"/>
      <c r="O290" s="191"/>
      <c r="P290" s="191"/>
      <c r="Q290" s="191"/>
      <c r="R290" s="191"/>
      <c r="S290" s="191"/>
      <c r="T290" s="191"/>
      <c r="U290" s="191"/>
      <c r="V290" s="191"/>
      <c r="W290" s="191"/>
      <c r="X290" s="191"/>
      <c r="Y290" s="191"/>
      <c r="Z290" s="191"/>
      <c r="AA290" s="191"/>
      <c r="AB290" s="191"/>
      <c r="AC290" s="190"/>
      <c r="AD290" s="190"/>
      <c r="AE290" s="190"/>
      <c r="AF290" s="190"/>
      <c r="AG290" s="190"/>
      <c r="AH290" s="190"/>
      <c r="AI290" s="190"/>
      <c r="AJ290" s="190"/>
      <c r="AK290" s="190"/>
      <c r="AL290" s="190"/>
      <c r="AM290" s="190"/>
    </row>
    <row r="291" spans="2:39">
      <c r="B291" s="162"/>
      <c r="C291" s="162"/>
      <c r="D291" s="191"/>
      <c r="E291" s="191"/>
      <c r="F291" s="191"/>
      <c r="G291" s="191"/>
      <c r="H291" s="191"/>
      <c r="I291" s="191"/>
      <c r="J291" s="191"/>
      <c r="K291" s="191"/>
      <c r="L291" s="191"/>
      <c r="M291" s="191"/>
      <c r="N291" s="191"/>
      <c r="O291" s="191"/>
      <c r="P291" s="191"/>
      <c r="Q291" s="191"/>
      <c r="R291" s="191"/>
      <c r="S291" s="191"/>
      <c r="T291" s="191"/>
      <c r="U291" s="191"/>
      <c r="V291" s="191"/>
      <c r="W291" s="191"/>
      <c r="X291" s="191"/>
      <c r="Y291" s="191"/>
      <c r="Z291" s="191"/>
      <c r="AA291" s="191"/>
      <c r="AB291" s="191"/>
      <c r="AC291" s="190"/>
      <c r="AD291" s="190"/>
      <c r="AE291" s="190"/>
      <c r="AF291" s="190"/>
      <c r="AG291" s="190"/>
      <c r="AH291" s="190"/>
      <c r="AI291" s="190"/>
      <c r="AJ291" s="190"/>
      <c r="AK291" s="190"/>
      <c r="AL291" s="190"/>
      <c r="AM291" s="190"/>
    </row>
    <row r="292" spans="2:39">
      <c r="B292" s="162"/>
      <c r="C292" s="162"/>
      <c r="D292" s="191"/>
      <c r="E292" s="191"/>
      <c r="F292" s="191"/>
      <c r="G292" s="191"/>
      <c r="H292" s="191"/>
      <c r="I292" s="191"/>
      <c r="J292" s="191"/>
      <c r="K292" s="191"/>
      <c r="L292" s="191"/>
      <c r="M292" s="191"/>
      <c r="N292" s="191"/>
      <c r="O292" s="191"/>
      <c r="P292" s="191"/>
      <c r="Q292" s="191"/>
      <c r="R292" s="191"/>
      <c r="S292" s="191"/>
      <c r="T292" s="191"/>
      <c r="U292" s="191"/>
      <c r="V292" s="191"/>
      <c r="W292" s="191"/>
      <c r="X292" s="191"/>
      <c r="Y292" s="191"/>
      <c r="Z292" s="191"/>
      <c r="AA292" s="191"/>
      <c r="AB292" s="191"/>
      <c r="AC292" s="190"/>
      <c r="AD292" s="190"/>
      <c r="AE292" s="190"/>
      <c r="AF292" s="190"/>
      <c r="AG292" s="190"/>
      <c r="AH292" s="190"/>
      <c r="AI292" s="190"/>
      <c r="AJ292" s="190"/>
      <c r="AK292" s="190"/>
      <c r="AL292" s="190"/>
      <c r="AM292" s="190"/>
    </row>
    <row r="293" spans="2:39">
      <c r="B293" s="162"/>
      <c r="C293" s="162"/>
      <c r="D293" s="191"/>
      <c r="E293" s="191"/>
      <c r="F293" s="191"/>
      <c r="G293" s="191"/>
      <c r="H293" s="191"/>
      <c r="I293" s="191"/>
      <c r="J293" s="191"/>
      <c r="K293" s="191"/>
      <c r="L293" s="191"/>
      <c r="M293" s="191"/>
      <c r="N293" s="191"/>
      <c r="O293" s="191"/>
      <c r="P293" s="191"/>
      <c r="Q293" s="191"/>
      <c r="R293" s="191"/>
      <c r="S293" s="191"/>
      <c r="T293" s="191"/>
      <c r="U293" s="191"/>
      <c r="V293" s="191"/>
      <c r="W293" s="191"/>
      <c r="X293" s="191"/>
      <c r="Y293" s="191"/>
      <c r="Z293" s="191"/>
      <c r="AA293" s="191"/>
      <c r="AB293" s="191"/>
      <c r="AC293" s="190"/>
      <c r="AD293" s="190"/>
      <c r="AE293" s="190"/>
      <c r="AF293" s="190"/>
      <c r="AG293" s="190"/>
      <c r="AH293" s="190"/>
      <c r="AI293" s="190"/>
      <c r="AJ293" s="190"/>
      <c r="AK293" s="190"/>
      <c r="AL293" s="190"/>
      <c r="AM293" s="190"/>
    </row>
    <row r="294" spans="2:39">
      <c r="B294" s="162"/>
      <c r="C294" s="162"/>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0"/>
      <c r="AD294" s="190"/>
      <c r="AE294" s="190"/>
      <c r="AF294" s="190"/>
      <c r="AG294" s="190"/>
      <c r="AH294" s="190"/>
      <c r="AI294" s="190"/>
      <c r="AJ294" s="190"/>
      <c r="AK294" s="190"/>
      <c r="AL294" s="190"/>
      <c r="AM294" s="190"/>
    </row>
    <row r="295" spans="2:39">
      <c r="B295" s="162"/>
      <c r="C295" s="162"/>
      <c r="D295" s="191"/>
      <c r="E295" s="191"/>
      <c r="F295" s="191"/>
      <c r="G295" s="191"/>
      <c r="H295" s="191"/>
      <c r="I295" s="191"/>
      <c r="J295" s="191"/>
      <c r="K295" s="191"/>
      <c r="L295" s="191"/>
      <c r="M295" s="191"/>
      <c r="N295" s="191"/>
      <c r="O295" s="191"/>
      <c r="P295" s="191"/>
      <c r="Q295" s="191"/>
      <c r="R295" s="191"/>
      <c r="S295" s="191"/>
      <c r="T295" s="191"/>
      <c r="U295" s="191"/>
      <c r="V295" s="191"/>
      <c r="W295" s="191"/>
      <c r="X295" s="191"/>
      <c r="Y295" s="191"/>
      <c r="Z295" s="191"/>
      <c r="AA295" s="191"/>
      <c r="AB295" s="191"/>
      <c r="AC295" s="190"/>
      <c r="AD295" s="190"/>
      <c r="AE295" s="190"/>
      <c r="AF295" s="190"/>
      <c r="AG295" s="190"/>
      <c r="AH295" s="190"/>
      <c r="AI295" s="190"/>
      <c r="AJ295" s="190"/>
      <c r="AK295" s="190"/>
      <c r="AL295" s="190"/>
      <c r="AM295" s="190"/>
    </row>
    <row r="296" spans="2:39">
      <c r="B296" s="162"/>
      <c r="C296" s="162"/>
      <c r="D296" s="191"/>
      <c r="E296" s="191"/>
      <c r="F296" s="191"/>
      <c r="G296" s="191"/>
      <c r="H296" s="191"/>
      <c r="I296" s="191"/>
      <c r="J296" s="191"/>
      <c r="K296" s="191"/>
      <c r="L296" s="191"/>
      <c r="M296" s="191"/>
      <c r="N296" s="191"/>
      <c r="O296" s="191"/>
      <c r="P296" s="191"/>
      <c r="Q296" s="191"/>
      <c r="R296" s="191"/>
      <c r="S296" s="191"/>
      <c r="T296" s="191"/>
      <c r="U296" s="191"/>
      <c r="V296" s="191"/>
      <c r="W296" s="191"/>
      <c r="X296" s="191"/>
      <c r="Y296" s="191"/>
      <c r="Z296" s="191"/>
      <c r="AA296" s="191"/>
      <c r="AB296" s="191"/>
      <c r="AC296" s="190"/>
      <c r="AD296" s="190"/>
      <c r="AE296" s="190"/>
      <c r="AF296" s="190"/>
      <c r="AG296" s="190"/>
      <c r="AH296" s="190"/>
      <c r="AI296" s="190"/>
      <c r="AJ296" s="190"/>
      <c r="AK296" s="190"/>
      <c r="AL296" s="190"/>
      <c r="AM296" s="190"/>
    </row>
    <row r="297" spans="2:39">
      <c r="B297" s="162"/>
      <c r="C297" s="162"/>
      <c r="D297" s="191"/>
      <c r="E297" s="191"/>
      <c r="F297" s="191"/>
      <c r="G297" s="191"/>
      <c r="H297" s="191"/>
      <c r="I297" s="191"/>
      <c r="J297" s="191"/>
      <c r="K297" s="191"/>
      <c r="L297" s="191"/>
      <c r="M297" s="191"/>
      <c r="N297" s="191"/>
      <c r="O297" s="191"/>
      <c r="P297" s="191"/>
      <c r="Q297" s="191"/>
      <c r="R297" s="191"/>
      <c r="S297" s="191"/>
      <c r="T297" s="191"/>
      <c r="U297" s="191"/>
      <c r="V297" s="191"/>
      <c r="W297" s="191"/>
      <c r="X297" s="191"/>
      <c r="Y297" s="191"/>
      <c r="Z297" s="191"/>
      <c r="AA297" s="191"/>
      <c r="AB297" s="191"/>
      <c r="AC297" s="190"/>
      <c r="AD297" s="190"/>
      <c r="AE297" s="190"/>
      <c r="AF297" s="190"/>
      <c r="AG297" s="190"/>
      <c r="AH297" s="190"/>
      <c r="AI297" s="190"/>
      <c r="AJ297" s="190"/>
      <c r="AK297" s="190"/>
      <c r="AL297" s="190"/>
      <c r="AM297" s="190"/>
    </row>
    <row r="298" spans="2:39">
      <c r="B298" s="162"/>
      <c r="C298" s="162"/>
      <c r="D298" s="191"/>
      <c r="E298" s="191"/>
      <c r="F298" s="191"/>
      <c r="G298" s="191"/>
      <c r="H298" s="191"/>
      <c r="I298" s="191"/>
      <c r="J298" s="191"/>
      <c r="K298" s="191"/>
      <c r="L298" s="191"/>
      <c r="M298" s="191"/>
      <c r="N298" s="191"/>
      <c r="O298" s="191"/>
      <c r="P298" s="191"/>
      <c r="Q298" s="191"/>
      <c r="R298" s="191"/>
      <c r="S298" s="191"/>
      <c r="T298" s="191"/>
      <c r="U298" s="191"/>
      <c r="V298" s="191"/>
      <c r="W298" s="191"/>
      <c r="X298" s="191"/>
      <c r="Y298" s="191"/>
      <c r="Z298" s="191"/>
      <c r="AA298" s="191"/>
      <c r="AB298" s="191"/>
      <c r="AC298" s="190"/>
      <c r="AD298" s="190"/>
      <c r="AE298" s="190"/>
      <c r="AF298" s="190"/>
      <c r="AG298" s="190"/>
      <c r="AH298" s="190"/>
      <c r="AI298" s="190"/>
      <c r="AJ298" s="190"/>
      <c r="AK298" s="190"/>
      <c r="AL298" s="190"/>
      <c r="AM298" s="190"/>
    </row>
    <row r="299" spans="2:39">
      <c r="B299" s="162"/>
      <c r="C299" s="162"/>
      <c r="D299" s="191"/>
      <c r="E299" s="191"/>
      <c r="F299" s="191"/>
      <c r="G299" s="191"/>
      <c r="H299" s="191"/>
      <c r="I299" s="191"/>
      <c r="J299" s="191"/>
      <c r="K299" s="191"/>
      <c r="L299" s="191"/>
      <c r="M299" s="191"/>
      <c r="N299" s="191"/>
      <c r="O299" s="191"/>
      <c r="P299" s="191"/>
      <c r="Q299" s="191"/>
      <c r="R299" s="191"/>
      <c r="S299" s="191"/>
      <c r="T299" s="191"/>
      <c r="U299" s="191"/>
      <c r="V299" s="191"/>
      <c r="W299" s="191"/>
      <c r="X299" s="191"/>
      <c r="Y299" s="191"/>
      <c r="Z299" s="191"/>
      <c r="AA299" s="191"/>
      <c r="AB299" s="191"/>
      <c r="AC299" s="190"/>
      <c r="AD299" s="190"/>
      <c r="AE299" s="190"/>
      <c r="AF299" s="190"/>
      <c r="AG299" s="190"/>
      <c r="AH299" s="190"/>
      <c r="AI299" s="190"/>
      <c r="AJ299" s="190"/>
      <c r="AK299" s="190"/>
      <c r="AL299" s="190"/>
      <c r="AM299" s="190"/>
    </row>
    <row r="300" spans="2:39">
      <c r="B300" s="162"/>
      <c r="C300" s="162"/>
      <c r="D300" s="191"/>
      <c r="E300" s="191"/>
      <c r="F300" s="191"/>
      <c r="G300" s="191"/>
      <c r="H300" s="191"/>
      <c r="I300" s="191"/>
      <c r="J300" s="191"/>
      <c r="K300" s="191"/>
      <c r="L300" s="191"/>
      <c r="M300" s="191"/>
      <c r="N300" s="191"/>
      <c r="O300" s="191"/>
      <c r="P300" s="191"/>
      <c r="Q300" s="191"/>
      <c r="R300" s="191"/>
      <c r="S300" s="191"/>
      <c r="T300" s="191"/>
      <c r="U300" s="191"/>
      <c r="V300" s="191"/>
      <c r="W300" s="191"/>
      <c r="X300" s="191"/>
      <c r="Y300" s="191"/>
      <c r="Z300" s="191"/>
      <c r="AA300" s="191"/>
      <c r="AB300" s="191"/>
      <c r="AC300" s="190"/>
      <c r="AD300" s="190"/>
      <c r="AE300" s="190"/>
      <c r="AF300" s="190"/>
      <c r="AG300" s="190"/>
      <c r="AH300" s="190"/>
      <c r="AI300" s="190"/>
      <c r="AJ300" s="190"/>
      <c r="AK300" s="190"/>
      <c r="AL300" s="190"/>
      <c r="AM300" s="190"/>
    </row>
    <row r="301" spans="2:39">
      <c r="B301" s="162"/>
      <c r="C301" s="162"/>
      <c r="D301" s="191"/>
      <c r="E301" s="191"/>
      <c r="F301" s="191"/>
      <c r="G301" s="191"/>
      <c r="H301" s="191"/>
      <c r="I301" s="191"/>
      <c r="J301" s="191"/>
      <c r="K301" s="191"/>
      <c r="L301" s="191"/>
      <c r="M301" s="191"/>
      <c r="N301" s="191"/>
      <c r="O301" s="191"/>
      <c r="P301" s="191"/>
      <c r="Q301" s="191"/>
      <c r="R301" s="191"/>
      <c r="S301" s="191"/>
      <c r="T301" s="191"/>
      <c r="U301" s="191"/>
      <c r="V301" s="191"/>
      <c r="W301" s="191"/>
      <c r="X301" s="191"/>
      <c r="Y301" s="191"/>
      <c r="Z301" s="191"/>
      <c r="AA301" s="191"/>
      <c r="AB301" s="191"/>
      <c r="AC301" s="190"/>
      <c r="AD301" s="190"/>
      <c r="AE301" s="190"/>
      <c r="AF301" s="190"/>
      <c r="AG301" s="190"/>
      <c r="AH301" s="190"/>
      <c r="AI301" s="190"/>
      <c r="AJ301" s="190"/>
      <c r="AK301" s="190"/>
      <c r="AL301" s="190"/>
      <c r="AM301" s="190"/>
    </row>
    <row r="302" spans="2:39">
      <c r="B302" s="162"/>
      <c r="C302" s="162"/>
      <c r="D302" s="191"/>
      <c r="E302" s="191"/>
      <c r="F302" s="191"/>
      <c r="G302" s="191"/>
      <c r="H302" s="191"/>
      <c r="I302" s="191"/>
      <c r="J302" s="191"/>
      <c r="K302" s="191"/>
      <c r="L302" s="191"/>
      <c r="M302" s="191"/>
      <c r="N302" s="191"/>
      <c r="O302" s="191"/>
      <c r="P302" s="191"/>
      <c r="Q302" s="191"/>
      <c r="R302" s="191"/>
      <c r="S302" s="191"/>
      <c r="T302" s="191"/>
      <c r="U302" s="191"/>
      <c r="V302" s="191"/>
      <c r="W302" s="191"/>
      <c r="X302" s="191"/>
      <c r="Y302" s="191"/>
      <c r="Z302" s="191"/>
      <c r="AA302" s="191"/>
      <c r="AB302" s="191"/>
      <c r="AC302" s="190"/>
      <c r="AD302" s="190"/>
      <c r="AE302" s="190"/>
      <c r="AF302" s="190"/>
      <c r="AG302" s="190"/>
      <c r="AH302" s="190"/>
      <c r="AI302" s="190"/>
      <c r="AJ302" s="190"/>
      <c r="AK302" s="190"/>
      <c r="AL302" s="190"/>
      <c r="AM302" s="190"/>
    </row>
    <row r="303" spans="2:39">
      <c r="B303" s="162"/>
      <c r="C303" s="162"/>
      <c r="D303" s="191"/>
      <c r="E303" s="191"/>
      <c r="F303" s="191"/>
      <c r="G303" s="191"/>
      <c r="H303" s="191"/>
      <c r="I303" s="191"/>
      <c r="J303" s="191"/>
      <c r="K303" s="191"/>
      <c r="L303" s="191"/>
      <c r="M303" s="191"/>
      <c r="N303" s="191"/>
      <c r="O303" s="191"/>
      <c r="P303" s="191"/>
      <c r="Q303" s="191"/>
      <c r="R303" s="191"/>
      <c r="S303" s="191"/>
      <c r="T303" s="191"/>
      <c r="U303" s="191"/>
      <c r="V303" s="191"/>
      <c r="W303" s="191"/>
      <c r="X303" s="191"/>
      <c r="Y303" s="191"/>
      <c r="Z303" s="191"/>
      <c r="AA303" s="191"/>
      <c r="AB303" s="191"/>
      <c r="AC303" s="190"/>
      <c r="AD303" s="190"/>
      <c r="AE303" s="190"/>
      <c r="AF303" s="190"/>
      <c r="AG303" s="190"/>
      <c r="AH303" s="190"/>
      <c r="AI303" s="190"/>
      <c r="AJ303" s="190"/>
      <c r="AK303" s="190"/>
      <c r="AL303" s="190"/>
      <c r="AM303" s="190"/>
    </row>
    <row r="304" spans="2:39">
      <c r="B304" s="162"/>
      <c r="C304" s="162"/>
      <c r="D304" s="191"/>
      <c r="E304" s="191"/>
      <c r="F304" s="191"/>
      <c r="G304" s="191"/>
      <c r="H304" s="191"/>
      <c r="I304" s="191"/>
      <c r="J304" s="191"/>
      <c r="K304" s="191"/>
      <c r="L304" s="191"/>
      <c r="M304" s="191"/>
      <c r="N304" s="191"/>
      <c r="O304" s="191"/>
      <c r="P304" s="191"/>
      <c r="Q304" s="191"/>
      <c r="R304" s="191"/>
      <c r="S304" s="191"/>
      <c r="T304" s="191"/>
      <c r="U304" s="191"/>
      <c r="V304" s="191"/>
      <c r="W304" s="191"/>
      <c r="X304" s="191"/>
      <c r="Y304" s="191"/>
      <c r="Z304" s="191"/>
      <c r="AA304" s="191"/>
      <c r="AB304" s="191"/>
      <c r="AC304" s="190"/>
      <c r="AD304" s="190"/>
      <c r="AE304" s="190"/>
      <c r="AF304" s="190"/>
      <c r="AG304" s="190"/>
      <c r="AH304" s="190"/>
      <c r="AI304" s="190"/>
      <c r="AJ304" s="190"/>
      <c r="AK304" s="190"/>
      <c r="AL304" s="190"/>
      <c r="AM304" s="190"/>
    </row>
    <row r="305" spans="2:39">
      <c r="B305" s="162"/>
      <c r="C305" s="162"/>
      <c r="D305" s="191"/>
      <c r="E305" s="191"/>
      <c r="F305" s="191"/>
      <c r="G305" s="191"/>
      <c r="H305" s="191"/>
      <c r="I305" s="191"/>
      <c r="J305" s="191"/>
      <c r="K305" s="191"/>
      <c r="L305" s="191"/>
      <c r="M305" s="191"/>
      <c r="N305" s="191"/>
      <c r="O305" s="191"/>
      <c r="P305" s="191"/>
      <c r="Q305" s="191"/>
      <c r="R305" s="191"/>
      <c r="S305" s="191"/>
      <c r="T305" s="191"/>
      <c r="U305" s="191"/>
      <c r="V305" s="191"/>
      <c r="W305" s="191"/>
      <c r="X305" s="191"/>
      <c r="Y305" s="191"/>
      <c r="Z305" s="191"/>
      <c r="AA305" s="191"/>
      <c r="AB305" s="191"/>
      <c r="AC305" s="190"/>
      <c r="AD305" s="190"/>
      <c r="AE305" s="190"/>
      <c r="AF305" s="190"/>
      <c r="AG305" s="190"/>
      <c r="AH305" s="190"/>
      <c r="AI305" s="190"/>
      <c r="AJ305" s="190"/>
      <c r="AK305" s="190"/>
      <c r="AL305" s="190"/>
      <c r="AM305" s="190"/>
    </row>
    <row r="306" spans="2:39">
      <c r="B306" s="162"/>
      <c r="C306" s="162"/>
      <c r="D306" s="191"/>
      <c r="E306" s="191"/>
      <c r="F306" s="191"/>
      <c r="G306" s="191"/>
      <c r="H306" s="191"/>
      <c r="I306" s="191"/>
      <c r="J306" s="191"/>
      <c r="K306" s="191"/>
      <c r="L306" s="191"/>
      <c r="M306" s="191"/>
      <c r="N306" s="191"/>
      <c r="O306" s="191"/>
      <c r="P306" s="191"/>
      <c r="Q306" s="191"/>
      <c r="R306" s="191"/>
      <c r="S306" s="191"/>
      <c r="T306" s="191"/>
      <c r="U306" s="191"/>
      <c r="V306" s="191"/>
      <c r="W306" s="191"/>
      <c r="X306" s="191"/>
      <c r="Y306" s="191"/>
      <c r="Z306" s="191"/>
      <c r="AA306" s="191"/>
      <c r="AB306" s="191"/>
      <c r="AC306" s="190"/>
      <c r="AD306" s="190"/>
      <c r="AE306" s="190"/>
      <c r="AF306" s="190"/>
      <c r="AG306" s="190"/>
      <c r="AH306" s="190"/>
      <c r="AI306" s="190"/>
      <c r="AJ306" s="190"/>
      <c r="AK306" s="190"/>
      <c r="AL306" s="190"/>
      <c r="AM306" s="190"/>
    </row>
    <row r="307" spans="2:39">
      <c r="B307" s="162"/>
      <c r="C307" s="162"/>
      <c r="D307" s="191"/>
      <c r="E307" s="191"/>
      <c r="F307" s="191"/>
      <c r="G307" s="191"/>
      <c r="H307" s="191"/>
      <c r="I307" s="191"/>
      <c r="J307" s="191"/>
      <c r="K307" s="191"/>
      <c r="L307" s="191"/>
      <c r="M307" s="191"/>
      <c r="N307" s="191"/>
      <c r="O307" s="191"/>
      <c r="P307" s="191"/>
      <c r="Q307" s="191"/>
      <c r="R307" s="191"/>
      <c r="S307" s="191"/>
      <c r="T307" s="191"/>
      <c r="U307" s="191"/>
      <c r="V307" s="191"/>
      <c r="W307" s="191"/>
      <c r="X307" s="191"/>
      <c r="Y307" s="191"/>
      <c r="Z307" s="191"/>
      <c r="AA307" s="191"/>
      <c r="AB307" s="191"/>
      <c r="AC307" s="190"/>
      <c r="AD307" s="190"/>
      <c r="AE307" s="190"/>
      <c r="AF307" s="190"/>
      <c r="AG307" s="190"/>
      <c r="AH307" s="190"/>
      <c r="AI307" s="190"/>
      <c r="AJ307" s="190"/>
      <c r="AK307" s="190"/>
      <c r="AL307" s="190"/>
      <c r="AM307" s="190"/>
    </row>
    <row r="308" spans="2:39">
      <c r="B308" s="162"/>
      <c r="C308" s="162"/>
      <c r="D308" s="191"/>
      <c r="E308" s="191"/>
      <c r="F308" s="191"/>
      <c r="G308" s="191"/>
      <c r="H308" s="191"/>
      <c r="I308" s="191"/>
      <c r="J308" s="191"/>
      <c r="K308" s="191"/>
      <c r="L308" s="191"/>
      <c r="M308" s="191"/>
      <c r="N308" s="191"/>
      <c r="O308" s="191"/>
      <c r="P308" s="191"/>
      <c r="Q308" s="191"/>
      <c r="R308" s="191"/>
      <c r="S308" s="191"/>
      <c r="T308" s="191"/>
      <c r="U308" s="191"/>
      <c r="V308" s="191"/>
      <c r="W308" s="191"/>
      <c r="X308" s="191"/>
      <c r="Y308" s="191"/>
      <c r="Z308" s="191"/>
      <c r="AA308" s="191"/>
      <c r="AB308" s="191"/>
      <c r="AC308" s="190"/>
      <c r="AD308" s="190"/>
      <c r="AE308" s="190"/>
      <c r="AF308" s="190"/>
      <c r="AG308" s="190"/>
      <c r="AH308" s="190"/>
      <c r="AI308" s="190"/>
      <c r="AJ308" s="190"/>
      <c r="AK308" s="190"/>
      <c r="AL308" s="190"/>
      <c r="AM308" s="190"/>
    </row>
    <row r="309" spans="2:39">
      <c r="B309" s="162"/>
      <c r="C309" s="162"/>
      <c r="D309" s="191"/>
      <c r="E309" s="191"/>
      <c r="F309" s="191"/>
      <c r="G309" s="191"/>
      <c r="H309" s="191"/>
      <c r="I309" s="191"/>
      <c r="J309" s="191"/>
      <c r="K309" s="191"/>
      <c r="L309" s="191"/>
      <c r="M309" s="191"/>
      <c r="N309" s="191"/>
      <c r="O309" s="191"/>
      <c r="P309" s="191"/>
      <c r="Q309" s="191"/>
      <c r="R309" s="191"/>
      <c r="S309" s="191"/>
      <c r="T309" s="191"/>
      <c r="U309" s="191"/>
      <c r="V309" s="191"/>
      <c r="W309" s="191"/>
      <c r="X309" s="191"/>
      <c r="Y309" s="191"/>
      <c r="Z309" s="191"/>
      <c r="AA309" s="191"/>
      <c r="AB309" s="191"/>
      <c r="AC309" s="190"/>
      <c r="AD309" s="190"/>
      <c r="AE309" s="190"/>
      <c r="AF309" s="190"/>
      <c r="AG309" s="190"/>
      <c r="AH309" s="190"/>
      <c r="AI309" s="190"/>
      <c r="AJ309" s="190"/>
      <c r="AK309" s="190"/>
      <c r="AL309" s="190"/>
      <c r="AM309" s="190"/>
    </row>
    <row r="310" spans="2:39">
      <c r="B310" s="162"/>
      <c r="C310" s="162"/>
      <c r="D310" s="191"/>
      <c r="E310" s="191"/>
      <c r="F310" s="191"/>
      <c r="G310" s="191"/>
      <c r="H310" s="191"/>
      <c r="I310" s="191"/>
      <c r="J310" s="191"/>
      <c r="K310" s="191"/>
      <c r="L310" s="191"/>
      <c r="M310" s="191"/>
      <c r="N310" s="191"/>
      <c r="O310" s="191"/>
      <c r="P310" s="191"/>
      <c r="Q310" s="191"/>
      <c r="R310" s="191"/>
      <c r="S310" s="191"/>
      <c r="T310" s="191"/>
      <c r="U310" s="191"/>
      <c r="V310" s="191"/>
      <c r="W310" s="191"/>
      <c r="X310" s="191"/>
      <c r="Y310" s="191"/>
      <c r="Z310" s="191"/>
      <c r="AA310" s="191"/>
      <c r="AB310" s="191"/>
      <c r="AC310" s="190"/>
      <c r="AD310" s="190"/>
      <c r="AE310" s="190"/>
      <c r="AF310" s="190"/>
      <c r="AG310" s="190"/>
      <c r="AH310" s="190"/>
      <c r="AI310" s="190"/>
      <c r="AJ310" s="190"/>
      <c r="AK310" s="190"/>
      <c r="AL310" s="190"/>
      <c r="AM310" s="190"/>
    </row>
    <row r="311" spans="2:39">
      <c r="B311" s="162"/>
      <c r="C311" s="162"/>
      <c r="D311" s="191"/>
      <c r="E311" s="191"/>
      <c r="F311" s="191"/>
      <c r="G311" s="191"/>
      <c r="H311" s="191"/>
      <c r="I311" s="191"/>
      <c r="J311" s="191"/>
      <c r="K311" s="191"/>
      <c r="L311" s="191"/>
      <c r="M311" s="191"/>
      <c r="N311" s="191"/>
      <c r="O311" s="191"/>
      <c r="P311" s="191"/>
      <c r="Q311" s="191"/>
      <c r="R311" s="191"/>
      <c r="S311" s="191"/>
      <c r="T311" s="191"/>
      <c r="U311" s="191"/>
      <c r="V311" s="191"/>
      <c r="W311" s="191"/>
      <c r="X311" s="191"/>
      <c r="Y311" s="191"/>
      <c r="Z311" s="191"/>
      <c r="AA311" s="191"/>
      <c r="AB311" s="191"/>
      <c r="AC311" s="190"/>
      <c r="AD311" s="190"/>
      <c r="AE311" s="190"/>
      <c r="AF311" s="190"/>
      <c r="AG311" s="190"/>
      <c r="AH311" s="190"/>
      <c r="AI311" s="190"/>
      <c r="AJ311" s="190"/>
      <c r="AK311" s="190"/>
      <c r="AL311" s="190"/>
      <c r="AM311" s="190"/>
    </row>
    <row r="312" spans="2:39">
      <c r="B312" s="162"/>
      <c r="C312" s="162"/>
      <c r="D312" s="191"/>
      <c r="E312" s="191"/>
      <c r="F312" s="191"/>
      <c r="G312" s="191"/>
      <c r="H312" s="191"/>
      <c r="I312" s="191"/>
      <c r="J312" s="191"/>
      <c r="K312" s="191"/>
      <c r="L312" s="191"/>
      <c r="M312" s="191"/>
      <c r="N312" s="191"/>
      <c r="O312" s="191"/>
      <c r="P312" s="191"/>
      <c r="Q312" s="191"/>
      <c r="R312" s="191"/>
      <c r="S312" s="191"/>
      <c r="T312" s="191"/>
      <c r="U312" s="191"/>
      <c r="V312" s="191"/>
      <c r="W312" s="191"/>
      <c r="X312" s="191"/>
      <c r="Y312" s="191"/>
      <c r="Z312" s="191"/>
      <c r="AA312" s="191"/>
      <c r="AB312" s="191"/>
      <c r="AC312" s="190"/>
      <c r="AD312" s="190"/>
      <c r="AE312" s="190"/>
      <c r="AF312" s="190"/>
      <c r="AG312" s="190"/>
      <c r="AH312" s="190"/>
      <c r="AI312" s="190"/>
      <c r="AJ312" s="190"/>
      <c r="AK312" s="190"/>
      <c r="AL312" s="190"/>
      <c r="AM312" s="190"/>
    </row>
    <row r="313" spans="2:39">
      <c r="B313" s="162"/>
      <c r="C313" s="162"/>
      <c r="D313" s="191"/>
      <c r="E313" s="191"/>
      <c r="F313" s="191"/>
      <c r="G313" s="191"/>
      <c r="H313" s="191"/>
      <c r="I313" s="191"/>
      <c r="J313" s="191"/>
      <c r="K313" s="191"/>
      <c r="L313" s="191"/>
      <c r="M313" s="191"/>
      <c r="N313" s="191"/>
      <c r="O313" s="191"/>
      <c r="P313" s="191"/>
      <c r="Q313" s="191"/>
      <c r="R313" s="191"/>
      <c r="S313" s="191"/>
      <c r="T313" s="191"/>
      <c r="U313" s="191"/>
      <c r="V313" s="191"/>
      <c r="W313" s="191"/>
      <c r="X313" s="191"/>
      <c r="Y313" s="191"/>
      <c r="Z313" s="191"/>
      <c r="AA313" s="191"/>
      <c r="AB313" s="191"/>
      <c r="AC313" s="190"/>
      <c r="AD313" s="190"/>
      <c r="AE313" s="190"/>
      <c r="AF313" s="190"/>
      <c r="AG313" s="190"/>
      <c r="AH313" s="190"/>
      <c r="AI313" s="190"/>
      <c r="AJ313" s="190"/>
      <c r="AK313" s="190"/>
      <c r="AL313" s="190"/>
      <c r="AM313" s="190"/>
    </row>
    <row r="314" spans="2:39">
      <c r="B314" s="162"/>
      <c r="C314" s="162"/>
      <c r="D314" s="191"/>
      <c r="E314" s="191"/>
      <c r="F314" s="191"/>
      <c r="G314" s="191"/>
      <c r="H314" s="191"/>
      <c r="I314" s="191"/>
      <c r="J314" s="191"/>
      <c r="K314" s="191"/>
      <c r="L314" s="191"/>
      <c r="M314" s="191"/>
      <c r="N314" s="191"/>
      <c r="O314" s="191"/>
      <c r="P314" s="191"/>
      <c r="Q314" s="191"/>
      <c r="R314" s="191"/>
      <c r="S314" s="191"/>
      <c r="T314" s="191"/>
      <c r="U314" s="191"/>
      <c r="V314" s="191"/>
      <c r="W314" s="191"/>
      <c r="X314" s="191"/>
      <c r="Y314" s="191"/>
      <c r="Z314" s="191"/>
      <c r="AA314" s="191"/>
      <c r="AB314" s="191"/>
      <c r="AC314" s="190"/>
      <c r="AD314" s="190"/>
      <c r="AE314" s="190"/>
      <c r="AF314" s="190"/>
      <c r="AG314" s="190"/>
      <c r="AH314" s="190"/>
      <c r="AI314" s="190"/>
      <c r="AJ314" s="190"/>
      <c r="AK314" s="190"/>
      <c r="AL314" s="190"/>
      <c r="AM314" s="190"/>
    </row>
    <row r="315" spans="2:39">
      <c r="B315" s="162"/>
      <c r="C315" s="162"/>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c r="AA315" s="191"/>
      <c r="AB315" s="191"/>
      <c r="AC315" s="190"/>
      <c r="AD315" s="190"/>
      <c r="AE315" s="190"/>
      <c r="AF315" s="190"/>
      <c r="AG315" s="190"/>
      <c r="AH315" s="190"/>
      <c r="AI315" s="190"/>
      <c r="AJ315" s="190"/>
      <c r="AK315" s="190"/>
      <c r="AL315" s="190"/>
      <c r="AM315" s="190"/>
    </row>
    <row r="316" spans="2:39">
      <c r="B316" s="162"/>
      <c r="C316" s="162"/>
      <c r="D316" s="191"/>
      <c r="E316" s="191"/>
      <c r="F316" s="191"/>
      <c r="G316" s="191"/>
      <c r="H316" s="191"/>
      <c r="I316" s="191"/>
      <c r="J316" s="191"/>
      <c r="K316" s="191"/>
      <c r="L316" s="191"/>
      <c r="M316" s="191"/>
      <c r="N316" s="191"/>
      <c r="O316" s="191"/>
      <c r="P316" s="191"/>
      <c r="Q316" s="191"/>
      <c r="R316" s="191"/>
      <c r="S316" s="191"/>
      <c r="T316" s="191"/>
      <c r="U316" s="191"/>
      <c r="V316" s="191"/>
      <c r="W316" s="191"/>
      <c r="X316" s="191"/>
      <c r="Y316" s="191"/>
      <c r="Z316" s="191"/>
      <c r="AA316" s="191"/>
      <c r="AB316" s="191"/>
      <c r="AC316" s="190"/>
      <c r="AD316" s="190"/>
      <c r="AE316" s="190"/>
      <c r="AF316" s="190"/>
      <c r="AG316" s="190"/>
      <c r="AH316" s="190"/>
      <c r="AI316" s="190"/>
      <c r="AJ316" s="190"/>
      <c r="AK316" s="190"/>
      <c r="AL316" s="190"/>
      <c r="AM316" s="190"/>
    </row>
    <row r="317" spans="2:39">
      <c r="B317" s="162"/>
      <c r="C317" s="162"/>
      <c r="D317" s="191"/>
      <c r="E317" s="191"/>
      <c r="F317" s="191"/>
      <c r="G317" s="191"/>
      <c r="H317" s="191"/>
      <c r="I317" s="191"/>
      <c r="J317" s="191"/>
      <c r="K317" s="191"/>
      <c r="L317" s="191"/>
      <c r="M317" s="191"/>
      <c r="N317" s="191"/>
      <c r="O317" s="191"/>
      <c r="P317" s="191"/>
      <c r="Q317" s="191"/>
      <c r="R317" s="191"/>
      <c r="S317" s="191"/>
      <c r="T317" s="191"/>
      <c r="U317" s="191"/>
      <c r="V317" s="191"/>
      <c r="W317" s="191"/>
      <c r="X317" s="191"/>
      <c r="Y317" s="191"/>
      <c r="Z317" s="191"/>
      <c r="AA317" s="191"/>
      <c r="AB317" s="191"/>
      <c r="AC317" s="190"/>
      <c r="AD317" s="190"/>
      <c r="AE317" s="190"/>
      <c r="AF317" s="190"/>
      <c r="AG317" s="190"/>
      <c r="AH317" s="190"/>
      <c r="AI317" s="190"/>
      <c r="AJ317" s="190"/>
      <c r="AK317" s="190"/>
      <c r="AL317" s="190"/>
      <c r="AM317" s="190"/>
    </row>
    <row r="318" spans="2:39">
      <c r="B318" s="162"/>
      <c r="C318" s="162"/>
      <c r="D318" s="191"/>
      <c r="E318" s="191"/>
      <c r="F318" s="191"/>
      <c r="G318" s="191"/>
      <c r="H318" s="191"/>
      <c r="I318" s="191"/>
      <c r="J318" s="191"/>
      <c r="K318" s="191"/>
      <c r="L318" s="191"/>
      <c r="M318" s="191"/>
      <c r="N318" s="191"/>
      <c r="O318" s="191"/>
      <c r="P318" s="191"/>
      <c r="Q318" s="191"/>
      <c r="R318" s="191"/>
      <c r="S318" s="191"/>
      <c r="T318" s="191"/>
      <c r="U318" s="191"/>
      <c r="V318" s="191"/>
      <c r="W318" s="191"/>
      <c r="X318" s="191"/>
      <c r="Y318" s="191"/>
      <c r="Z318" s="191"/>
      <c r="AA318" s="191"/>
      <c r="AB318" s="191"/>
      <c r="AC318" s="190"/>
      <c r="AD318" s="190"/>
      <c r="AE318" s="190"/>
      <c r="AF318" s="190"/>
      <c r="AG318" s="190"/>
      <c r="AH318" s="190"/>
      <c r="AI318" s="190"/>
      <c r="AJ318" s="190"/>
      <c r="AK318" s="190"/>
      <c r="AL318" s="190"/>
      <c r="AM318" s="190"/>
    </row>
    <row r="319" spans="2:39">
      <c r="B319" s="162"/>
      <c r="C319" s="162"/>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1"/>
      <c r="Z319" s="191"/>
      <c r="AA319" s="191"/>
      <c r="AB319" s="191"/>
      <c r="AC319" s="190"/>
      <c r="AD319" s="190"/>
      <c r="AE319" s="190"/>
      <c r="AF319" s="190"/>
      <c r="AG319" s="190"/>
      <c r="AH319" s="190"/>
      <c r="AI319" s="190"/>
      <c r="AJ319" s="190"/>
      <c r="AK319" s="190"/>
      <c r="AL319" s="190"/>
      <c r="AM319" s="190"/>
    </row>
    <row r="320" spans="2:39">
      <c r="B320" s="162"/>
      <c r="C320" s="162"/>
      <c r="D320" s="191"/>
      <c r="E320" s="191"/>
      <c r="F320" s="191"/>
      <c r="G320" s="191"/>
      <c r="H320" s="191"/>
      <c r="I320" s="191"/>
      <c r="J320" s="191"/>
      <c r="K320" s="191"/>
      <c r="L320" s="191"/>
      <c r="M320" s="191"/>
      <c r="N320" s="191"/>
      <c r="O320" s="191"/>
      <c r="P320" s="191"/>
      <c r="Q320" s="191"/>
      <c r="R320" s="191"/>
      <c r="S320" s="191"/>
      <c r="T320" s="191"/>
      <c r="U320" s="191"/>
      <c r="V320" s="191"/>
      <c r="W320" s="191"/>
      <c r="X320" s="191"/>
      <c r="Y320" s="191"/>
      <c r="Z320" s="191"/>
      <c r="AA320" s="191"/>
      <c r="AB320" s="191"/>
      <c r="AC320" s="190"/>
      <c r="AD320" s="190"/>
      <c r="AE320" s="190"/>
      <c r="AF320" s="190"/>
      <c r="AG320" s="190"/>
      <c r="AH320" s="190"/>
      <c r="AI320" s="190"/>
      <c r="AJ320" s="190"/>
      <c r="AK320" s="190"/>
      <c r="AL320" s="190"/>
      <c r="AM320" s="190"/>
    </row>
    <row r="321" spans="2:39">
      <c r="B321" s="162"/>
      <c r="C321" s="162"/>
      <c r="D321" s="191"/>
      <c r="E321" s="191"/>
      <c r="F321" s="191"/>
      <c r="G321" s="191"/>
      <c r="H321" s="191"/>
      <c r="I321" s="191"/>
      <c r="J321" s="191"/>
      <c r="K321" s="191"/>
      <c r="L321" s="191"/>
      <c r="M321" s="191"/>
      <c r="N321" s="191"/>
      <c r="O321" s="191"/>
      <c r="P321" s="191"/>
      <c r="Q321" s="191"/>
      <c r="R321" s="191"/>
      <c r="S321" s="191"/>
      <c r="T321" s="191"/>
      <c r="U321" s="191"/>
      <c r="V321" s="191"/>
      <c r="W321" s="191"/>
      <c r="X321" s="191"/>
      <c r="Y321" s="191"/>
      <c r="Z321" s="191"/>
      <c r="AA321" s="191"/>
      <c r="AB321" s="191"/>
      <c r="AC321" s="190"/>
      <c r="AD321" s="190"/>
      <c r="AE321" s="190"/>
      <c r="AF321" s="190"/>
      <c r="AG321" s="190"/>
      <c r="AH321" s="190"/>
      <c r="AI321" s="190"/>
      <c r="AJ321" s="190"/>
      <c r="AK321" s="190"/>
      <c r="AL321" s="190"/>
      <c r="AM321" s="190"/>
    </row>
    <row r="322" spans="2:39">
      <c r="B322" s="162"/>
      <c r="C322" s="162"/>
      <c r="D322" s="191"/>
      <c r="E322" s="191"/>
      <c r="F322" s="191"/>
      <c r="G322" s="191"/>
      <c r="H322" s="191"/>
      <c r="I322" s="191"/>
      <c r="J322" s="191"/>
      <c r="K322" s="191"/>
      <c r="L322" s="191"/>
      <c r="M322" s="191"/>
      <c r="N322" s="191"/>
      <c r="O322" s="191"/>
      <c r="P322" s="191"/>
      <c r="Q322" s="191"/>
      <c r="R322" s="191"/>
      <c r="S322" s="191"/>
      <c r="T322" s="191"/>
      <c r="U322" s="191"/>
      <c r="V322" s="191"/>
      <c r="W322" s="191"/>
      <c r="X322" s="191"/>
      <c r="Y322" s="191"/>
      <c r="Z322" s="191"/>
      <c r="AA322" s="191"/>
      <c r="AB322" s="191"/>
      <c r="AC322" s="190"/>
      <c r="AD322" s="190"/>
      <c r="AE322" s="190"/>
      <c r="AF322" s="190"/>
      <c r="AG322" s="190"/>
      <c r="AH322" s="190"/>
      <c r="AI322" s="190"/>
      <c r="AJ322" s="190"/>
      <c r="AK322" s="190"/>
      <c r="AL322" s="190"/>
      <c r="AM322" s="190"/>
    </row>
    <row r="323" spans="2:39">
      <c r="B323" s="162"/>
      <c r="C323" s="162"/>
      <c r="D323" s="191"/>
      <c r="E323" s="191"/>
      <c r="F323" s="191"/>
      <c r="G323" s="191"/>
      <c r="H323" s="191"/>
      <c r="I323" s="191"/>
      <c r="J323" s="191"/>
      <c r="K323" s="191"/>
      <c r="L323" s="191"/>
      <c r="M323" s="191"/>
      <c r="N323" s="191"/>
      <c r="O323" s="191"/>
      <c r="P323" s="191"/>
      <c r="Q323" s="191"/>
      <c r="R323" s="191"/>
      <c r="S323" s="191"/>
      <c r="T323" s="191"/>
      <c r="U323" s="191"/>
      <c r="V323" s="191"/>
      <c r="W323" s="191"/>
      <c r="X323" s="191"/>
      <c r="Y323" s="191"/>
      <c r="Z323" s="191"/>
      <c r="AA323" s="191"/>
      <c r="AB323" s="191"/>
      <c r="AC323" s="190"/>
      <c r="AD323" s="190"/>
      <c r="AE323" s="190"/>
      <c r="AF323" s="190"/>
      <c r="AG323" s="190"/>
      <c r="AH323" s="190"/>
      <c r="AI323" s="190"/>
      <c r="AJ323" s="190"/>
      <c r="AK323" s="190"/>
      <c r="AL323" s="190"/>
      <c r="AM323" s="190"/>
    </row>
    <row r="324" spans="2:39">
      <c r="B324" s="162"/>
      <c r="C324" s="162"/>
      <c r="D324" s="191"/>
      <c r="E324" s="191"/>
      <c r="F324" s="191"/>
      <c r="G324" s="191"/>
      <c r="H324" s="191"/>
      <c r="I324" s="191"/>
      <c r="J324" s="191"/>
      <c r="K324" s="191"/>
      <c r="L324" s="191"/>
      <c r="M324" s="191"/>
      <c r="N324" s="191"/>
      <c r="O324" s="191"/>
      <c r="P324" s="191"/>
      <c r="Q324" s="191"/>
      <c r="R324" s="191"/>
      <c r="S324" s="191"/>
      <c r="T324" s="191"/>
      <c r="U324" s="191"/>
      <c r="V324" s="191"/>
      <c r="W324" s="191"/>
      <c r="X324" s="191"/>
      <c r="Y324" s="191"/>
      <c r="Z324" s="191"/>
      <c r="AA324" s="191"/>
      <c r="AB324" s="191"/>
      <c r="AC324" s="190"/>
      <c r="AD324" s="190"/>
      <c r="AE324" s="190"/>
      <c r="AF324" s="190"/>
      <c r="AG324" s="190"/>
      <c r="AH324" s="190"/>
      <c r="AI324" s="190"/>
      <c r="AJ324" s="190"/>
      <c r="AK324" s="190"/>
      <c r="AL324" s="190"/>
      <c r="AM324" s="190"/>
    </row>
    <row r="325" spans="2:39">
      <c r="B325" s="162"/>
      <c r="C325" s="162"/>
      <c r="D325" s="191"/>
      <c r="E325" s="191"/>
      <c r="F325" s="191"/>
      <c r="G325" s="191"/>
      <c r="H325" s="191"/>
      <c r="I325" s="191"/>
      <c r="J325" s="191"/>
      <c r="K325" s="191"/>
      <c r="L325" s="191"/>
      <c r="M325" s="191"/>
      <c r="N325" s="191"/>
      <c r="O325" s="191"/>
      <c r="P325" s="191"/>
      <c r="Q325" s="191"/>
      <c r="R325" s="191"/>
      <c r="S325" s="191"/>
      <c r="T325" s="191"/>
      <c r="U325" s="191"/>
      <c r="V325" s="191"/>
      <c r="W325" s="191"/>
      <c r="X325" s="191"/>
      <c r="Y325" s="191"/>
      <c r="Z325" s="191"/>
      <c r="AA325" s="191"/>
      <c r="AB325" s="191"/>
      <c r="AC325" s="190"/>
      <c r="AD325" s="190"/>
      <c r="AE325" s="190"/>
      <c r="AF325" s="190"/>
      <c r="AG325" s="190"/>
      <c r="AH325" s="190"/>
      <c r="AI325" s="190"/>
      <c r="AJ325" s="190"/>
      <c r="AK325" s="190"/>
      <c r="AL325" s="190"/>
      <c r="AM325" s="190"/>
    </row>
    <row r="326" spans="2:39">
      <c r="B326" s="162"/>
      <c r="C326" s="162"/>
      <c r="D326" s="191"/>
      <c r="E326" s="191"/>
      <c r="F326" s="191"/>
      <c r="G326" s="191"/>
      <c r="H326" s="191"/>
      <c r="I326" s="191"/>
      <c r="J326" s="191"/>
      <c r="K326" s="191"/>
      <c r="L326" s="191"/>
      <c r="M326" s="191"/>
      <c r="N326" s="191"/>
      <c r="O326" s="191"/>
      <c r="P326" s="191"/>
      <c r="Q326" s="191"/>
      <c r="R326" s="191"/>
      <c r="S326" s="191"/>
      <c r="T326" s="191"/>
      <c r="U326" s="191"/>
      <c r="V326" s="191"/>
      <c r="W326" s="191"/>
      <c r="X326" s="191"/>
      <c r="Y326" s="191"/>
      <c r="Z326" s="191"/>
      <c r="AA326" s="191"/>
      <c r="AB326" s="191"/>
      <c r="AC326" s="190"/>
      <c r="AD326" s="190"/>
      <c r="AE326" s="190"/>
      <c r="AF326" s="190"/>
      <c r="AG326" s="190"/>
      <c r="AH326" s="190"/>
      <c r="AI326" s="190"/>
      <c r="AJ326" s="190"/>
      <c r="AK326" s="190"/>
      <c r="AL326" s="190"/>
      <c r="AM326" s="190"/>
    </row>
    <row r="327" spans="2:39">
      <c r="B327" s="162"/>
      <c r="C327" s="162"/>
      <c r="D327" s="191"/>
      <c r="E327" s="191"/>
      <c r="F327" s="191"/>
      <c r="G327" s="191"/>
      <c r="H327" s="191"/>
      <c r="I327" s="191"/>
      <c r="J327" s="191"/>
      <c r="K327" s="191"/>
      <c r="L327" s="191"/>
      <c r="M327" s="191"/>
      <c r="N327" s="191"/>
      <c r="O327" s="191"/>
      <c r="P327" s="191"/>
      <c r="Q327" s="191"/>
      <c r="R327" s="191"/>
      <c r="S327" s="191"/>
      <c r="T327" s="191"/>
      <c r="U327" s="191"/>
      <c r="V327" s="191"/>
      <c r="W327" s="191"/>
      <c r="X327" s="191"/>
      <c r="Y327" s="191"/>
      <c r="Z327" s="191"/>
      <c r="AA327" s="191"/>
      <c r="AB327" s="191"/>
      <c r="AC327" s="190"/>
      <c r="AD327" s="190"/>
      <c r="AE327" s="190"/>
      <c r="AF327" s="190"/>
      <c r="AG327" s="190"/>
      <c r="AH327" s="190"/>
      <c r="AI327" s="190"/>
      <c r="AJ327" s="190"/>
      <c r="AK327" s="190"/>
      <c r="AL327" s="190"/>
      <c r="AM327" s="190"/>
    </row>
    <row r="328" spans="2:39">
      <c r="B328" s="162"/>
      <c r="C328" s="162"/>
      <c r="D328" s="191"/>
      <c r="E328" s="191"/>
      <c r="F328" s="191"/>
      <c r="G328" s="191"/>
      <c r="H328" s="191"/>
      <c r="I328" s="191"/>
      <c r="J328" s="191"/>
      <c r="K328" s="191"/>
      <c r="L328" s="191"/>
      <c r="M328" s="191"/>
      <c r="N328" s="191"/>
      <c r="O328" s="191"/>
      <c r="P328" s="191"/>
      <c r="Q328" s="191"/>
      <c r="R328" s="191"/>
      <c r="S328" s="191"/>
      <c r="T328" s="191"/>
      <c r="U328" s="191"/>
      <c r="V328" s="191"/>
      <c r="W328" s="191"/>
      <c r="X328" s="191"/>
      <c r="Y328" s="191"/>
      <c r="Z328" s="191"/>
      <c r="AA328" s="191"/>
      <c r="AB328" s="191"/>
      <c r="AC328" s="190"/>
      <c r="AD328" s="190"/>
      <c r="AE328" s="190"/>
      <c r="AF328" s="190"/>
      <c r="AG328" s="190"/>
      <c r="AH328" s="190"/>
      <c r="AI328" s="190"/>
      <c r="AJ328" s="190"/>
      <c r="AK328" s="190"/>
      <c r="AL328" s="190"/>
      <c r="AM328" s="190"/>
    </row>
    <row r="329" spans="2:39">
      <c r="B329" s="162"/>
      <c r="C329" s="162"/>
      <c r="D329" s="191"/>
      <c r="E329" s="191"/>
      <c r="F329" s="191"/>
      <c r="G329" s="191"/>
      <c r="H329" s="191"/>
      <c r="I329" s="191"/>
      <c r="J329" s="191"/>
      <c r="K329" s="191"/>
      <c r="L329" s="191"/>
      <c r="M329" s="191"/>
      <c r="N329" s="191"/>
      <c r="O329" s="191"/>
      <c r="P329" s="191"/>
      <c r="Q329" s="191"/>
      <c r="R329" s="191"/>
      <c r="S329" s="191"/>
      <c r="T329" s="191"/>
      <c r="U329" s="191"/>
      <c r="V329" s="191"/>
      <c r="W329" s="191"/>
      <c r="X329" s="191"/>
      <c r="Y329" s="191"/>
      <c r="Z329" s="191"/>
      <c r="AA329" s="191"/>
      <c r="AB329" s="191"/>
      <c r="AC329" s="190"/>
      <c r="AD329" s="190"/>
      <c r="AE329" s="190"/>
      <c r="AF329" s="190"/>
      <c r="AG329" s="190"/>
      <c r="AH329" s="190"/>
      <c r="AI329" s="190"/>
      <c r="AJ329" s="190"/>
      <c r="AK329" s="190"/>
      <c r="AL329" s="190"/>
      <c r="AM329" s="190"/>
    </row>
    <row r="330" spans="2:39">
      <c r="B330" s="162"/>
      <c r="C330" s="162"/>
      <c r="D330" s="191"/>
      <c r="E330" s="191"/>
      <c r="F330" s="191"/>
      <c r="G330" s="191"/>
      <c r="H330" s="191"/>
      <c r="I330" s="191"/>
      <c r="J330" s="191"/>
      <c r="K330" s="191"/>
      <c r="L330" s="191"/>
      <c r="M330" s="191"/>
      <c r="N330" s="191"/>
      <c r="O330" s="191"/>
      <c r="P330" s="191"/>
      <c r="Q330" s="191"/>
      <c r="R330" s="191"/>
      <c r="S330" s="191"/>
      <c r="T330" s="191"/>
      <c r="U330" s="191"/>
      <c r="V330" s="191"/>
      <c r="W330" s="191"/>
      <c r="X330" s="191"/>
      <c r="Y330" s="191"/>
      <c r="Z330" s="191"/>
      <c r="AA330" s="191"/>
      <c r="AB330" s="191"/>
      <c r="AC330" s="190"/>
      <c r="AD330" s="190"/>
      <c r="AE330" s="190"/>
      <c r="AF330" s="190"/>
      <c r="AG330" s="190"/>
      <c r="AH330" s="190"/>
      <c r="AI330" s="190"/>
      <c r="AJ330" s="190"/>
      <c r="AK330" s="190"/>
      <c r="AL330" s="190"/>
      <c r="AM330" s="190"/>
    </row>
    <row r="331" spans="2:39">
      <c r="B331" s="162"/>
      <c r="C331" s="162"/>
      <c r="D331" s="191"/>
      <c r="E331" s="191"/>
      <c r="F331" s="191"/>
      <c r="G331" s="191"/>
      <c r="H331" s="191"/>
      <c r="I331" s="191"/>
      <c r="J331" s="191"/>
      <c r="K331" s="191"/>
      <c r="L331" s="191"/>
      <c r="M331" s="191"/>
      <c r="N331" s="191"/>
      <c r="O331" s="191"/>
      <c r="P331" s="191"/>
      <c r="Q331" s="191"/>
      <c r="R331" s="191"/>
      <c r="S331" s="191"/>
      <c r="T331" s="191"/>
      <c r="U331" s="191"/>
      <c r="V331" s="191"/>
      <c r="W331" s="191"/>
      <c r="X331" s="191"/>
      <c r="Y331" s="191"/>
      <c r="Z331" s="191"/>
      <c r="AA331" s="191"/>
      <c r="AB331" s="191"/>
      <c r="AC331" s="190"/>
      <c r="AD331" s="190"/>
      <c r="AE331" s="190"/>
      <c r="AF331" s="190"/>
      <c r="AG331" s="190"/>
      <c r="AH331" s="190"/>
      <c r="AI331" s="190"/>
      <c r="AJ331" s="190"/>
      <c r="AK331" s="190"/>
      <c r="AL331" s="190"/>
      <c r="AM331" s="190"/>
    </row>
    <row r="332" spans="2:39">
      <c r="B332" s="162"/>
      <c r="C332" s="162"/>
      <c r="D332" s="191"/>
      <c r="E332" s="191"/>
      <c r="F332" s="191"/>
      <c r="G332" s="191"/>
      <c r="H332" s="191"/>
      <c r="I332" s="191"/>
      <c r="J332" s="191"/>
      <c r="K332" s="191"/>
      <c r="L332" s="191"/>
      <c r="M332" s="191"/>
      <c r="N332" s="191"/>
      <c r="O332" s="191"/>
      <c r="P332" s="191"/>
      <c r="Q332" s="191"/>
      <c r="R332" s="191"/>
      <c r="S332" s="191"/>
      <c r="T332" s="191"/>
      <c r="U332" s="191"/>
      <c r="V332" s="191"/>
      <c r="W332" s="191"/>
      <c r="X332" s="191"/>
      <c r="Y332" s="191"/>
      <c r="Z332" s="191"/>
      <c r="AA332" s="191"/>
      <c r="AB332" s="191"/>
      <c r="AC332" s="190"/>
      <c r="AD332" s="190"/>
      <c r="AE332" s="190"/>
      <c r="AF332" s="190"/>
      <c r="AG332" s="190"/>
      <c r="AH332" s="190"/>
      <c r="AI332" s="190"/>
      <c r="AJ332" s="190"/>
      <c r="AK332" s="190"/>
      <c r="AL332" s="190"/>
      <c r="AM332" s="190"/>
    </row>
    <row r="333" spans="2:39">
      <c r="B333" s="162"/>
      <c r="C333" s="162"/>
      <c r="D333" s="191"/>
      <c r="E333" s="191"/>
      <c r="F333" s="191"/>
      <c r="G333" s="191"/>
      <c r="H333" s="191"/>
      <c r="I333" s="191"/>
      <c r="J333" s="191"/>
      <c r="K333" s="191"/>
      <c r="L333" s="191"/>
      <c r="M333" s="191"/>
      <c r="N333" s="191"/>
      <c r="O333" s="191"/>
      <c r="P333" s="191"/>
      <c r="Q333" s="191"/>
      <c r="R333" s="191"/>
      <c r="S333" s="191"/>
      <c r="T333" s="191"/>
      <c r="U333" s="191"/>
      <c r="V333" s="191"/>
      <c r="W333" s="191"/>
      <c r="X333" s="191"/>
      <c r="Y333" s="191"/>
      <c r="Z333" s="191"/>
      <c r="AA333" s="191"/>
      <c r="AB333" s="191"/>
      <c r="AC333" s="190"/>
      <c r="AD333" s="190"/>
      <c r="AE333" s="190"/>
      <c r="AF333" s="190"/>
      <c r="AG333" s="190"/>
      <c r="AH333" s="190"/>
      <c r="AI333" s="190"/>
      <c r="AJ333" s="190"/>
      <c r="AK333" s="190"/>
      <c r="AL333" s="190"/>
      <c r="AM333" s="190"/>
    </row>
    <row r="334" spans="2:39">
      <c r="B334" s="162"/>
      <c r="C334" s="162"/>
      <c r="D334" s="191"/>
      <c r="E334" s="191"/>
      <c r="F334" s="191"/>
      <c r="G334" s="191"/>
      <c r="H334" s="191"/>
      <c r="I334" s="191"/>
      <c r="J334" s="191"/>
      <c r="K334" s="191"/>
      <c r="L334" s="191"/>
      <c r="M334" s="191"/>
      <c r="N334" s="191"/>
      <c r="O334" s="191"/>
      <c r="P334" s="191"/>
      <c r="Q334" s="191"/>
      <c r="R334" s="191"/>
      <c r="S334" s="191"/>
      <c r="T334" s="191"/>
      <c r="U334" s="191"/>
      <c r="V334" s="191"/>
      <c r="W334" s="191"/>
      <c r="X334" s="191"/>
      <c r="Y334" s="191"/>
      <c r="Z334" s="191"/>
      <c r="AA334" s="191"/>
      <c r="AB334" s="191"/>
      <c r="AC334" s="190"/>
      <c r="AD334" s="190"/>
      <c r="AE334" s="190"/>
      <c r="AF334" s="190"/>
      <c r="AG334" s="190"/>
      <c r="AH334" s="190"/>
      <c r="AI334" s="190"/>
      <c r="AJ334" s="190"/>
      <c r="AK334" s="190"/>
      <c r="AL334" s="190"/>
      <c r="AM334" s="190"/>
    </row>
    <row r="335" spans="2:39">
      <c r="B335" s="162"/>
      <c r="C335" s="162"/>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c r="AA335" s="191"/>
      <c r="AB335" s="191"/>
      <c r="AC335" s="190"/>
      <c r="AD335" s="190"/>
      <c r="AE335" s="190"/>
      <c r="AF335" s="190"/>
      <c r="AG335" s="190"/>
      <c r="AH335" s="190"/>
      <c r="AI335" s="190"/>
      <c r="AJ335" s="190"/>
      <c r="AK335" s="190"/>
      <c r="AL335" s="190"/>
      <c r="AM335" s="190"/>
    </row>
    <row r="336" spans="2:39">
      <c r="B336" s="162"/>
      <c r="C336" s="162"/>
      <c r="D336" s="191"/>
      <c r="E336" s="191"/>
      <c r="F336" s="191"/>
      <c r="G336" s="191"/>
      <c r="H336" s="191"/>
      <c r="I336" s="191"/>
      <c r="J336" s="191"/>
      <c r="K336" s="191"/>
      <c r="L336" s="191"/>
      <c r="M336" s="191"/>
      <c r="N336" s="191"/>
      <c r="O336" s="191"/>
      <c r="P336" s="191"/>
      <c r="Q336" s="191"/>
      <c r="R336" s="191"/>
      <c r="S336" s="191"/>
      <c r="T336" s="191"/>
      <c r="U336" s="191"/>
      <c r="V336" s="191"/>
      <c r="W336" s="191"/>
      <c r="X336" s="191"/>
      <c r="Y336" s="191"/>
      <c r="Z336" s="191"/>
      <c r="AA336" s="191"/>
      <c r="AB336" s="191"/>
      <c r="AC336" s="190"/>
      <c r="AD336" s="190"/>
      <c r="AE336" s="190"/>
      <c r="AF336" s="190"/>
      <c r="AG336" s="190"/>
      <c r="AH336" s="190"/>
      <c r="AI336" s="190"/>
      <c r="AJ336" s="190"/>
      <c r="AK336" s="190"/>
      <c r="AL336" s="190"/>
      <c r="AM336" s="190"/>
    </row>
    <row r="337" spans="2:39">
      <c r="B337" s="162"/>
      <c r="C337" s="162"/>
      <c r="D337" s="191"/>
      <c r="E337" s="191"/>
      <c r="F337" s="191"/>
      <c r="G337" s="191"/>
      <c r="H337" s="191"/>
      <c r="I337" s="191"/>
      <c r="J337" s="191"/>
      <c r="K337" s="191"/>
      <c r="L337" s="191"/>
      <c r="M337" s="191"/>
      <c r="N337" s="191"/>
      <c r="O337" s="191"/>
      <c r="P337" s="191"/>
      <c r="Q337" s="191"/>
      <c r="R337" s="191"/>
      <c r="S337" s="191"/>
      <c r="T337" s="191"/>
      <c r="U337" s="191"/>
      <c r="V337" s="191"/>
      <c r="W337" s="191"/>
      <c r="X337" s="191"/>
      <c r="Y337" s="191"/>
      <c r="Z337" s="191"/>
      <c r="AA337" s="191"/>
      <c r="AB337" s="191"/>
      <c r="AC337" s="190"/>
      <c r="AD337" s="190"/>
      <c r="AE337" s="190"/>
      <c r="AF337" s="190"/>
      <c r="AG337" s="190"/>
      <c r="AH337" s="190"/>
      <c r="AI337" s="190"/>
      <c r="AJ337" s="190"/>
      <c r="AK337" s="190"/>
      <c r="AL337" s="190"/>
      <c r="AM337" s="190"/>
    </row>
    <row r="338" spans="2:39">
      <c r="B338" s="162"/>
      <c r="C338" s="162"/>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1"/>
      <c r="Z338" s="191"/>
      <c r="AA338" s="191"/>
      <c r="AB338" s="191"/>
      <c r="AC338" s="190"/>
      <c r="AD338" s="190"/>
      <c r="AE338" s="190"/>
      <c r="AF338" s="190"/>
      <c r="AG338" s="190"/>
      <c r="AH338" s="190"/>
      <c r="AI338" s="190"/>
      <c r="AJ338" s="190"/>
      <c r="AK338" s="190"/>
      <c r="AL338" s="190"/>
      <c r="AM338" s="190"/>
    </row>
    <row r="339" spans="2:39">
      <c r="B339" s="162"/>
      <c r="C339" s="162"/>
      <c r="D339" s="191"/>
      <c r="E339" s="191"/>
      <c r="F339" s="191"/>
      <c r="G339" s="191"/>
      <c r="H339" s="191"/>
      <c r="I339" s="191"/>
      <c r="J339" s="191"/>
      <c r="K339" s="191"/>
      <c r="L339" s="191"/>
      <c r="M339" s="191"/>
      <c r="N339" s="191"/>
      <c r="O339" s="191"/>
      <c r="P339" s="191"/>
      <c r="Q339" s="191"/>
      <c r="R339" s="191"/>
      <c r="S339" s="191"/>
      <c r="T339" s="191"/>
      <c r="U339" s="191"/>
      <c r="V339" s="191"/>
      <c r="W339" s="191"/>
      <c r="X339" s="191"/>
      <c r="Y339" s="191"/>
      <c r="Z339" s="191"/>
      <c r="AA339" s="191"/>
      <c r="AB339" s="191"/>
      <c r="AC339" s="190"/>
      <c r="AD339" s="190"/>
      <c r="AE339" s="190"/>
      <c r="AF339" s="190"/>
      <c r="AG339" s="190"/>
      <c r="AH339" s="190"/>
      <c r="AI339" s="190"/>
      <c r="AJ339" s="190"/>
      <c r="AK339" s="190"/>
      <c r="AL339" s="190"/>
      <c r="AM339" s="190"/>
    </row>
    <row r="340" spans="2:39">
      <c r="B340" s="162"/>
      <c r="C340" s="162"/>
      <c r="D340" s="191"/>
      <c r="E340" s="191"/>
      <c r="F340" s="191"/>
      <c r="G340" s="191"/>
      <c r="H340" s="191"/>
      <c r="I340" s="191"/>
      <c r="J340" s="191"/>
      <c r="K340" s="191"/>
      <c r="L340" s="191"/>
      <c r="M340" s="191"/>
      <c r="N340" s="191"/>
      <c r="O340" s="191"/>
      <c r="P340" s="191"/>
      <c r="Q340" s="191"/>
      <c r="R340" s="191"/>
      <c r="S340" s="191"/>
      <c r="T340" s="191"/>
      <c r="U340" s="191"/>
      <c r="V340" s="191"/>
      <c r="W340" s="191"/>
      <c r="X340" s="191"/>
      <c r="Y340" s="191"/>
      <c r="Z340" s="191"/>
      <c r="AA340" s="191"/>
      <c r="AB340" s="191"/>
      <c r="AC340" s="190"/>
      <c r="AD340" s="190"/>
      <c r="AE340" s="190"/>
      <c r="AF340" s="190"/>
      <c r="AG340" s="190"/>
      <c r="AH340" s="190"/>
      <c r="AI340" s="190"/>
      <c r="AJ340" s="190"/>
      <c r="AK340" s="190"/>
      <c r="AL340" s="190"/>
      <c r="AM340" s="190"/>
    </row>
    <row r="341" spans="2:39">
      <c r="B341" s="162"/>
      <c r="C341" s="162"/>
      <c r="D341" s="191"/>
      <c r="E341" s="191"/>
      <c r="F341" s="191"/>
      <c r="G341" s="191"/>
      <c r="H341" s="191"/>
      <c r="I341" s="191"/>
      <c r="J341" s="191"/>
      <c r="K341" s="191"/>
      <c r="L341" s="191"/>
      <c r="M341" s="191"/>
      <c r="N341" s="191"/>
      <c r="O341" s="191"/>
      <c r="P341" s="191"/>
      <c r="Q341" s="191"/>
      <c r="R341" s="191"/>
      <c r="S341" s="191"/>
      <c r="T341" s="191"/>
      <c r="U341" s="191"/>
      <c r="V341" s="191"/>
      <c r="W341" s="191"/>
      <c r="X341" s="191"/>
      <c r="Y341" s="191"/>
      <c r="Z341" s="191"/>
      <c r="AA341" s="191"/>
      <c r="AB341" s="191"/>
      <c r="AC341" s="190"/>
      <c r="AD341" s="190"/>
      <c r="AE341" s="190"/>
      <c r="AF341" s="190"/>
      <c r="AG341" s="190"/>
      <c r="AH341" s="190"/>
      <c r="AI341" s="190"/>
      <c r="AJ341" s="190"/>
      <c r="AK341" s="190"/>
      <c r="AL341" s="190"/>
      <c r="AM341" s="190"/>
    </row>
    <row r="342" spans="2:39">
      <c r="B342" s="162"/>
      <c r="C342" s="162"/>
      <c r="D342" s="191"/>
      <c r="E342" s="191"/>
      <c r="F342" s="191"/>
      <c r="G342" s="191"/>
      <c r="H342" s="191"/>
      <c r="I342" s="191"/>
      <c r="J342" s="191"/>
      <c r="K342" s="191"/>
      <c r="L342" s="191"/>
      <c r="M342" s="191"/>
      <c r="N342" s="191"/>
      <c r="O342" s="191"/>
      <c r="P342" s="191"/>
      <c r="Q342" s="191"/>
      <c r="R342" s="191"/>
      <c r="S342" s="191"/>
      <c r="T342" s="191"/>
      <c r="U342" s="191"/>
      <c r="V342" s="191"/>
      <c r="W342" s="191"/>
      <c r="X342" s="191"/>
      <c r="Y342" s="191"/>
      <c r="Z342" s="191"/>
      <c r="AA342" s="191"/>
      <c r="AB342" s="191"/>
      <c r="AC342" s="190"/>
      <c r="AD342" s="190"/>
      <c r="AE342" s="190"/>
      <c r="AF342" s="190"/>
      <c r="AG342" s="190"/>
      <c r="AH342" s="190"/>
      <c r="AI342" s="190"/>
      <c r="AJ342" s="190"/>
      <c r="AK342" s="190"/>
      <c r="AL342" s="190"/>
      <c r="AM342" s="190"/>
    </row>
    <row r="343" spans="2:39">
      <c r="B343" s="162"/>
      <c r="C343" s="162"/>
      <c r="D343" s="191"/>
      <c r="E343" s="191"/>
      <c r="F343" s="191"/>
      <c r="G343" s="191"/>
      <c r="H343" s="191"/>
      <c r="I343" s="191"/>
      <c r="J343" s="191"/>
      <c r="K343" s="191"/>
      <c r="L343" s="191"/>
      <c r="M343" s="191"/>
      <c r="N343" s="191"/>
      <c r="O343" s="191"/>
      <c r="P343" s="191"/>
      <c r="Q343" s="191"/>
      <c r="R343" s="191"/>
      <c r="S343" s="191"/>
      <c r="T343" s="191"/>
      <c r="U343" s="191"/>
      <c r="V343" s="191"/>
      <c r="W343" s="191"/>
      <c r="X343" s="191"/>
      <c r="Y343" s="191"/>
      <c r="Z343" s="191"/>
      <c r="AA343" s="191"/>
      <c r="AB343" s="191"/>
      <c r="AC343" s="190"/>
      <c r="AD343" s="190"/>
      <c r="AE343" s="190"/>
      <c r="AF343" s="190"/>
      <c r="AG343" s="190"/>
      <c r="AH343" s="190"/>
      <c r="AI343" s="190"/>
      <c r="AJ343" s="190"/>
      <c r="AK343" s="190"/>
      <c r="AL343" s="190"/>
      <c r="AM343" s="190"/>
    </row>
    <row r="344" spans="2:39">
      <c r="B344" s="162"/>
      <c r="C344" s="162"/>
      <c r="D344" s="191"/>
      <c r="E344" s="191"/>
      <c r="F344" s="191"/>
      <c r="G344" s="191"/>
      <c r="H344" s="191"/>
      <c r="I344" s="191"/>
      <c r="J344" s="191"/>
      <c r="K344" s="191"/>
      <c r="L344" s="191"/>
      <c r="M344" s="191"/>
      <c r="N344" s="191"/>
      <c r="O344" s="191"/>
      <c r="P344" s="191"/>
      <c r="Q344" s="191"/>
      <c r="R344" s="191"/>
      <c r="S344" s="191"/>
      <c r="T344" s="191"/>
      <c r="U344" s="191"/>
      <c r="V344" s="191"/>
      <c r="W344" s="191"/>
      <c r="X344" s="191"/>
      <c r="Y344" s="191"/>
      <c r="Z344" s="191"/>
      <c r="AA344" s="191"/>
      <c r="AB344" s="191"/>
      <c r="AC344" s="190"/>
      <c r="AD344" s="190"/>
      <c r="AE344" s="190"/>
      <c r="AF344" s="190"/>
      <c r="AG344" s="190"/>
      <c r="AH344" s="190"/>
      <c r="AI344" s="190"/>
      <c r="AJ344" s="190"/>
      <c r="AK344" s="190"/>
      <c r="AL344" s="190"/>
      <c r="AM344" s="190"/>
    </row>
    <row r="345" spans="2:39">
      <c r="B345" s="162"/>
      <c r="C345" s="162"/>
      <c r="D345" s="191"/>
      <c r="E345" s="191"/>
      <c r="F345" s="191"/>
      <c r="G345" s="191"/>
      <c r="H345" s="191"/>
      <c r="I345" s="191"/>
      <c r="J345" s="191"/>
      <c r="K345" s="191"/>
      <c r="L345" s="191"/>
      <c r="M345" s="191"/>
      <c r="N345" s="191"/>
      <c r="O345" s="191"/>
      <c r="P345" s="191"/>
      <c r="Q345" s="191"/>
      <c r="R345" s="191"/>
      <c r="S345" s="191"/>
      <c r="T345" s="191"/>
      <c r="U345" s="191"/>
      <c r="V345" s="191"/>
      <c r="W345" s="191"/>
      <c r="X345" s="191"/>
      <c r="Y345" s="191"/>
      <c r="Z345" s="191"/>
      <c r="AA345" s="191"/>
      <c r="AB345" s="191"/>
      <c r="AC345" s="190"/>
      <c r="AD345" s="190"/>
      <c r="AE345" s="190"/>
      <c r="AF345" s="190"/>
      <c r="AG345" s="190"/>
      <c r="AH345" s="190"/>
      <c r="AI345" s="190"/>
      <c r="AJ345" s="190"/>
      <c r="AK345" s="190"/>
      <c r="AL345" s="190"/>
      <c r="AM345" s="190"/>
    </row>
    <row r="346" spans="2:39">
      <c r="B346" s="162"/>
      <c r="C346" s="162"/>
      <c r="D346" s="191"/>
      <c r="E346" s="191"/>
      <c r="F346" s="191"/>
      <c r="G346" s="191"/>
      <c r="H346" s="191"/>
      <c r="I346" s="191"/>
      <c r="J346" s="191"/>
      <c r="K346" s="191"/>
      <c r="L346" s="191"/>
      <c r="M346" s="191"/>
      <c r="N346" s="191"/>
      <c r="O346" s="191"/>
      <c r="P346" s="191"/>
      <c r="Q346" s="191"/>
      <c r="R346" s="191"/>
      <c r="S346" s="191"/>
      <c r="T346" s="191"/>
      <c r="U346" s="191"/>
      <c r="V346" s="191"/>
      <c r="W346" s="191"/>
      <c r="X346" s="191"/>
      <c r="Y346" s="191"/>
      <c r="Z346" s="191"/>
      <c r="AA346" s="191"/>
      <c r="AB346" s="191"/>
      <c r="AC346" s="190"/>
      <c r="AD346" s="190"/>
      <c r="AE346" s="190"/>
      <c r="AF346" s="190"/>
      <c r="AG346" s="190"/>
      <c r="AH346" s="190"/>
      <c r="AI346" s="190"/>
      <c r="AJ346" s="190"/>
      <c r="AK346" s="190"/>
      <c r="AL346" s="190"/>
      <c r="AM346" s="190"/>
    </row>
    <row r="347" spans="2:39">
      <c r="B347" s="162"/>
      <c r="C347" s="162"/>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1"/>
      <c r="Z347" s="191"/>
      <c r="AA347" s="191"/>
      <c r="AB347" s="191"/>
      <c r="AC347" s="190"/>
      <c r="AD347" s="190"/>
      <c r="AE347" s="190"/>
      <c r="AF347" s="190"/>
      <c r="AG347" s="190"/>
      <c r="AH347" s="190"/>
      <c r="AI347" s="190"/>
      <c r="AJ347" s="190"/>
      <c r="AK347" s="190"/>
      <c r="AL347" s="190"/>
      <c r="AM347" s="190"/>
    </row>
    <row r="348" spans="2:39">
      <c r="B348" s="162"/>
      <c r="C348" s="162"/>
      <c r="D348" s="191"/>
      <c r="E348" s="191"/>
      <c r="F348" s="191"/>
      <c r="G348" s="191"/>
      <c r="H348" s="191"/>
      <c r="I348" s="191"/>
      <c r="J348" s="191"/>
      <c r="K348" s="191"/>
      <c r="L348" s="191"/>
      <c r="M348" s="191"/>
      <c r="N348" s="191"/>
      <c r="O348" s="191"/>
      <c r="P348" s="191"/>
      <c r="Q348" s="191"/>
      <c r="R348" s="191"/>
      <c r="S348" s="191"/>
      <c r="T348" s="191"/>
      <c r="U348" s="191"/>
      <c r="V348" s="191"/>
      <c r="W348" s="191"/>
      <c r="X348" s="191"/>
      <c r="Y348" s="191"/>
      <c r="Z348" s="191"/>
      <c r="AA348" s="191"/>
      <c r="AB348" s="191"/>
      <c r="AC348" s="190"/>
      <c r="AD348" s="190"/>
      <c r="AE348" s="190"/>
      <c r="AF348" s="190"/>
      <c r="AG348" s="190"/>
      <c r="AH348" s="190"/>
      <c r="AI348" s="190"/>
      <c r="AJ348" s="190"/>
      <c r="AK348" s="190"/>
      <c r="AL348" s="190"/>
      <c r="AM348" s="190"/>
    </row>
    <row r="349" spans="2:39">
      <c r="B349" s="162"/>
      <c r="C349" s="162"/>
      <c r="D349" s="191"/>
      <c r="E349" s="191"/>
      <c r="F349" s="191"/>
      <c r="G349" s="191"/>
      <c r="H349" s="191"/>
      <c r="I349" s="191"/>
      <c r="J349" s="191"/>
      <c r="K349" s="191"/>
      <c r="L349" s="191"/>
      <c r="M349" s="191"/>
      <c r="N349" s="191"/>
      <c r="O349" s="191"/>
      <c r="P349" s="191"/>
      <c r="Q349" s="191"/>
      <c r="R349" s="191"/>
      <c r="S349" s="191"/>
      <c r="T349" s="191"/>
      <c r="U349" s="191"/>
      <c r="V349" s="191"/>
      <c r="W349" s="191"/>
      <c r="X349" s="191"/>
      <c r="Y349" s="191"/>
      <c r="Z349" s="191"/>
      <c r="AA349" s="191"/>
      <c r="AB349" s="191"/>
      <c r="AC349" s="190"/>
      <c r="AD349" s="190"/>
      <c r="AE349" s="190"/>
      <c r="AF349" s="190"/>
      <c r="AG349" s="190"/>
      <c r="AH349" s="190"/>
      <c r="AI349" s="190"/>
      <c r="AJ349" s="190"/>
      <c r="AK349" s="190"/>
      <c r="AL349" s="190"/>
      <c r="AM349" s="190"/>
    </row>
    <row r="350" spans="2:39">
      <c r="B350" s="162"/>
      <c r="C350" s="162"/>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c r="AA350" s="191"/>
      <c r="AB350" s="191"/>
      <c r="AC350" s="190"/>
      <c r="AD350" s="190"/>
      <c r="AE350" s="190"/>
      <c r="AF350" s="190"/>
      <c r="AG350" s="190"/>
      <c r="AH350" s="190"/>
      <c r="AI350" s="190"/>
      <c r="AJ350" s="190"/>
      <c r="AK350" s="190"/>
      <c r="AL350" s="190"/>
      <c r="AM350" s="190"/>
    </row>
    <row r="351" spans="2:39">
      <c r="B351" s="162"/>
      <c r="C351" s="162"/>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c r="AA351" s="191"/>
      <c r="AB351" s="191"/>
      <c r="AC351" s="190"/>
      <c r="AD351" s="190"/>
      <c r="AE351" s="190"/>
      <c r="AF351" s="190"/>
      <c r="AG351" s="190"/>
      <c r="AH351" s="190"/>
      <c r="AI351" s="190"/>
      <c r="AJ351" s="190"/>
      <c r="AK351" s="190"/>
      <c r="AL351" s="190"/>
      <c r="AM351" s="190"/>
    </row>
    <row r="352" spans="2:39">
      <c r="B352" s="162"/>
      <c r="C352" s="162"/>
      <c r="D352" s="191"/>
      <c r="E352" s="191"/>
      <c r="F352" s="191"/>
      <c r="G352" s="191"/>
      <c r="H352" s="191"/>
      <c r="I352" s="191"/>
      <c r="J352" s="191"/>
      <c r="K352" s="191"/>
      <c r="L352" s="191"/>
      <c r="M352" s="191"/>
      <c r="N352" s="191"/>
      <c r="O352" s="191"/>
      <c r="P352" s="191"/>
      <c r="Q352" s="191"/>
      <c r="R352" s="191"/>
      <c r="S352" s="191"/>
      <c r="T352" s="191"/>
      <c r="U352" s="191"/>
      <c r="V352" s="191"/>
      <c r="W352" s="191"/>
      <c r="X352" s="191"/>
      <c r="Y352" s="191"/>
      <c r="Z352" s="191"/>
      <c r="AA352" s="191"/>
      <c r="AB352" s="191"/>
      <c r="AC352" s="190"/>
      <c r="AD352" s="190"/>
      <c r="AE352" s="190"/>
      <c r="AF352" s="190"/>
      <c r="AG352" s="190"/>
      <c r="AH352" s="190"/>
      <c r="AI352" s="190"/>
      <c r="AJ352" s="190"/>
      <c r="AK352" s="190"/>
      <c r="AL352" s="190"/>
      <c r="AM352" s="190"/>
    </row>
    <row r="353" spans="2:39">
      <c r="B353" s="162"/>
      <c r="C353" s="162"/>
      <c r="D353" s="191"/>
      <c r="E353" s="191"/>
      <c r="F353" s="191"/>
      <c r="G353" s="191"/>
      <c r="H353" s="191"/>
      <c r="I353" s="191"/>
      <c r="J353" s="191"/>
      <c r="K353" s="191"/>
      <c r="L353" s="191"/>
      <c r="M353" s="191"/>
      <c r="N353" s="191"/>
      <c r="O353" s="191"/>
      <c r="P353" s="191"/>
      <c r="Q353" s="191"/>
      <c r="R353" s="191"/>
      <c r="S353" s="191"/>
      <c r="T353" s="191"/>
      <c r="U353" s="191"/>
      <c r="V353" s="191"/>
      <c r="W353" s="191"/>
      <c r="X353" s="191"/>
      <c r="Y353" s="191"/>
      <c r="Z353" s="191"/>
      <c r="AA353" s="191"/>
      <c r="AB353" s="191"/>
      <c r="AC353" s="190"/>
      <c r="AD353" s="190"/>
      <c r="AE353" s="190"/>
      <c r="AF353" s="190"/>
      <c r="AG353" s="190"/>
      <c r="AH353" s="190"/>
      <c r="AI353" s="190"/>
      <c r="AJ353" s="190"/>
      <c r="AK353" s="190"/>
      <c r="AL353" s="190"/>
      <c r="AM353" s="190"/>
    </row>
    <row r="354" spans="2:39">
      <c r="B354" s="162"/>
      <c r="C354" s="162"/>
      <c r="D354" s="191"/>
      <c r="E354" s="191"/>
      <c r="F354" s="191"/>
      <c r="G354" s="191"/>
      <c r="H354" s="191"/>
      <c r="I354" s="191"/>
      <c r="J354" s="191"/>
      <c r="K354" s="191"/>
      <c r="L354" s="191"/>
      <c r="M354" s="191"/>
      <c r="N354" s="191"/>
      <c r="O354" s="191"/>
      <c r="P354" s="191"/>
      <c r="Q354" s="191"/>
      <c r="R354" s="191"/>
      <c r="S354" s="191"/>
      <c r="T354" s="191"/>
      <c r="U354" s="191"/>
      <c r="V354" s="191"/>
      <c r="W354" s="191"/>
      <c r="X354" s="191"/>
      <c r="Y354" s="191"/>
      <c r="Z354" s="191"/>
      <c r="AA354" s="191"/>
      <c r="AB354" s="191"/>
      <c r="AC354" s="190"/>
      <c r="AD354" s="190"/>
      <c r="AE354" s="190"/>
      <c r="AF354" s="190"/>
      <c r="AG354" s="190"/>
      <c r="AH354" s="190"/>
      <c r="AI354" s="190"/>
      <c r="AJ354" s="190"/>
      <c r="AK354" s="190"/>
      <c r="AL354" s="190"/>
      <c r="AM354" s="190"/>
    </row>
    <row r="355" spans="2:39">
      <c r="B355" s="162"/>
      <c r="C355" s="162"/>
      <c r="D355" s="191"/>
      <c r="E355" s="191"/>
      <c r="F355" s="191"/>
      <c r="G355" s="191"/>
      <c r="H355" s="191"/>
      <c r="I355" s="191"/>
      <c r="J355" s="191"/>
      <c r="K355" s="191"/>
      <c r="L355" s="191"/>
      <c r="M355" s="191"/>
      <c r="N355" s="191"/>
      <c r="O355" s="191"/>
      <c r="P355" s="191"/>
      <c r="Q355" s="191"/>
      <c r="R355" s="191"/>
      <c r="S355" s="191"/>
      <c r="T355" s="191"/>
      <c r="U355" s="191"/>
      <c r="V355" s="191"/>
      <c r="W355" s="191"/>
      <c r="X355" s="191"/>
      <c r="Y355" s="191"/>
      <c r="Z355" s="191"/>
      <c r="AA355" s="191"/>
      <c r="AB355" s="191"/>
      <c r="AC355" s="190"/>
      <c r="AD355" s="190"/>
      <c r="AE355" s="190"/>
      <c r="AF355" s="190"/>
      <c r="AG355" s="190"/>
      <c r="AH355" s="190"/>
      <c r="AI355" s="190"/>
      <c r="AJ355" s="190"/>
      <c r="AK355" s="190"/>
      <c r="AL355" s="190"/>
      <c r="AM355" s="190"/>
    </row>
    <row r="356" spans="2:39">
      <c r="B356" s="162"/>
      <c r="C356" s="162"/>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c r="AA356" s="191"/>
      <c r="AB356" s="191"/>
      <c r="AC356" s="190"/>
      <c r="AD356" s="190"/>
      <c r="AE356" s="190"/>
      <c r="AF356" s="190"/>
      <c r="AG356" s="190"/>
      <c r="AH356" s="190"/>
      <c r="AI356" s="190"/>
      <c r="AJ356" s="190"/>
      <c r="AK356" s="190"/>
      <c r="AL356" s="190"/>
      <c r="AM356" s="190"/>
    </row>
    <row r="357" spans="2:39">
      <c r="B357" s="162"/>
      <c r="C357" s="162"/>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c r="AA357" s="191"/>
      <c r="AB357" s="191"/>
      <c r="AC357" s="190"/>
      <c r="AD357" s="190"/>
      <c r="AE357" s="190"/>
      <c r="AF357" s="190"/>
      <c r="AG357" s="190"/>
      <c r="AH357" s="190"/>
      <c r="AI357" s="190"/>
      <c r="AJ357" s="190"/>
      <c r="AK357" s="190"/>
      <c r="AL357" s="190"/>
      <c r="AM357" s="190"/>
    </row>
    <row r="358" spans="2:39">
      <c r="B358" s="162"/>
      <c r="C358" s="162"/>
      <c r="D358" s="191"/>
      <c r="E358" s="191"/>
      <c r="F358" s="191"/>
      <c r="G358" s="191"/>
      <c r="H358" s="191"/>
      <c r="I358" s="191"/>
      <c r="J358" s="191"/>
      <c r="K358" s="191"/>
      <c r="L358" s="191"/>
      <c r="M358" s="191"/>
      <c r="N358" s="191"/>
      <c r="O358" s="191"/>
      <c r="P358" s="191"/>
      <c r="Q358" s="191"/>
      <c r="R358" s="191"/>
      <c r="S358" s="191"/>
      <c r="T358" s="191"/>
      <c r="U358" s="191"/>
      <c r="V358" s="191"/>
      <c r="W358" s="191"/>
      <c r="X358" s="191"/>
      <c r="Y358" s="191"/>
      <c r="Z358" s="191"/>
      <c r="AA358" s="191"/>
      <c r="AB358" s="191"/>
      <c r="AC358" s="190"/>
      <c r="AD358" s="190"/>
      <c r="AE358" s="190"/>
      <c r="AF358" s="190"/>
      <c r="AG358" s="190"/>
      <c r="AH358" s="190"/>
      <c r="AI358" s="190"/>
      <c r="AJ358" s="190"/>
      <c r="AK358" s="190"/>
      <c r="AL358" s="190"/>
      <c r="AM358" s="190"/>
    </row>
    <row r="359" spans="2:39">
      <c r="B359" s="162"/>
      <c r="C359" s="162"/>
      <c r="D359" s="191"/>
      <c r="E359" s="191"/>
      <c r="F359" s="191"/>
      <c r="G359" s="191"/>
      <c r="H359" s="191"/>
      <c r="I359" s="191"/>
      <c r="J359" s="191"/>
      <c r="K359" s="191"/>
      <c r="L359" s="191"/>
      <c r="M359" s="191"/>
      <c r="N359" s="191"/>
      <c r="O359" s="191"/>
      <c r="P359" s="191"/>
      <c r="Q359" s="191"/>
      <c r="R359" s="191"/>
      <c r="S359" s="191"/>
      <c r="T359" s="191"/>
      <c r="U359" s="191"/>
      <c r="V359" s="191"/>
      <c r="W359" s="191"/>
      <c r="X359" s="191"/>
      <c r="Y359" s="191"/>
      <c r="Z359" s="191"/>
      <c r="AA359" s="191"/>
      <c r="AB359" s="191"/>
      <c r="AC359" s="190"/>
      <c r="AD359" s="190"/>
      <c r="AE359" s="190"/>
      <c r="AF359" s="190"/>
      <c r="AG359" s="190"/>
      <c r="AH359" s="190"/>
      <c r="AI359" s="190"/>
      <c r="AJ359" s="190"/>
      <c r="AK359" s="190"/>
      <c r="AL359" s="190"/>
      <c r="AM359" s="190"/>
    </row>
    <row r="360" spans="2:39">
      <c r="B360" s="162"/>
      <c r="C360" s="162"/>
      <c r="D360" s="191"/>
      <c r="E360" s="191"/>
      <c r="F360" s="191"/>
      <c r="G360" s="191"/>
      <c r="H360" s="191"/>
      <c r="I360" s="191"/>
      <c r="J360" s="191"/>
      <c r="K360" s="191"/>
      <c r="L360" s="191"/>
      <c r="M360" s="191"/>
      <c r="N360" s="191"/>
      <c r="O360" s="191"/>
      <c r="P360" s="191"/>
      <c r="Q360" s="191"/>
      <c r="R360" s="191"/>
      <c r="S360" s="191"/>
      <c r="T360" s="191"/>
      <c r="U360" s="191"/>
      <c r="V360" s="191"/>
      <c r="W360" s="191"/>
      <c r="X360" s="191"/>
      <c r="Y360" s="191"/>
      <c r="Z360" s="191"/>
      <c r="AA360" s="191"/>
      <c r="AB360" s="191"/>
      <c r="AC360" s="190"/>
      <c r="AD360" s="190"/>
      <c r="AE360" s="190"/>
      <c r="AF360" s="190"/>
      <c r="AG360" s="190"/>
      <c r="AH360" s="190"/>
      <c r="AI360" s="190"/>
      <c r="AJ360" s="190"/>
      <c r="AK360" s="190"/>
      <c r="AL360" s="190"/>
      <c r="AM360" s="190"/>
    </row>
    <row r="361" spans="2:39">
      <c r="B361" s="162"/>
      <c r="C361" s="162"/>
      <c r="D361" s="191"/>
      <c r="E361" s="191"/>
      <c r="F361" s="191"/>
      <c r="G361" s="191"/>
      <c r="H361" s="191"/>
      <c r="I361" s="191"/>
      <c r="J361" s="191"/>
      <c r="K361" s="191"/>
      <c r="L361" s="191"/>
      <c r="M361" s="191"/>
      <c r="N361" s="191"/>
      <c r="O361" s="191"/>
      <c r="P361" s="191"/>
      <c r="Q361" s="191"/>
      <c r="R361" s="191"/>
      <c r="S361" s="191"/>
      <c r="T361" s="191"/>
      <c r="U361" s="191"/>
      <c r="V361" s="191"/>
      <c r="W361" s="191"/>
      <c r="X361" s="191"/>
      <c r="Y361" s="191"/>
      <c r="Z361" s="191"/>
      <c r="AA361" s="191"/>
      <c r="AB361" s="191"/>
      <c r="AC361" s="190"/>
      <c r="AD361" s="190"/>
      <c r="AE361" s="190"/>
      <c r="AF361" s="190"/>
      <c r="AG361" s="190"/>
      <c r="AH361" s="190"/>
      <c r="AI361" s="190"/>
      <c r="AJ361" s="190"/>
      <c r="AK361" s="190"/>
      <c r="AL361" s="190"/>
      <c r="AM361" s="190"/>
    </row>
    <row r="362" spans="2:39">
      <c r="B362" s="162"/>
      <c r="C362" s="162"/>
      <c r="D362" s="191"/>
      <c r="E362" s="191"/>
      <c r="F362" s="191"/>
      <c r="G362" s="191"/>
      <c r="H362" s="191"/>
      <c r="I362" s="191"/>
      <c r="J362" s="191"/>
      <c r="K362" s="191"/>
      <c r="L362" s="191"/>
      <c r="M362" s="191"/>
      <c r="N362" s="191"/>
      <c r="O362" s="191"/>
      <c r="P362" s="191"/>
      <c r="Q362" s="191"/>
      <c r="R362" s="191"/>
      <c r="S362" s="191"/>
      <c r="T362" s="191"/>
      <c r="U362" s="191"/>
      <c r="V362" s="191"/>
      <c r="W362" s="191"/>
      <c r="X362" s="191"/>
      <c r="Y362" s="191"/>
      <c r="Z362" s="191"/>
      <c r="AA362" s="191"/>
      <c r="AB362" s="191"/>
      <c r="AC362" s="190"/>
      <c r="AD362" s="190"/>
      <c r="AE362" s="190"/>
      <c r="AF362" s="190"/>
      <c r="AG362" s="190"/>
      <c r="AH362" s="190"/>
      <c r="AI362" s="190"/>
      <c r="AJ362" s="190"/>
      <c r="AK362" s="190"/>
      <c r="AL362" s="190"/>
      <c r="AM362" s="190"/>
    </row>
    <row r="363" spans="2:39">
      <c r="B363" s="162"/>
      <c r="C363" s="162"/>
      <c r="D363" s="191"/>
      <c r="E363" s="191"/>
      <c r="F363" s="191"/>
      <c r="G363" s="191"/>
      <c r="H363" s="191"/>
      <c r="I363" s="191"/>
      <c r="J363" s="191"/>
      <c r="K363" s="191"/>
      <c r="L363" s="191"/>
      <c r="M363" s="191"/>
      <c r="N363" s="191"/>
      <c r="O363" s="191"/>
      <c r="P363" s="191"/>
      <c r="Q363" s="191"/>
      <c r="R363" s="191"/>
      <c r="S363" s="191"/>
      <c r="T363" s="191"/>
      <c r="U363" s="191"/>
      <c r="V363" s="191"/>
      <c r="W363" s="191"/>
      <c r="X363" s="191"/>
      <c r="Y363" s="191"/>
      <c r="Z363" s="191"/>
      <c r="AA363" s="191"/>
      <c r="AB363" s="191"/>
      <c r="AC363" s="190"/>
      <c r="AD363" s="190"/>
      <c r="AE363" s="190"/>
      <c r="AF363" s="190"/>
      <c r="AG363" s="190"/>
      <c r="AH363" s="190"/>
      <c r="AI363" s="190"/>
      <c r="AJ363" s="190"/>
      <c r="AK363" s="190"/>
      <c r="AL363" s="190"/>
      <c r="AM363" s="190"/>
    </row>
    <row r="364" spans="2:39">
      <c r="B364" s="162"/>
      <c r="C364" s="162"/>
      <c r="D364" s="191"/>
      <c r="E364" s="191"/>
      <c r="F364" s="191"/>
      <c r="G364" s="191"/>
      <c r="H364" s="191"/>
      <c r="I364" s="191"/>
      <c r="J364" s="191"/>
      <c r="K364" s="191"/>
      <c r="L364" s="191"/>
      <c r="M364" s="191"/>
      <c r="N364" s="191"/>
      <c r="O364" s="191"/>
      <c r="P364" s="191"/>
      <c r="Q364" s="191"/>
      <c r="R364" s="191"/>
      <c r="S364" s="191"/>
      <c r="T364" s="191"/>
      <c r="U364" s="191"/>
      <c r="V364" s="191"/>
      <c r="W364" s="191"/>
      <c r="X364" s="191"/>
      <c r="Y364" s="191"/>
      <c r="Z364" s="191"/>
      <c r="AA364" s="191"/>
      <c r="AB364" s="191"/>
      <c r="AC364" s="190"/>
      <c r="AD364" s="190"/>
      <c r="AE364" s="190"/>
      <c r="AF364" s="190"/>
      <c r="AG364" s="190"/>
      <c r="AH364" s="190"/>
      <c r="AI364" s="190"/>
      <c r="AJ364" s="190"/>
      <c r="AK364" s="190"/>
      <c r="AL364" s="190"/>
      <c r="AM364" s="190"/>
    </row>
    <row r="365" spans="2:39">
      <c r="B365" s="162"/>
      <c r="C365" s="162"/>
      <c r="D365" s="191"/>
      <c r="E365" s="191"/>
      <c r="F365" s="191"/>
      <c r="G365" s="191"/>
      <c r="H365" s="191"/>
      <c r="I365" s="191"/>
      <c r="J365" s="191"/>
      <c r="K365" s="191"/>
      <c r="L365" s="191"/>
      <c r="M365" s="191"/>
      <c r="N365" s="191"/>
      <c r="O365" s="191"/>
      <c r="P365" s="191"/>
      <c r="Q365" s="191"/>
      <c r="R365" s="191"/>
      <c r="S365" s="191"/>
      <c r="T365" s="191"/>
      <c r="U365" s="191"/>
      <c r="V365" s="191"/>
      <c r="W365" s="191"/>
      <c r="X365" s="191"/>
      <c r="Y365" s="191"/>
      <c r="Z365" s="191"/>
      <c r="AA365" s="191"/>
      <c r="AB365" s="191"/>
      <c r="AC365" s="190"/>
      <c r="AD365" s="190"/>
      <c r="AE365" s="190"/>
      <c r="AF365" s="190"/>
      <c r="AG365" s="190"/>
      <c r="AH365" s="190"/>
      <c r="AI365" s="190"/>
      <c r="AJ365" s="190"/>
      <c r="AK365" s="190"/>
      <c r="AL365" s="190"/>
      <c r="AM365" s="190"/>
    </row>
    <row r="366" spans="2:39">
      <c r="B366" s="162"/>
      <c r="C366" s="162"/>
      <c r="D366" s="191"/>
      <c r="E366" s="191"/>
      <c r="F366" s="191"/>
      <c r="G366" s="191"/>
      <c r="H366" s="191"/>
      <c r="I366" s="191"/>
      <c r="J366" s="191"/>
      <c r="K366" s="191"/>
      <c r="L366" s="191"/>
      <c r="M366" s="191"/>
      <c r="N366" s="191"/>
      <c r="O366" s="191"/>
      <c r="P366" s="191"/>
      <c r="Q366" s="191"/>
      <c r="R366" s="191"/>
      <c r="S366" s="191"/>
      <c r="T366" s="191"/>
      <c r="U366" s="191"/>
      <c r="V366" s="191"/>
      <c r="W366" s="191"/>
      <c r="X366" s="191"/>
      <c r="Y366" s="191"/>
      <c r="Z366" s="191"/>
      <c r="AA366" s="191"/>
      <c r="AB366" s="191"/>
      <c r="AC366" s="190"/>
      <c r="AD366" s="190"/>
      <c r="AE366" s="190"/>
      <c r="AF366" s="190"/>
      <c r="AG366" s="190"/>
      <c r="AH366" s="190"/>
      <c r="AI366" s="190"/>
      <c r="AJ366" s="190"/>
      <c r="AK366" s="190"/>
      <c r="AL366" s="190"/>
      <c r="AM366" s="190"/>
    </row>
    <row r="367" spans="2:39">
      <c r="B367" s="162"/>
      <c r="C367" s="162"/>
      <c r="D367" s="191"/>
      <c r="E367" s="191"/>
      <c r="F367" s="191"/>
      <c r="G367" s="191"/>
      <c r="H367" s="191"/>
      <c r="I367" s="191"/>
      <c r="J367" s="191"/>
      <c r="K367" s="191"/>
      <c r="L367" s="191"/>
      <c r="M367" s="191"/>
      <c r="N367" s="191"/>
      <c r="O367" s="191"/>
      <c r="P367" s="191"/>
      <c r="Q367" s="191"/>
      <c r="R367" s="191"/>
      <c r="S367" s="191"/>
      <c r="T367" s="191"/>
      <c r="U367" s="191"/>
      <c r="V367" s="191"/>
      <c r="W367" s="191"/>
      <c r="X367" s="191"/>
      <c r="Y367" s="191"/>
      <c r="Z367" s="191"/>
      <c r="AA367" s="191"/>
      <c r="AB367" s="191"/>
      <c r="AC367" s="190"/>
      <c r="AD367" s="190"/>
      <c r="AE367" s="190"/>
      <c r="AF367" s="190"/>
      <c r="AG367" s="190"/>
      <c r="AH367" s="190"/>
      <c r="AI367" s="190"/>
      <c r="AJ367" s="190"/>
      <c r="AK367" s="190"/>
      <c r="AL367" s="190"/>
      <c r="AM367" s="190"/>
    </row>
    <row r="368" spans="2:39">
      <c r="B368" s="162"/>
      <c r="C368" s="162"/>
      <c r="D368" s="191"/>
      <c r="E368" s="191"/>
      <c r="F368" s="191"/>
      <c r="G368" s="191"/>
      <c r="H368" s="191"/>
      <c r="I368" s="191"/>
      <c r="J368" s="191"/>
      <c r="K368" s="191"/>
      <c r="L368" s="191"/>
      <c r="M368" s="191"/>
      <c r="N368" s="191"/>
      <c r="O368" s="191"/>
      <c r="P368" s="191"/>
      <c r="Q368" s="191"/>
      <c r="R368" s="191"/>
      <c r="S368" s="191"/>
      <c r="T368" s="191"/>
      <c r="U368" s="191"/>
      <c r="V368" s="191"/>
      <c r="W368" s="191"/>
      <c r="X368" s="191"/>
      <c r="Y368" s="191"/>
      <c r="Z368" s="191"/>
      <c r="AA368" s="191"/>
      <c r="AB368" s="191"/>
      <c r="AC368" s="190"/>
      <c r="AD368" s="190"/>
      <c r="AE368" s="190"/>
      <c r="AF368" s="190"/>
      <c r="AG368" s="190"/>
      <c r="AH368" s="190"/>
      <c r="AI368" s="190"/>
      <c r="AJ368" s="190"/>
      <c r="AK368" s="190"/>
      <c r="AL368" s="190"/>
      <c r="AM368" s="190"/>
    </row>
    <row r="369" spans="2:39">
      <c r="B369" s="162"/>
      <c r="C369" s="162"/>
      <c r="D369" s="191"/>
      <c r="E369" s="191"/>
      <c r="F369" s="191"/>
      <c r="G369" s="191"/>
      <c r="H369" s="191"/>
      <c r="I369" s="191"/>
      <c r="J369" s="191"/>
      <c r="K369" s="191"/>
      <c r="L369" s="191"/>
      <c r="M369" s="191"/>
      <c r="N369" s="191"/>
      <c r="O369" s="191"/>
      <c r="P369" s="191"/>
      <c r="Q369" s="191"/>
      <c r="R369" s="191"/>
      <c r="S369" s="191"/>
      <c r="T369" s="191"/>
      <c r="U369" s="191"/>
      <c r="V369" s="191"/>
      <c r="W369" s="191"/>
      <c r="X369" s="191"/>
      <c r="Y369" s="191"/>
      <c r="Z369" s="191"/>
      <c r="AA369" s="191"/>
      <c r="AB369" s="191"/>
      <c r="AC369" s="190"/>
      <c r="AD369" s="190"/>
      <c r="AE369" s="190"/>
      <c r="AF369" s="190"/>
      <c r="AG369" s="190"/>
      <c r="AH369" s="190"/>
      <c r="AI369" s="190"/>
      <c r="AJ369" s="190"/>
      <c r="AK369" s="190"/>
      <c r="AL369" s="190"/>
      <c r="AM369" s="190"/>
    </row>
    <row r="370" spans="2:39">
      <c r="B370" s="162"/>
      <c r="C370" s="162"/>
      <c r="D370" s="191"/>
      <c r="E370" s="191"/>
      <c r="F370" s="191"/>
      <c r="G370" s="191"/>
      <c r="H370" s="191"/>
      <c r="I370" s="191"/>
      <c r="J370" s="191"/>
      <c r="K370" s="191"/>
      <c r="L370" s="191"/>
      <c r="M370" s="191"/>
      <c r="N370" s="191"/>
      <c r="O370" s="191"/>
      <c r="P370" s="191"/>
      <c r="Q370" s="191"/>
      <c r="R370" s="191"/>
      <c r="S370" s="191"/>
      <c r="T370" s="191"/>
      <c r="U370" s="191"/>
      <c r="V370" s="191"/>
      <c r="W370" s="191"/>
      <c r="X370" s="191"/>
      <c r="Y370" s="191"/>
      <c r="Z370" s="191"/>
      <c r="AA370" s="191"/>
      <c r="AB370" s="191"/>
      <c r="AC370" s="190"/>
      <c r="AD370" s="190"/>
      <c r="AE370" s="190"/>
      <c r="AF370" s="190"/>
      <c r="AG370" s="190"/>
      <c r="AH370" s="190"/>
      <c r="AI370" s="190"/>
      <c r="AJ370" s="190"/>
      <c r="AK370" s="190"/>
      <c r="AL370" s="190"/>
      <c r="AM370" s="190"/>
    </row>
    <row r="371" spans="2:39">
      <c r="B371" s="162"/>
      <c r="C371" s="162"/>
      <c r="D371" s="191"/>
      <c r="E371" s="191"/>
      <c r="F371" s="191"/>
      <c r="G371" s="191"/>
      <c r="H371" s="191"/>
      <c r="I371" s="191"/>
      <c r="J371" s="191"/>
      <c r="K371" s="191"/>
      <c r="L371" s="191"/>
      <c r="M371" s="191"/>
      <c r="N371" s="191"/>
      <c r="O371" s="191"/>
      <c r="P371" s="191"/>
      <c r="Q371" s="191"/>
      <c r="R371" s="191"/>
      <c r="S371" s="191"/>
      <c r="T371" s="191"/>
      <c r="U371" s="191"/>
      <c r="V371" s="191"/>
      <c r="W371" s="191"/>
      <c r="X371" s="191"/>
      <c r="Y371" s="191"/>
      <c r="Z371" s="191"/>
      <c r="AA371" s="191"/>
      <c r="AB371" s="191"/>
      <c r="AC371" s="190"/>
      <c r="AD371" s="190"/>
      <c r="AE371" s="190"/>
      <c r="AF371" s="190"/>
      <c r="AG371" s="190"/>
      <c r="AH371" s="190"/>
      <c r="AI371" s="190"/>
      <c r="AJ371" s="190"/>
      <c r="AK371" s="190"/>
      <c r="AL371" s="190"/>
      <c r="AM371" s="190"/>
    </row>
    <row r="372" spans="2:39">
      <c r="B372" s="162"/>
      <c r="C372" s="162"/>
      <c r="D372" s="191"/>
      <c r="E372" s="191"/>
      <c r="F372" s="191"/>
      <c r="G372" s="191"/>
      <c r="H372" s="191"/>
      <c r="I372" s="191"/>
      <c r="J372" s="191"/>
      <c r="K372" s="191"/>
      <c r="L372" s="191"/>
      <c r="M372" s="191"/>
      <c r="N372" s="191"/>
      <c r="O372" s="191"/>
      <c r="P372" s="191"/>
      <c r="Q372" s="191"/>
      <c r="R372" s="191"/>
      <c r="S372" s="191"/>
      <c r="T372" s="191"/>
      <c r="U372" s="191"/>
      <c r="V372" s="191"/>
      <c r="W372" s="191"/>
      <c r="X372" s="191"/>
      <c r="Y372" s="191"/>
      <c r="Z372" s="191"/>
      <c r="AA372" s="191"/>
      <c r="AB372" s="191"/>
      <c r="AC372" s="190"/>
      <c r="AD372" s="190"/>
      <c r="AE372" s="190"/>
      <c r="AF372" s="190"/>
      <c r="AG372" s="190"/>
      <c r="AH372" s="190"/>
      <c r="AI372" s="190"/>
      <c r="AJ372" s="190"/>
      <c r="AK372" s="190"/>
      <c r="AL372" s="190"/>
      <c r="AM372" s="190"/>
    </row>
    <row r="373" spans="2:39">
      <c r="B373" s="162"/>
      <c r="C373" s="162"/>
      <c r="D373" s="191"/>
      <c r="E373" s="191"/>
      <c r="F373" s="191"/>
      <c r="G373" s="191"/>
      <c r="H373" s="191"/>
      <c r="I373" s="191"/>
      <c r="J373" s="191"/>
      <c r="K373" s="191"/>
      <c r="L373" s="191"/>
      <c r="M373" s="191"/>
      <c r="N373" s="191"/>
      <c r="O373" s="191"/>
      <c r="P373" s="191"/>
      <c r="Q373" s="191"/>
      <c r="R373" s="191"/>
      <c r="S373" s="191"/>
      <c r="T373" s="191"/>
      <c r="U373" s="191"/>
      <c r="V373" s="191"/>
      <c r="W373" s="191"/>
      <c r="X373" s="191"/>
      <c r="Y373" s="191"/>
      <c r="Z373" s="191"/>
      <c r="AA373" s="191"/>
      <c r="AB373" s="191"/>
      <c r="AC373" s="190"/>
      <c r="AD373" s="190"/>
      <c r="AE373" s="190"/>
      <c r="AF373" s="190"/>
      <c r="AG373" s="190"/>
      <c r="AH373" s="190"/>
      <c r="AI373" s="190"/>
      <c r="AJ373" s="190"/>
      <c r="AK373" s="190"/>
      <c r="AL373" s="190"/>
      <c r="AM373" s="190"/>
    </row>
    <row r="374" spans="2:39">
      <c r="B374" s="162"/>
      <c r="C374" s="162"/>
      <c r="D374" s="191"/>
      <c r="E374" s="191"/>
      <c r="F374" s="191"/>
      <c r="G374" s="191"/>
      <c r="H374" s="191"/>
      <c r="I374" s="191"/>
      <c r="J374" s="191"/>
      <c r="K374" s="191"/>
      <c r="L374" s="191"/>
      <c r="M374" s="191"/>
      <c r="N374" s="191"/>
      <c r="O374" s="191"/>
      <c r="P374" s="191"/>
      <c r="Q374" s="191"/>
      <c r="R374" s="191"/>
      <c r="S374" s="191"/>
      <c r="T374" s="191"/>
      <c r="U374" s="191"/>
      <c r="V374" s="191"/>
      <c r="W374" s="191"/>
      <c r="X374" s="191"/>
      <c r="Y374" s="191"/>
      <c r="Z374" s="191"/>
      <c r="AA374" s="191"/>
      <c r="AB374" s="191"/>
      <c r="AC374" s="190"/>
      <c r="AD374" s="190"/>
      <c r="AE374" s="190"/>
      <c r="AF374" s="190"/>
      <c r="AG374" s="190"/>
      <c r="AH374" s="190"/>
      <c r="AI374" s="190"/>
      <c r="AJ374" s="190"/>
      <c r="AK374" s="190"/>
      <c r="AL374" s="190"/>
      <c r="AM374" s="190"/>
    </row>
    <row r="375" spans="2:39">
      <c r="B375" s="162"/>
      <c r="C375" s="162"/>
      <c r="D375" s="191"/>
      <c r="E375" s="191"/>
      <c r="F375" s="191"/>
      <c r="G375" s="191"/>
      <c r="H375" s="191"/>
      <c r="I375" s="191"/>
      <c r="J375" s="191"/>
      <c r="K375" s="191"/>
      <c r="L375" s="191"/>
      <c r="M375" s="191"/>
      <c r="N375" s="191"/>
      <c r="O375" s="191"/>
      <c r="P375" s="191"/>
      <c r="Q375" s="191"/>
      <c r="R375" s="191"/>
      <c r="S375" s="191"/>
      <c r="T375" s="191"/>
      <c r="U375" s="191"/>
      <c r="V375" s="191"/>
      <c r="W375" s="191"/>
      <c r="X375" s="191"/>
      <c r="Y375" s="191"/>
      <c r="Z375" s="191"/>
      <c r="AA375" s="191"/>
      <c r="AB375" s="191"/>
      <c r="AC375" s="190"/>
      <c r="AD375" s="190"/>
      <c r="AE375" s="190"/>
      <c r="AF375" s="190"/>
      <c r="AG375" s="190"/>
      <c r="AH375" s="190"/>
      <c r="AI375" s="190"/>
      <c r="AJ375" s="190"/>
      <c r="AK375" s="190"/>
      <c r="AL375" s="190"/>
      <c r="AM375" s="190"/>
    </row>
    <row r="376" spans="2:39">
      <c r="B376" s="162"/>
      <c r="C376" s="162"/>
      <c r="D376" s="191"/>
      <c r="E376" s="191"/>
      <c r="F376" s="191"/>
      <c r="G376" s="191"/>
      <c r="H376" s="191"/>
      <c r="I376" s="191"/>
      <c r="J376" s="191"/>
      <c r="K376" s="191"/>
      <c r="L376" s="191"/>
      <c r="M376" s="191"/>
      <c r="N376" s="191"/>
      <c r="O376" s="191"/>
      <c r="P376" s="191"/>
      <c r="Q376" s="191"/>
      <c r="R376" s="191"/>
      <c r="S376" s="191"/>
      <c r="T376" s="191"/>
      <c r="U376" s="191"/>
      <c r="V376" s="191"/>
      <c r="W376" s="191"/>
      <c r="X376" s="191"/>
      <c r="Y376" s="191"/>
      <c r="Z376" s="191"/>
      <c r="AA376" s="191"/>
      <c r="AB376" s="191"/>
      <c r="AC376" s="190"/>
      <c r="AD376" s="190"/>
      <c r="AE376" s="190"/>
      <c r="AF376" s="190"/>
      <c r="AG376" s="190"/>
      <c r="AH376" s="190"/>
      <c r="AI376" s="190"/>
      <c r="AJ376" s="190"/>
      <c r="AK376" s="190"/>
      <c r="AL376" s="190"/>
      <c r="AM376" s="190"/>
    </row>
    <row r="377" spans="2:39">
      <c r="B377" s="162"/>
      <c r="C377" s="162"/>
      <c r="D377" s="191"/>
      <c r="E377" s="191"/>
      <c r="F377" s="191"/>
      <c r="G377" s="191"/>
      <c r="H377" s="191"/>
      <c r="I377" s="191"/>
      <c r="J377" s="191"/>
      <c r="K377" s="191"/>
      <c r="L377" s="191"/>
      <c r="M377" s="191"/>
      <c r="N377" s="191"/>
      <c r="O377" s="191"/>
      <c r="P377" s="191"/>
      <c r="Q377" s="191"/>
      <c r="R377" s="191"/>
      <c r="S377" s="191"/>
      <c r="T377" s="191"/>
      <c r="U377" s="191"/>
      <c r="V377" s="191"/>
      <c r="W377" s="191"/>
      <c r="X377" s="191"/>
      <c r="Y377" s="191"/>
      <c r="Z377" s="191"/>
      <c r="AA377" s="191"/>
      <c r="AB377" s="191"/>
      <c r="AC377" s="190"/>
      <c r="AD377" s="190"/>
      <c r="AE377" s="190"/>
      <c r="AF377" s="190"/>
      <c r="AG377" s="190"/>
      <c r="AH377" s="190"/>
      <c r="AI377" s="190"/>
      <c r="AJ377" s="190"/>
      <c r="AK377" s="190"/>
      <c r="AL377" s="190"/>
      <c r="AM377" s="190"/>
    </row>
    <row r="378" spans="2:39">
      <c r="B378" s="162"/>
      <c r="C378" s="162"/>
      <c r="D378" s="191"/>
      <c r="E378" s="191"/>
      <c r="F378" s="191"/>
      <c r="G378" s="191"/>
      <c r="H378" s="191"/>
      <c r="I378" s="191"/>
      <c r="J378" s="191"/>
      <c r="K378" s="191"/>
      <c r="L378" s="191"/>
      <c r="M378" s="191"/>
      <c r="N378" s="191"/>
      <c r="O378" s="191"/>
      <c r="P378" s="191"/>
      <c r="Q378" s="191"/>
      <c r="R378" s="191"/>
      <c r="S378" s="191"/>
      <c r="T378" s="191"/>
      <c r="U378" s="191"/>
      <c r="V378" s="191"/>
      <c r="W378" s="191"/>
      <c r="X378" s="191"/>
      <c r="Y378" s="191"/>
      <c r="Z378" s="191"/>
      <c r="AA378" s="191"/>
      <c r="AB378" s="191"/>
      <c r="AC378" s="190"/>
      <c r="AD378" s="190"/>
      <c r="AE378" s="190"/>
      <c r="AF378" s="190"/>
      <c r="AG378" s="190"/>
      <c r="AH378" s="190"/>
      <c r="AI378" s="190"/>
      <c r="AJ378" s="190"/>
      <c r="AK378" s="190"/>
      <c r="AL378" s="190"/>
      <c r="AM378" s="190"/>
    </row>
    <row r="379" spans="2:39">
      <c r="B379" s="162"/>
      <c r="C379" s="162"/>
      <c r="D379" s="191"/>
      <c r="E379" s="191"/>
      <c r="F379" s="191"/>
      <c r="G379" s="191"/>
      <c r="H379" s="191"/>
      <c r="I379" s="191"/>
      <c r="J379" s="191"/>
      <c r="K379" s="191"/>
      <c r="L379" s="191"/>
      <c r="M379" s="191"/>
      <c r="N379" s="191"/>
      <c r="O379" s="191"/>
      <c r="P379" s="191"/>
      <c r="Q379" s="191"/>
      <c r="R379" s="191"/>
      <c r="S379" s="191"/>
      <c r="T379" s="191"/>
      <c r="U379" s="191"/>
      <c r="V379" s="191"/>
      <c r="W379" s="191"/>
      <c r="X379" s="191"/>
      <c r="Y379" s="191"/>
      <c r="Z379" s="191"/>
      <c r="AA379" s="191"/>
      <c r="AB379" s="191"/>
      <c r="AC379" s="190"/>
      <c r="AD379" s="190"/>
      <c r="AE379" s="190"/>
      <c r="AF379" s="190"/>
      <c r="AG379" s="190"/>
      <c r="AH379" s="190"/>
      <c r="AI379" s="190"/>
      <c r="AJ379" s="190"/>
      <c r="AK379" s="190"/>
      <c r="AL379" s="190"/>
      <c r="AM379" s="190"/>
    </row>
    <row r="380" spans="2:39">
      <c r="B380" s="162"/>
      <c r="C380" s="162"/>
      <c r="D380" s="191"/>
      <c r="E380" s="191"/>
      <c r="F380" s="191"/>
      <c r="G380" s="191"/>
      <c r="H380" s="191"/>
      <c r="I380" s="191"/>
      <c r="J380" s="191"/>
      <c r="K380" s="191"/>
      <c r="L380" s="191"/>
      <c r="M380" s="191"/>
      <c r="N380" s="191"/>
      <c r="O380" s="191"/>
      <c r="P380" s="191"/>
      <c r="Q380" s="191"/>
      <c r="R380" s="191"/>
      <c r="S380" s="191"/>
      <c r="T380" s="191"/>
      <c r="U380" s="191"/>
      <c r="V380" s="191"/>
      <c r="W380" s="191"/>
      <c r="X380" s="191"/>
      <c r="Y380" s="191"/>
      <c r="Z380" s="191"/>
      <c r="AA380" s="191"/>
      <c r="AB380" s="191"/>
      <c r="AC380" s="190"/>
      <c r="AD380" s="190"/>
      <c r="AE380" s="190"/>
      <c r="AF380" s="190"/>
      <c r="AG380" s="190"/>
      <c r="AH380" s="190"/>
      <c r="AI380" s="190"/>
      <c r="AJ380" s="190"/>
      <c r="AK380" s="190"/>
      <c r="AL380" s="190"/>
      <c r="AM380" s="190"/>
    </row>
    <row r="381" spans="2:39">
      <c r="B381" s="162"/>
      <c r="C381" s="162"/>
      <c r="D381" s="191"/>
      <c r="E381" s="191"/>
      <c r="F381" s="191"/>
      <c r="G381" s="191"/>
      <c r="H381" s="191"/>
      <c r="I381" s="191"/>
      <c r="J381" s="191"/>
      <c r="K381" s="191"/>
      <c r="L381" s="191"/>
      <c r="M381" s="191"/>
      <c r="N381" s="191"/>
      <c r="O381" s="191"/>
      <c r="P381" s="191"/>
      <c r="Q381" s="191"/>
      <c r="R381" s="191"/>
      <c r="S381" s="191"/>
      <c r="T381" s="191"/>
      <c r="U381" s="191"/>
      <c r="V381" s="191"/>
      <c r="W381" s="191"/>
      <c r="X381" s="191"/>
      <c r="Y381" s="191"/>
      <c r="Z381" s="191"/>
      <c r="AA381" s="191"/>
      <c r="AB381" s="191"/>
      <c r="AC381" s="190"/>
      <c r="AD381" s="190"/>
      <c r="AE381" s="190"/>
      <c r="AF381" s="190"/>
      <c r="AG381" s="190"/>
      <c r="AH381" s="190"/>
      <c r="AI381" s="190"/>
      <c r="AJ381" s="190"/>
      <c r="AK381" s="190"/>
      <c r="AL381" s="190"/>
      <c r="AM381" s="190"/>
    </row>
    <row r="382" spans="2:39">
      <c r="B382" s="162"/>
      <c r="C382" s="162"/>
      <c r="D382" s="191"/>
      <c r="E382" s="191"/>
      <c r="F382" s="191"/>
      <c r="G382" s="191"/>
      <c r="H382" s="191"/>
      <c r="I382" s="191"/>
      <c r="J382" s="191"/>
      <c r="K382" s="191"/>
      <c r="L382" s="191"/>
      <c r="M382" s="191"/>
      <c r="N382" s="191"/>
      <c r="O382" s="191"/>
      <c r="P382" s="191"/>
      <c r="Q382" s="191"/>
      <c r="R382" s="191"/>
      <c r="S382" s="191"/>
      <c r="T382" s="191"/>
      <c r="U382" s="191"/>
      <c r="V382" s="191"/>
      <c r="W382" s="191"/>
      <c r="X382" s="191"/>
      <c r="Y382" s="191"/>
      <c r="Z382" s="191"/>
      <c r="AA382" s="191"/>
      <c r="AB382" s="191"/>
      <c r="AC382" s="190"/>
      <c r="AD382" s="190"/>
      <c r="AE382" s="190"/>
      <c r="AF382" s="190"/>
      <c r="AG382" s="190"/>
      <c r="AH382" s="190"/>
      <c r="AI382" s="190"/>
      <c r="AJ382" s="190"/>
      <c r="AK382" s="190"/>
      <c r="AL382" s="190"/>
      <c r="AM382" s="190"/>
    </row>
    <row r="383" spans="2:39">
      <c r="B383" s="162"/>
      <c r="C383" s="162"/>
      <c r="D383" s="191"/>
      <c r="E383" s="191"/>
      <c r="F383" s="191"/>
      <c r="G383" s="191"/>
      <c r="H383" s="191"/>
      <c r="I383" s="191"/>
      <c r="J383" s="191"/>
      <c r="K383" s="191"/>
      <c r="L383" s="191"/>
      <c r="M383" s="191"/>
      <c r="N383" s="191"/>
      <c r="O383" s="191"/>
      <c r="P383" s="191"/>
      <c r="Q383" s="191"/>
      <c r="R383" s="191"/>
      <c r="S383" s="191"/>
      <c r="T383" s="191"/>
      <c r="U383" s="191"/>
      <c r="V383" s="191"/>
      <c r="W383" s="191"/>
      <c r="X383" s="191"/>
      <c r="Y383" s="191"/>
      <c r="Z383" s="191"/>
      <c r="AA383" s="191"/>
      <c r="AB383" s="191"/>
      <c r="AC383" s="190"/>
      <c r="AD383" s="190"/>
      <c r="AE383" s="190"/>
      <c r="AF383" s="190"/>
      <c r="AG383" s="190"/>
      <c r="AH383" s="190"/>
      <c r="AI383" s="190"/>
      <c r="AJ383" s="190"/>
      <c r="AK383" s="190"/>
      <c r="AL383" s="190"/>
      <c r="AM383" s="190"/>
    </row>
    <row r="384" spans="2:39">
      <c r="B384" s="162"/>
      <c r="C384" s="162"/>
      <c r="D384" s="191"/>
      <c r="E384" s="191"/>
      <c r="F384" s="191"/>
      <c r="G384" s="191"/>
      <c r="H384" s="191"/>
      <c r="I384" s="191"/>
      <c r="J384" s="191"/>
      <c r="K384" s="191"/>
      <c r="L384" s="191"/>
      <c r="M384" s="191"/>
      <c r="N384" s="191"/>
      <c r="O384" s="191"/>
      <c r="P384" s="191"/>
      <c r="Q384" s="191"/>
      <c r="R384" s="191"/>
      <c r="S384" s="191"/>
      <c r="T384" s="191"/>
      <c r="U384" s="191"/>
      <c r="V384" s="191"/>
      <c r="W384" s="191"/>
      <c r="X384" s="191"/>
      <c r="Y384" s="191"/>
      <c r="Z384" s="191"/>
      <c r="AA384" s="191"/>
      <c r="AB384" s="191"/>
      <c r="AC384" s="190"/>
      <c r="AD384" s="190"/>
      <c r="AE384" s="190"/>
      <c r="AF384" s="190"/>
      <c r="AG384" s="190"/>
      <c r="AH384" s="190"/>
      <c r="AI384" s="190"/>
      <c r="AJ384" s="190"/>
      <c r="AK384" s="190"/>
      <c r="AL384" s="190"/>
      <c r="AM384" s="190"/>
    </row>
    <row r="385" spans="2:39">
      <c r="B385" s="162"/>
      <c r="C385" s="162"/>
      <c r="D385" s="191"/>
      <c r="E385" s="191"/>
      <c r="F385" s="191"/>
      <c r="G385" s="191"/>
      <c r="H385" s="191"/>
      <c r="I385" s="191"/>
      <c r="J385" s="191"/>
      <c r="K385" s="191"/>
      <c r="L385" s="191"/>
      <c r="M385" s="191"/>
      <c r="N385" s="191"/>
      <c r="O385" s="191"/>
      <c r="P385" s="191"/>
      <c r="Q385" s="191"/>
      <c r="R385" s="191"/>
      <c r="S385" s="191"/>
      <c r="T385" s="191"/>
      <c r="U385" s="191"/>
      <c r="V385" s="191"/>
      <c r="W385" s="191"/>
      <c r="X385" s="191"/>
      <c r="Y385" s="191"/>
      <c r="Z385" s="191"/>
      <c r="AA385" s="191"/>
      <c r="AB385" s="191"/>
      <c r="AC385" s="190"/>
      <c r="AD385" s="190"/>
      <c r="AE385" s="190"/>
      <c r="AF385" s="190"/>
      <c r="AG385" s="190"/>
      <c r="AH385" s="190"/>
      <c r="AI385" s="190"/>
      <c r="AJ385" s="190"/>
      <c r="AK385" s="190"/>
      <c r="AL385" s="190"/>
      <c r="AM385" s="190"/>
    </row>
    <row r="386" spans="2:39">
      <c r="B386" s="162"/>
      <c r="C386" s="162"/>
      <c r="D386" s="191"/>
      <c r="E386" s="191"/>
      <c r="F386" s="191"/>
      <c r="G386" s="191"/>
      <c r="H386" s="191"/>
      <c r="I386" s="191"/>
      <c r="J386" s="191"/>
      <c r="K386" s="191"/>
      <c r="L386" s="191"/>
      <c r="M386" s="191"/>
      <c r="N386" s="191"/>
      <c r="O386" s="191"/>
      <c r="P386" s="191"/>
      <c r="Q386" s="191"/>
      <c r="R386" s="191"/>
      <c r="S386" s="191"/>
      <c r="T386" s="191"/>
      <c r="U386" s="191"/>
      <c r="V386" s="191"/>
      <c r="W386" s="191"/>
      <c r="X386" s="191"/>
      <c r="Y386" s="191"/>
      <c r="Z386" s="191"/>
      <c r="AA386" s="191"/>
      <c r="AB386" s="191"/>
      <c r="AC386" s="190"/>
      <c r="AD386" s="190"/>
      <c r="AE386" s="190"/>
      <c r="AF386" s="190"/>
      <c r="AG386" s="190"/>
      <c r="AH386" s="190"/>
      <c r="AI386" s="190"/>
      <c r="AJ386" s="190"/>
      <c r="AK386" s="190"/>
      <c r="AL386" s="190"/>
      <c r="AM386" s="190"/>
    </row>
    <row r="387" spans="2:39">
      <c r="B387" s="162"/>
      <c r="C387" s="162"/>
      <c r="D387" s="191"/>
      <c r="E387" s="191"/>
      <c r="F387" s="191"/>
      <c r="G387" s="191"/>
      <c r="H387" s="191"/>
      <c r="I387" s="191"/>
      <c r="J387" s="191"/>
      <c r="K387" s="191"/>
      <c r="L387" s="191"/>
      <c r="M387" s="191"/>
      <c r="N387" s="191"/>
      <c r="O387" s="191"/>
      <c r="P387" s="191"/>
      <c r="Q387" s="191"/>
      <c r="R387" s="191"/>
      <c r="S387" s="191"/>
      <c r="T387" s="191"/>
      <c r="U387" s="191"/>
      <c r="V387" s="191"/>
      <c r="W387" s="191"/>
      <c r="X387" s="191"/>
      <c r="Y387" s="191"/>
      <c r="Z387" s="191"/>
      <c r="AA387" s="191"/>
      <c r="AB387" s="191"/>
      <c r="AC387" s="190"/>
      <c r="AD387" s="190"/>
      <c r="AE387" s="190"/>
      <c r="AF387" s="190"/>
      <c r="AG387" s="190"/>
      <c r="AH387" s="190"/>
      <c r="AI387" s="190"/>
      <c r="AJ387" s="190"/>
      <c r="AK387" s="190"/>
      <c r="AL387" s="190"/>
      <c r="AM387" s="190"/>
    </row>
    <row r="388" spans="2:39">
      <c r="B388" s="162"/>
      <c r="C388" s="162"/>
      <c r="D388" s="191"/>
      <c r="E388" s="191"/>
      <c r="F388" s="191"/>
      <c r="G388" s="191"/>
      <c r="H388" s="191"/>
      <c r="I388" s="191"/>
      <c r="J388" s="191"/>
      <c r="K388" s="191"/>
      <c r="L388" s="191"/>
      <c r="M388" s="191"/>
      <c r="N388" s="191"/>
      <c r="O388" s="191"/>
      <c r="P388" s="191"/>
      <c r="Q388" s="191"/>
      <c r="R388" s="191"/>
      <c r="S388" s="191"/>
      <c r="T388" s="191"/>
      <c r="U388" s="191"/>
      <c r="V388" s="191"/>
      <c r="W388" s="191"/>
      <c r="X388" s="191"/>
      <c r="Y388" s="191"/>
      <c r="Z388" s="191"/>
      <c r="AA388" s="191"/>
      <c r="AB388" s="191"/>
      <c r="AC388" s="190"/>
      <c r="AD388" s="190"/>
      <c r="AE388" s="190"/>
      <c r="AF388" s="190"/>
      <c r="AG388" s="190"/>
      <c r="AH388" s="190"/>
      <c r="AI388" s="190"/>
      <c r="AJ388" s="190"/>
      <c r="AK388" s="190"/>
      <c r="AL388" s="190"/>
      <c r="AM388" s="190"/>
    </row>
    <row r="389" spans="2:39">
      <c r="B389" s="162"/>
      <c r="C389" s="162"/>
      <c r="D389" s="191"/>
      <c r="E389" s="191"/>
      <c r="F389" s="191"/>
      <c r="G389" s="191"/>
      <c r="H389" s="191"/>
      <c r="I389" s="191"/>
      <c r="J389" s="191"/>
      <c r="K389" s="191"/>
      <c r="L389" s="191"/>
      <c r="M389" s="191"/>
      <c r="N389" s="191"/>
      <c r="O389" s="191"/>
      <c r="P389" s="191"/>
      <c r="Q389" s="191"/>
      <c r="R389" s="191"/>
      <c r="S389" s="191"/>
      <c r="T389" s="191"/>
      <c r="U389" s="191"/>
      <c r="V389" s="191"/>
      <c r="W389" s="191"/>
      <c r="X389" s="191"/>
      <c r="Y389" s="191"/>
      <c r="Z389" s="191"/>
      <c r="AA389" s="191"/>
      <c r="AB389" s="191"/>
      <c r="AC389" s="190"/>
      <c r="AD389" s="190"/>
      <c r="AE389" s="190"/>
      <c r="AF389" s="190"/>
      <c r="AG389" s="190"/>
      <c r="AH389" s="190"/>
      <c r="AI389" s="190"/>
      <c r="AJ389" s="190"/>
      <c r="AK389" s="190"/>
      <c r="AL389" s="190"/>
      <c r="AM389" s="190"/>
    </row>
    <row r="390" spans="2:39">
      <c r="B390" s="162"/>
      <c r="C390" s="162"/>
      <c r="D390" s="191"/>
      <c r="E390" s="191"/>
      <c r="F390" s="191"/>
      <c r="G390" s="191"/>
      <c r="H390" s="191"/>
      <c r="I390" s="191"/>
      <c r="J390" s="191"/>
      <c r="K390" s="191"/>
      <c r="L390" s="191"/>
      <c r="M390" s="191"/>
      <c r="N390" s="191"/>
      <c r="O390" s="191"/>
      <c r="P390" s="191"/>
      <c r="Q390" s="191"/>
      <c r="R390" s="191"/>
      <c r="S390" s="191"/>
      <c r="T390" s="191"/>
      <c r="U390" s="191"/>
      <c r="V390" s="191"/>
      <c r="W390" s="191"/>
      <c r="X390" s="191"/>
      <c r="Y390" s="191"/>
      <c r="Z390" s="191"/>
      <c r="AA390" s="191"/>
      <c r="AB390" s="191"/>
      <c r="AC390" s="190"/>
      <c r="AD390" s="190"/>
      <c r="AE390" s="190"/>
      <c r="AF390" s="190"/>
      <c r="AG390" s="190"/>
      <c r="AH390" s="190"/>
      <c r="AI390" s="190"/>
      <c r="AJ390" s="190"/>
      <c r="AK390" s="190"/>
      <c r="AL390" s="190"/>
      <c r="AM390" s="190"/>
    </row>
    <row r="391" spans="2:39">
      <c r="B391" s="162"/>
      <c r="C391" s="162"/>
      <c r="D391" s="191"/>
      <c r="E391" s="191"/>
      <c r="F391" s="191"/>
      <c r="G391" s="191"/>
      <c r="H391" s="191"/>
      <c r="I391" s="191"/>
      <c r="J391" s="191"/>
      <c r="K391" s="191"/>
      <c r="L391" s="191"/>
      <c r="M391" s="191"/>
      <c r="N391" s="191"/>
      <c r="O391" s="191"/>
      <c r="P391" s="191"/>
      <c r="Q391" s="191"/>
      <c r="R391" s="191"/>
      <c r="S391" s="191"/>
      <c r="T391" s="191"/>
      <c r="U391" s="191"/>
      <c r="V391" s="191"/>
      <c r="W391" s="191"/>
      <c r="X391" s="191"/>
      <c r="Y391" s="191"/>
      <c r="Z391" s="191"/>
      <c r="AA391" s="191"/>
      <c r="AB391" s="191"/>
      <c r="AC391" s="190"/>
      <c r="AD391" s="190"/>
      <c r="AE391" s="190"/>
      <c r="AF391" s="190"/>
      <c r="AG391" s="190"/>
      <c r="AH391" s="190"/>
      <c r="AI391" s="190"/>
      <c r="AJ391" s="190"/>
      <c r="AK391" s="190"/>
      <c r="AL391" s="190"/>
      <c r="AM391" s="190"/>
    </row>
    <row r="392" spans="2:39">
      <c r="B392" s="162"/>
      <c r="C392" s="162"/>
      <c r="D392" s="191"/>
      <c r="E392" s="191"/>
      <c r="F392" s="191"/>
      <c r="G392" s="191"/>
      <c r="H392" s="191"/>
      <c r="I392" s="191"/>
      <c r="J392" s="191"/>
      <c r="K392" s="191"/>
      <c r="L392" s="191"/>
      <c r="M392" s="191"/>
      <c r="N392" s="191"/>
      <c r="O392" s="191"/>
      <c r="P392" s="191"/>
      <c r="Q392" s="191"/>
      <c r="R392" s="191"/>
      <c r="S392" s="191"/>
      <c r="T392" s="191"/>
      <c r="U392" s="191"/>
      <c r="V392" s="191"/>
      <c r="W392" s="191"/>
      <c r="X392" s="191"/>
      <c r="Y392" s="191"/>
      <c r="Z392" s="191"/>
      <c r="AA392" s="191"/>
      <c r="AB392" s="191"/>
      <c r="AC392" s="190"/>
      <c r="AD392" s="190"/>
      <c r="AE392" s="190"/>
      <c r="AF392" s="190"/>
      <c r="AG392" s="190"/>
      <c r="AH392" s="190"/>
      <c r="AI392" s="190"/>
      <c r="AJ392" s="190"/>
      <c r="AK392" s="190"/>
      <c r="AL392" s="190"/>
      <c r="AM392" s="190"/>
    </row>
    <row r="393" spans="2:39">
      <c r="B393" s="162"/>
      <c r="C393" s="162"/>
      <c r="D393" s="191"/>
      <c r="E393" s="191"/>
      <c r="F393" s="191"/>
      <c r="G393" s="191"/>
      <c r="H393" s="191"/>
      <c r="I393" s="191"/>
      <c r="J393" s="191"/>
      <c r="K393" s="191"/>
      <c r="L393" s="191"/>
      <c r="M393" s="191"/>
      <c r="N393" s="191"/>
      <c r="O393" s="191"/>
      <c r="P393" s="191"/>
      <c r="Q393" s="191"/>
      <c r="R393" s="191"/>
      <c r="S393" s="191"/>
      <c r="T393" s="191"/>
      <c r="U393" s="191"/>
      <c r="V393" s="191"/>
      <c r="W393" s="191"/>
      <c r="X393" s="191"/>
      <c r="Y393" s="191"/>
      <c r="Z393" s="191"/>
      <c r="AA393" s="191"/>
      <c r="AB393" s="191"/>
      <c r="AC393" s="190"/>
      <c r="AD393" s="190"/>
      <c r="AE393" s="190"/>
      <c r="AF393" s="190"/>
      <c r="AG393" s="190"/>
      <c r="AH393" s="190"/>
      <c r="AI393" s="190"/>
      <c r="AJ393" s="190"/>
      <c r="AK393" s="190"/>
      <c r="AL393" s="190"/>
      <c r="AM393" s="190"/>
    </row>
    <row r="394" spans="2:39">
      <c r="B394" s="162"/>
      <c r="C394" s="162"/>
      <c r="D394" s="191"/>
      <c r="E394" s="191"/>
      <c r="F394" s="191"/>
      <c r="G394" s="191"/>
      <c r="H394" s="191"/>
      <c r="I394" s="191"/>
      <c r="J394" s="191"/>
      <c r="K394" s="191"/>
      <c r="L394" s="191"/>
      <c r="M394" s="191"/>
      <c r="N394" s="191"/>
      <c r="O394" s="191"/>
      <c r="P394" s="191"/>
      <c r="Q394" s="191"/>
      <c r="R394" s="191"/>
      <c r="S394" s="191"/>
      <c r="T394" s="191"/>
      <c r="U394" s="191"/>
      <c r="V394" s="191"/>
      <c r="W394" s="191"/>
      <c r="X394" s="191"/>
      <c r="Y394" s="191"/>
      <c r="Z394" s="191"/>
      <c r="AA394" s="191"/>
      <c r="AB394" s="191"/>
      <c r="AC394" s="190"/>
      <c r="AD394" s="190"/>
      <c r="AE394" s="190"/>
      <c r="AF394" s="190"/>
      <c r="AG394" s="190"/>
      <c r="AH394" s="190"/>
      <c r="AI394" s="190"/>
      <c r="AJ394" s="190"/>
      <c r="AK394" s="190"/>
      <c r="AL394" s="190"/>
      <c r="AM394" s="190"/>
    </row>
    <row r="395" spans="2:39">
      <c r="B395" s="162"/>
      <c r="C395" s="162"/>
      <c r="D395" s="191"/>
      <c r="E395" s="191"/>
      <c r="F395" s="191"/>
      <c r="G395" s="191"/>
      <c r="H395" s="191"/>
      <c r="I395" s="191"/>
      <c r="J395" s="191"/>
      <c r="K395" s="191"/>
      <c r="L395" s="191"/>
      <c r="M395" s="191"/>
      <c r="N395" s="191"/>
      <c r="O395" s="191"/>
      <c r="P395" s="191"/>
      <c r="Q395" s="191"/>
      <c r="R395" s="191"/>
      <c r="S395" s="191"/>
      <c r="T395" s="191"/>
      <c r="U395" s="191"/>
      <c r="V395" s="191"/>
      <c r="W395" s="191"/>
      <c r="X395" s="191"/>
      <c r="Y395" s="191"/>
      <c r="Z395" s="191"/>
      <c r="AA395" s="191"/>
      <c r="AB395" s="191"/>
      <c r="AC395" s="190"/>
      <c r="AD395" s="190"/>
      <c r="AE395" s="190"/>
      <c r="AF395" s="190"/>
      <c r="AG395" s="190"/>
      <c r="AH395" s="190"/>
      <c r="AI395" s="190"/>
      <c r="AJ395" s="190"/>
      <c r="AK395" s="190"/>
      <c r="AL395" s="190"/>
      <c r="AM395" s="190"/>
    </row>
    <row r="396" spans="2:39">
      <c r="B396" s="162"/>
      <c r="C396" s="162"/>
      <c r="D396" s="191"/>
      <c r="E396" s="191"/>
      <c r="F396" s="191"/>
      <c r="G396" s="191"/>
      <c r="H396" s="191"/>
      <c r="I396" s="191"/>
      <c r="J396" s="191"/>
      <c r="K396" s="191"/>
      <c r="L396" s="191"/>
      <c r="M396" s="191"/>
      <c r="N396" s="191"/>
      <c r="O396" s="191"/>
      <c r="P396" s="191"/>
      <c r="Q396" s="191"/>
      <c r="R396" s="191"/>
      <c r="S396" s="191"/>
      <c r="T396" s="191"/>
      <c r="U396" s="191"/>
      <c r="V396" s="191"/>
      <c r="W396" s="191"/>
      <c r="X396" s="191"/>
      <c r="Y396" s="191"/>
      <c r="Z396" s="191"/>
      <c r="AA396" s="191"/>
      <c r="AB396" s="191"/>
      <c r="AC396" s="190"/>
      <c r="AD396" s="190"/>
      <c r="AE396" s="190"/>
      <c r="AF396" s="190"/>
      <c r="AG396" s="190"/>
      <c r="AH396" s="190"/>
      <c r="AI396" s="190"/>
      <c r="AJ396" s="190"/>
      <c r="AK396" s="190"/>
      <c r="AL396" s="190"/>
      <c r="AM396" s="190"/>
    </row>
    <row r="397" spans="2:39">
      <c r="B397" s="162"/>
      <c r="C397" s="162"/>
      <c r="D397" s="191"/>
      <c r="E397" s="191"/>
      <c r="F397" s="191"/>
      <c r="G397" s="191"/>
      <c r="H397" s="191"/>
      <c r="I397" s="191"/>
      <c r="J397" s="191"/>
      <c r="K397" s="191"/>
      <c r="L397" s="191"/>
      <c r="M397" s="191"/>
      <c r="N397" s="191"/>
      <c r="O397" s="191"/>
      <c r="P397" s="191"/>
      <c r="Q397" s="191"/>
      <c r="R397" s="191"/>
      <c r="S397" s="191"/>
      <c r="T397" s="191"/>
      <c r="U397" s="191"/>
      <c r="V397" s="191"/>
      <c r="W397" s="191"/>
      <c r="X397" s="191"/>
      <c r="Y397" s="191"/>
      <c r="Z397" s="191"/>
      <c r="AA397" s="191"/>
      <c r="AB397" s="191"/>
      <c r="AC397" s="190"/>
      <c r="AD397" s="190"/>
      <c r="AE397" s="190"/>
      <c r="AF397" s="190"/>
      <c r="AG397" s="190"/>
      <c r="AH397" s="190"/>
      <c r="AI397" s="190"/>
      <c r="AJ397" s="190"/>
      <c r="AK397" s="190"/>
      <c r="AL397" s="190"/>
      <c r="AM397" s="190"/>
    </row>
    <row r="398" spans="2:39">
      <c r="B398" s="162"/>
      <c r="C398" s="162"/>
      <c r="D398" s="191"/>
      <c r="E398" s="191"/>
      <c r="F398" s="191"/>
      <c r="G398" s="191"/>
      <c r="H398" s="191"/>
      <c r="I398" s="191"/>
      <c r="J398" s="191"/>
      <c r="K398" s="191"/>
      <c r="L398" s="191"/>
      <c r="M398" s="191"/>
      <c r="N398" s="191"/>
      <c r="O398" s="191"/>
      <c r="P398" s="191"/>
      <c r="Q398" s="191"/>
      <c r="R398" s="191"/>
      <c r="S398" s="191"/>
      <c r="T398" s="191"/>
      <c r="U398" s="191"/>
      <c r="V398" s="191"/>
      <c r="W398" s="191"/>
      <c r="X398" s="191"/>
      <c r="Y398" s="191"/>
      <c r="Z398" s="191"/>
      <c r="AA398" s="191"/>
      <c r="AB398" s="191"/>
      <c r="AC398" s="190"/>
      <c r="AD398" s="190"/>
      <c r="AE398" s="190"/>
      <c r="AF398" s="190"/>
      <c r="AG398" s="190"/>
      <c r="AH398" s="190"/>
      <c r="AI398" s="190"/>
      <c r="AJ398" s="190"/>
      <c r="AK398" s="190"/>
      <c r="AL398" s="190"/>
      <c r="AM398" s="190"/>
    </row>
    <row r="399" spans="2:39">
      <c r="B399" s="162"/>
      <c r="C399" s="162"/>
      <c r="D399" s="191"/>
      <c r="E399" s="191"/>
      <c r="F399" s="191"/>
      <c r="G399" s="191"/>
      <c r="H399" s="191"/>
      <c r="I399" s="191"/>
      <c r="J399" s="191"/>
      <c r="K399" s="191"/>
      <c r="L399" s="191"/>
      <c r="M399" s="191"/>
      <c r="N399" s="191"/>
      <c r="O399" s="191"/>
      <c r="P399" s="191"/>
      <c r="Q399" s="191"/>
      <c r="R399" s="191"/>
      <c r="S399" s="191"/>
      <c r="T399" s="191"/>
      <c r="U399" s="191"/>
      <c r="V399" s="191"/>
      <c r="W399" s="191"/>
      <c r="X399" s="191"/>
      <c r="Y399" s="191"/>
      <c r="Z399" s="191"/>
      <c r="AA399" s="191"/>
      <c r="AB399" s="191"/>
      <c r="AC399" s="190"/>
      <c r="AD399" s="190"/>
      <c r="AE399" s="190"/>
      <c r="AF399" s="190"/>
      <c r="AG399" s="190"/>
      <c r="AH399" s="190"/>
      <c r="AI399" s="190"/>
      <c r="AJ399" s="190"/>
      <c r="AK399" s="190"/>
      <c r="AL399" s="190"/>
      <c r="AM399" s="190"/>
    </row>
    <row r="400" spans="2:39">
      <c r="B400" s="162"/>
      <c r="C400" s="162"/>
      <c r="D400" s="191"/>
      <c r="E400" s="191"/>
      <c r="F400" s="191"/>
      <c r="G400" s="191"/>
      <c r="H400" s="191"/>
      <c r="I400" s="191"/>
      <c r="J400" s="191"/>
      <c r="K400" s="191"/>
      <c r="L400" s="191"/>
      <c r="M400" s="191"/>
      <c r="N400" s="191"/>
      <c r="O400" s="191"/>
      <c r="P400" s="191"/>
      <c r="Q400" s="191"/>
      <c r="R400" s="191"/>
      <c r="S400" s="191"/>
      <c r="T400" s="191"/>
      <c r="U400" s="191"/>
      <c r="V400" s="191"/>
      <c r="W400" s="191"/>
      <c r="X400" s="191"/>
      <c r="Y400" s="191"/>
      <c r="Z400" s="191"/>
      <c r="AA400" s="191"/>
      <c r="AB400" s="191"/>
      <c r="AC400" s="190"/>
      <c r="AD400" s="190"/>
      <c r="AE400" s="190"/>
      <c r="AF400" s="190"/>
      <c r="AG400" s="190"/>
      <c r="AH400" s="190"/>
      <c r="AI400" s="190"/>
      <c r="AJ400" s="190"/>
      <c r="AK400" s="190"/>
      <c r="AL400" s="190"/>
      <c r="AM400" s="190"/>
    </row>
    <row r="401" spans="2:39">
      <c r="B401" s="162"/>
      <c r="C401" s="162"/>
      <c r="D401" s="191"/>
      <c r="E401" s="191"/>
      <c r="F401" s="191"/>
      <c r="G401" s="191"/>
      <c r="H401" s="191"/>
      <c r="I401" s="191"/>
      <c r="J401" s="191"/>
      <c r="K401" s="191"/>
      <c r="L401" s="191"/>
      <c r="M401" s="191"/>
      <c r="N401" s="191"/>
      <c r="O401" s="191"/>
      <c r="P401" s="191"/>
      <c r="Q401" s="191"/>
      <c r="R401" s="191"/>
      <c r="S401" s="191"/>
      <c r="T401" s="191"/>
      <c r="U401" s="191"/>
      <c r="V401" s="191"/>
      <c r="W401" s="191"/>
      <c r="X401" s="191"/>
      <c r="Y401" s="191"/>
      <c r="Z401" s="191"/>
      <c r="AA401" s="191"/>
      <c r="AB401" s="191"/>
      <c r="AC401" s="190"/>
      <c r="AD401" s="190"/>
      <c r="AE401" s="190"/>
      <c r="AF401" s="190"/>
      <c r="AG401" s="190"/>
      <c r="AH401" s="190"/>
      <c r="AI401" s="190"/>
      <c r="AJ401" s="190"/>
      <c r="AK401" s="190"/>
      <c r="AL401" s="190"/>
      <c r="AM401" s="190"/>
    </row>
    <row r="402" spans="2:39">
      <c r="B402" s="162"/>
      <c r="C402" s="162"/>
      <c r="D402" s="191"/>
      <c r="E402" s="191"/>
      <c r="F402" s="191"/>
      <c r="G402" s="191"/>
      <c r="H402" s="191"/>
      <c r="I402" s="191"/>
      <c r="J402" s="191"/>
      <c r="K402" s="191"/>
      <c r="L402" s="191"/>
      <c r="M402" s="191"/>
      <c r="N402" s="191"/>
      <c r="O402" s="191"/>
      <c r="P402" s="191"/>
      <c r="Q402" s="191"/>
      <c r="R402" s="191"/>
      <c r="S402" s="191"/>
      <c r="T402" s="191"/>
      <c r="U402" s="191"/>
      <c r="V402" s="191"/>
      <c r="W402" s="191"/>
      <c r="X402" s="191"/>
      <c r="Y402" s="191"/>
      <c r="Z402" s="191"/>
      <c r="AA402" s="191"/>
      <c r="AB402" s="191"/>
      <c r="AC402" s="190"/>
      <c r="AD402" s="190"/>
      <c r="AE402" s="190"/>
      <c r="AF402" s="190"/>
      <c r="AG402" s="190"/>
      <c r="AH402" s="190"/>
      <c r="AI402" s="190"/>
      <c r="AJ402" s="190"/>
      <c r="AK402" s="190"/>
      <c r="AL402" s="190"/>
      <c r="AM402" s="190"/>
    </row>
    <row r="403" spans="2:39">
      <c r="B403" s="162"/>
      <c r="C403" s="162"/>
      <c r="D403" s="191"/>
      <c r="E403" s="191"/>
      <c r="F403" s="191"/>
      <c r="G403" s="191"/>
      <c r="H403" s="191"/>
      <c r="I403" s="191"/>
      <c r="J403" s="191"/>
      <c r="K403" s="191"/>
      <c r="L403" s="191"/>
      <c r="M403" s="191"/>
      <c r="N403" s="191"/>
      <c r="O403" s="191"/>
      <c r="P403" s="191"/>
      <c r="Q403" s="191"/>
      <c r="R403" s="191"/>
      <c r="S403" s="191"/>
      <c r="T403" s="191"/>
      <c r="U403" s="191"/>
      <c r="V403" s="191"/>
      <c r="W403" s="191"/>
      <c r="X403" s="191"/>
      <c r="Y403" s="191"/>
      <c r="Z403" s="191"/>
      <c r="AA403" s="191"/>
      <c r="AB403" s="191"/>
      <c r="AC403" s="190"/>
      <c r="AD403" s="190"/>
      <c r="AE403" s="190"/>
      <c r="AF403" s="190"/>
      <c r="AG403" s="190"/>
      <c r="AH403" s="190"/>
      <c r="AI403" s="190"/>
      <c r="AJ403" s="190"/>
      <c r="AK403" s="190"/>
      <c r="AL403" s="190"/>
      <c r="AM403" s="190"/>
    </row>
    <row r="404" spans="2:39">
      <c r="B404" s="162"/>
      <c r="C404" s="162"/>
      <c r="D404" s="191"/>
      <c r="E404" s="191"/>
      <c r="F404" s="191"/>
      <c r="G404" s="191"/>
      <c r="H404" s="191"/>
      <c r="I404" s="191"/>
      <c r="J404" s="191"/>
      <c r="K404" s="191"/>
      <c r="L404" s="191"/>
      <c r="M404" s="191"/>
      <c r="N404" s="191"/>
      <c r="O404" s="191"/>
      <c r="P404" s="191"/>
      <c r="Q404" s="191"/>
      <c r="R404" s="191"/>
      <c r="S404" s="191"/>
      <c r="T404" s="191"/>
      <c r="U404" s="191"/>
      <c r="V404" s="191"/>
      <c r="W404" s="191"/>
      <c r="X404" s="191"/>
      <c r="Y404" s="191"/>
      <c r="Z404" s="191"/>
      <c r="AA404" s="191"/>
      <c r="AB404" s="191"/>
      <c r="AC404" s="190"/>
      <c r="AD404" s="190"/>
      <c r="AE404" s="190"/>
      <c r="AF404" s="190"/>
      <c r="AG404" s="190"/>
      <c r="AH404" s="190"/>
      <c r="AI404" s="190"/>
      <c r="AJ404" s="190"/>
      <c r="AK404" s="190"/>
      <c r="AL404" s="190"/>
      <c r="AM404" s="190"/>
    </row>
    <row r="405" spans="2:39">
      <c r="B405" s="162"/>
      <c r="C405" s="162"/>
      <c r="D405" s="191"/>
      <c r="E405" s="191"/>
      <c r="F405" s="191"/>
      <c r="G405" s="191"/>
      <c r="H405" s="191"/>
      <c r="I405" s="191"/>
      <c r="J405" s="191"/>
      <c r="K405" s="191"/>
      <c r="L405" s="191"/>
      <c r="M405" s="191"/>
      <c r="N405" s="191"/>
      <c r="O405" s="191"/>
      <c r="P405" s="191"/>
      <c r="Q405" s="191"/>
      <c r="R405" s="191"/>
      <c r="S405" s="191"/>
      <c r="T405" s="191"/>
      <c r="U405" s="191"/>
      <c r="V405" s="191"/>
      <c r="W405" s="191"/>
      <c r="X405" s="191"/>
      <c r="Y405" s="191"/>
      <c r="Z405" s="191"/>
      <c r="AA405" s="191"/>
      <c r="AB405" s="191"/>
      <c r="AC405" s="190"/>
      <c r="AD405" s="190"/>
      <c r="AE405" s="190"/>
      <c r="AF405" s="190"/>
      <c r="AG405" s="190"/>
      <c r="AH405" s="190"/>
      <c r="AI405" s="190"/>
      <c r="AJ405" s="190"/>
      <c r="AK405" s="190"/>
      <c r="AL405" s="190"/>
      <c r="AM405" s="190"/>
    </row>
    <row r="406" spans="2:39">
      <c r="B406" s="162"/>
      <c r="C406" s="162"/>
      <c r="D406" s="191"/>
      <c r="E406" s="191"/>
      <c r="F406" s="191"/>
      <c r="G406" s="191"/>
      <c r="H406" s="191"/>
      <c r="I406" s="191"/>
      <c r="J406" s="191"/>
      <c r="K406" s="191"/>
      <c r="L406" s="191"/>
      <c r="M406" s="191"/>
      <c r="N406" s="191"/>
      <c r="O406" s="191"/>
      <c r="P406" s="191"/>
      <c r="Q406" s="191"/>
      <c r="R406" s="191"/>
      <c r="S406" s="191"/>
      <c r="T406" s="191"/>
      <c r="U406" s="191"/>
      <c r="V406" s="191"/>
      <c r="W406" s="191"/>
      <c r="X406" s="191"/>
      <c r="Y406" s="191"/>
      <c r="Z406" s="191"/>
      <c r="AA406" s="191"/>
      <c r="AB406" s="191"/>
      <c r="AC406" s="190"/>
      <c r="AD406" s="190"/>
      <c r="AE406" s="190"/>
      <c r="AF406" s="190"/>
      <c r="AG406" s="190"/>
      <c r="AH406" s="190"/>
      <c r="AI406" s="190"/>
      <c r="AJ406" s="190"/>
      <c r="AK406" s="190"/>
      <c r="AL406" s="190"/>
      <c r="AM406" s="190"/>
    </row>
    <row r="407" spans="2:39">
      <c r="B407" s="162"/>
      <c r="C407" s="162"/>
      <c r="D407" s="191"/>
      <c r="E407" s="191"/>
      <c r="F407" s="191"/>
      <c r="G407" s="191"/>
      <c r="H407" s="191"/>
      <c r="I407" s="191"/>
      <c r="J407" s="191"/>
      <c r="K407" s="191"/>
      <c r="L407" s="191"/>
      <c r="M407" s="191"/>
      <c r="N407" s="191"/>
      <c r="O407" s="191"/>
      <c r="P407" s="191"/>
      <c r="Q407" s="191"/>
      <c r="R407" s="191"/>
      <c r="S407" s="191"/>
      <c r="T407" s="191"/>
      <c r="U407" s="191"/>
      <c r="V407" s="191"/>
      <c r="W407" s="191"/>
      <c r="X407" s="191"/>
      <c r="Y407" s="191"/>
      <c r="Z407" s="191"/>
      <c r="AA407" s="191"/>
      <c r="AB407" s="191"/>
      <c r="AC407" s="190"/>
      <c r="AD407" s="190"/>
      <c r="AE407" s="190"/>
      <c r="AF407" s="190"/>
      <c r="AG407" s="190"/>
      <c r="AH407" s="190"/>
      <c r="AI407" s="190"/>
      <c r="AJ407" s="190"/>
      <c r="AK407" s="190"/>
      <c r="AL407" s="190"/>
      <c r="AM407" s="190"/>
    </row>
    <row r="408" spans="2:39">
      <c r="B408" s="162"/>
      <c r="C408" s="162"/>
      <c r="D408" s="191"/>
      <c r="E408" s="191"/>
      <c r="F408" s="191"/>
      <c r="G408" s="191"/>
      <c r="H408" s="191"/>
      <c r="I408" s="191"/>
      <c r="J408" s="191"/>
      <c r="K408" s="191"/>
      <c r="L408" s="191"/>
      <c r="M408" s="191"/>
      <c r="N408" s="191"/>
      <c r="O408" s="191"/>
      <c r="P408" s="191"/>
      <c r="Q408" s="191"/>
      <c r="R408" s="191"/>
      <c r="S408" s="191"/>
      <c r="T408" s="191"/>
      <c r="U408" s="191"/>
      <c r="V408" s="191"/>
      <c r="W408" s="191"/>
      <c r="X408" s="191"/>
      <c r="Y408" s="191"/>
      <c r="Z408" s="191"/>
      <c r="AA408" s="191"/>
      <c r="AB408" s="191"/>
      <c r="AC408" s="190"/>
      <c r="AD408" s="190"/>
      <c r="AE408" s="190"/>
      <c r="AF408" s="190"/>
      <c r="AG408" s="190"/>
      <c r="AH408" s="190"/>
      <c r="AI408" s="190"/>
      <c r="AJ408" s="190"/>
      <c r="AK408" s="190"/>
      <c r="AL408" s="190"/>
      <c r="AM408" s="190"/>
    </row>
    <row r="409" spans="2:39">
      <c r="B409" s="162"/>
      <c r="C409" s="162"/>
      <c r="D409" s="191"/>
      <c r="E409" s="191"/>
      <c r="F409" s="191"/>
      <c r="G409" s="191"/>
      <c r="H409" s="191"/>
      <c r="I409" s="191"/>
      <c r="J409" s="191"/>
      <c r="K409" s="191"/>
      <c r="L409" s="191"/>
      <c r="M409" s="191"/>
      <c r="N409" s="191"/>
      <c r="O409" s="191"/>
      <c r="P409" s="191"/>
      <c r="Q409" s="191"/>
      <c r="R409" s="191"/>
      <c r="S409" s="191"/>
      <c r="T409" s="191"/>
      <c r="U409" s="191"/>
      <c r="V409" s="191"/>
      <c r="W409" s="191"/>
      <c r="X409" s="191"/>
      <c r="Y409" s="191"/>
      <c r="Z409" s="191"/>
      <c r="AA409" s="191"/>
      <c r="AB409" s="191"/>
      <c r="AC409" s="190"/>
      <c r="AD409" s="190"/>
      <c r="AE409" s="190"/>
      <c r="AF409" s="190"/>
      <c r="AG409" s="190"/>
      <c r="AH409" s="190"/>
      <c r="AI409" s="190"/>
      <c r="AJ409" s="190"/>
      <c r="AK409" s="190"/>
      <c r="AL409" s="190"/>
      <c r="AM409" s="190"/>
    </row>
    <row r="410" spans="2:39">
      <c r="B410" s="162"/>
      <c r="C410" s="162"/>
      <c r="D410" s="191"/>
      <c r="E410" s="191"/>
      <c r="F410" s="191"/>
      <c r="G410" s="191"/>
      <c r="H410" s="191"/>
      <c r="I410" s="191"/>
      <c r="J410" s="191"/>
      <c r="K410" s="191"/>
      <c r="L410" s="191"/>
      <c r="M410" s="191"/>
      <c r="N410" s="191"/>
      <c r="O410" s="191"/>
      <c r="P410" s="191"/>
      <c r="Q410" s="191"/>
      <c r="R410" s="191"/>
      <c r="S410" s="191"/>
      <c r="T410" s="191"/>
      <c r="U410" s="191"/>
      <c r="V410" s="191"/>
      <c r="W410" s="191"/>
      <c r="X410" s="191"/>
      <c r="Y410" s="191"/>
      <c r="Z410" s="191"/>
      <c r="AA410" s="191"/>
      <c r="AB410" s="191"/>
      <c r="AC410" s="190"/>
      <c r="AD410" s="190"/>
      <c r="AE410" s="190"/>
      <c r="AF410" s="190"/>
      <c r="AG410" s="190"/>
      <c r="AH410" s="190"/>
      <c r="AI410" s="190"/>
      <c r="AJ410" s="190"/>
      <c r="AK410" s="190"/>
      <c r="AL410" s="190"/>
      <c r="AM410" s="190"/>
    </row>
    <row r="411" spans="2:39">
      <c r="B411" s="162"/>
      <c r="C411" s="162"/>
      <c r="D411" s="191"/>
      <c r="E411" s="191"/>
      <c r="F411" s="191"/>
      <c r="G411" s="191"/>
      <c r="H411" s="191"/>
      <c r="I411" s="191"/>
      <c r="J411" s="191"/>
      <c r="K411" s="191"/>
      <c r="L411" s="191"/>
      <c r="M411" s="191"/>
      <c r="N411" s="191"/>
      <c r="O411" s="191"/>
      <c r="P411" s="191"/>
      <c r="Q411" s="191"/>
      <c r="R411" s="191"/>
      <c r="S411" s="191"/>
      <c r="T411" s="191"/>
      <c r="U411" s="191"/>
      <c r="V411" s="191"/>
      <c r="W411" s="191"/>
      <c r="X411" s="191"/>
      <c r="Y411" s="191"/>
      <c r="Z411" s="191"/>
      <c r="AA411" s="191"/>
      <c r="AB411" s="191"/>
      <c r="AC411" s="190"/>
      <c r="AD411" s="190"/>
      <c r="AE411" s="190"/>
      <c r="AF411" s="190"/>
      <c r="AG411" s="190"/>
      <c r="AH411" s="190"/>
      <c r="AI411" s="190"/>
      <c r="AJ411" s="190"/>
      <c r="AK411" s="190"/>
      <c r="AL411" s="190"/>
      <c r="AM411" s="190"/>
    </row>
    <row r="412" spans="2:39">
      <c r="B412" s="162"/>
      <c r="C412" s="162"/>
      <c r="D412" s="191"/>
      <c r="E412" s="191"/>
      <c r="F412" s="191"/>
      <c r="G412" s="191"/>
      <c r="H412" s="191"/>
      <c r="I412" s="191"/>
      <c r="J412" s="191"/>
      <c r="K412" s="191"/>
      <c r="L412" s="191"/>
      <c r="M412" s="191"/>
      <c r="N412" s="191"/>
      <c r="O412" s="191"/>
      <c r="P412" s="191"/>
      <c r="Q412" s="191"/>
      <c r="R412" s="191"/>
      <c r="S412" s="191"/>
      <c r="T412" s="191"/>
      <c r="U412" s="191"/>
      <c r="V412" s="191"/>
      <c r="W412" s="191"/>
      <c r="X412" s="191"/>
      <c r="Y412" s="191"/>
      <c r="Z412" s="191"/>
      <c r="AA412" s="191"/>
      <c r="AB412" s="191"/>
      <c r="AC412" s="190"/>
      <c r="AD412" s="190"/>
      <c r="AE412" s="190"/>
      <c r="AF412" s="190"/>
      <c r="AG412" s="190"/>
      <c r="AH412" s="190"/>
      <c r="AI412" s="190"/>
      <c r="AJ412" s="190"/>
      <c r="AK412" s="190"/>
      <c r="AL412" s="190"/>
      <c r="AM412" s="190"/>
    </row>
    <row r="413" spans="2:39">
      <c r="B413" s="162"/>
      <c r="C413" s="162"/>
      <c r="D413" s="191"/>
      <c r="E413" s="191"/>
      <c r="F413" s="191"/>
      <c r="G413" s="191"/>
      <c r="H413" s="191"/>
      <c r="I413" s="191"/>
      <c r="J413" s="191"/>
      <c r="K413" s="191"/>
      <c r="L413" s="191"/>
      <c r="M413" s="191"/>
      <c r="N413" s="191"/>
      <c r="O413" s="191"/>
      <c r="P413" s="191"/>
      <c r="Q413" s="191"/>
      <c r="R413" s="191"/>
      <c r="S413" s="191"/>
      <c r="T413" s="191"/>
      <c r="U413" s="191"/>
      <c r="V413" s="191"/>
      <c r="W413" s="191"/>
      <c r="X413" s="191"/>
      <c r="Y413" s="191"/>
      <c r="Z413" s="191"/>
      <c r="AA413" s="191"/>
      <c r="AB413" s="191"/>
      <c r="AC413" s="190"/>
      <c r="AD413" s="190"/>
      <c r="AE413" s="190"/>
      <c r="AF413" s="190"/>
      <c r="AG413" s="190"/>
      <c r="AH413" s="190"/>
      <c r="AI413" s="190"/>
      <c r="AJ413" s="190"/>
      <c r="AK413" s="190"/>
      <c r="AL413" s="190"/>
      <c r="AM413" s="190"/>
    </row>
    <row r="414" spans="2:39">
      <c r="B414" s="162"/>
      <c r="C414" s="162"/>
      <c r="D414" s="191"/>
      <c r="E414" s="191"/>
      <c r="F414" s="191"/>
      <c r="G414" s="191"/>
      <c r="H414" s="191"/>
      <c r="I414" s="191"/>
      <c r="J414" s="191"/>
      <c r="K414" s="191"/>
      <c r="L414" s="191"/>
      <c r="M414" s="191"/>
      <c r="N414" s="191"/>
      <c r="O414" s="191"/>
      <c r="P414" s="191"/>
      <c r="Q414" s="191"/>
      <c r="R414" s="191"/>
      <c r="S414" s="191"/>
      <c r="T414" s="191"/>
      <c r="U414" s="191"/>
      <c r="V414" s="191"/>
      <c r="W414" s="191"/>
      <c r="X414" s="191"/>
      <c r="Y414" s="191"/>
      <c r="Z414" s="191"/>
      <c r="AA414" s="191"/>
      <c r="AB414" s="191"/>
      <c r="AC414" s="190"/>
      <c r="AD414" s="190"/>
      <c r="AE414" s="190"/>
      <c r="AF414" s="190"/>
      <c r="AG414" s="190"/>
      <c r="AH414" s="190"/>
      <c r="AI414" s="190"/>
      <c r="AJ414" s="190"/>
      <c r="AK414" s="190"/>
      <c r="AL414" s="190"/>
      <c r="AM414" s="190"/>
    </row>
    <row r="415" spans="2:39">
      <c r="B415" s="162"/>
      <c r="C415" s="162"/>
      <c r="D415" s="191"/>
      <c r="E415" s="191"/>
      <c r="F415" s="191"/>
      <c r="G415" s="191"/>
      <c r="H415" s="191"/>
      <c r="I415" s="191"/>
      <c r="J415" s="191"/>
      <c r="K415" s="191"/>
      <c r="L415" s="191"/>
      <c r="M415" s="191"/>
      <c r="N415" s="191"/>
      <c r="O415" s="191"/>
      <c r="P415" s="191"/>
      <c r="Q415" s="191"/>
      <c r="R415" s="191"/>
      <c r="S415" s="191"/>
      <c r="T415" s="191"/>
      <c r="U415" s="191"/>
      <c r="V415" s="191"/>
      <c r="W415" s="191"/>
      <c r="X415" s="191"/>
      <c r="Y415" s="191"/>
      <c r="Z415" s="191"/>
      <c r="AA415" s="191"/>
      <c r="AB415" s="191"/>
      <c r="AC415" s="190"/>
      <c r="AD415" s="190"/>
      <c r="AE415" s="190"/>
      <c r="AF415" s="190"/>
      <c r="AG415" s="190"/>
      <c r="AH415" s="190"/>
      <c r="AI415" s="190"/>
      <c r="AJ415" s="190"/>
      <c r="AK415" s="190"/>
      <c r="AL415" s="190"/>
      <c r="AM415" s="190"/>
    </row>
    <row r="416" spans="2:39">
      <c r="B416" s="162"/>
      <c r="C416" s="162"/>
      <c r="D416" s="191"/>
      <c r="E416" s="191"/>
      <c r="F416" s="191"/>
      <c r="G416" s="191"/>
      <c r="H416" s="191"/>
      <c r="I416" s="191"/>
      <c r="J416" s="191"/>
      <c r="K416" s="191"/>
      <c r="L416" s="191"/>
      <c r="M416" s="191"/>
      <c r="N416" s="191"/>
      <c r="O416" s="191"/>
      <c r="P416" s="191"/>
      <c r="Q416" s="191"/>
      <c r="R416" s="191"/>
      <c r="S416" s="191"/>
      <c r="T416" s="191"/>
      <c r="U416" s="191"/>
      <c r="V416" s="191"/>
      <c r="W416" s="191"/>
      <c r="X416" s="191"/>
      <c r="Y416" s="191"/>
      <c r="Z416" s="191"/>
      <c r="AA416" s="191"/>
      <c r="AB416" s="191"/>
      <c r="AC416" s="190"/>
      <c r="AD416" s="190"/>
      <c r="AE416" s="190"/>
      <c r="AF416" s="190"/>
      <c r="AG416" s="190"/>
      <c r="AH416" s="190"/>
      <c r="AI416" s="190"/>
      <c r="AJ416" s="190"/>
      <c r="AK416" s="190"/>
      <c r="AL416" s="190"/>
      <c r="AM416" s="190"/>
    </row>
    <row r="417" spans="2:39">
      <c r="B417" s="162"/>
      <c r="C417" s="162"/>
      <c r="D417" s="191"/>
      <c r="E417" s="191"/>
      <c r="F417" s="191"/>
      <c r="G417" s="191"/>
      <c r="H417" s="191"/>
      <c r="I417" s="191"/>
      <c r="J417" s="191"/>
      <c r="K417" s="191"/>
      <c r="L417" s="191"/>
      <c r="M417" s="191"/>
      <c r="N417" s="191"/>
      <c r="O417" s="191"/>
      <c r="P417" s="191"/>
      <c r="Q417" s="191"/>
      <c r="R417" s="191"/>
      <c r="S417" s="191"/>
      <c r="T417" s="191"/>
      <c r="U417" s="191"/>
      <c r="V417" s="191"/>
      <c r="W417" s="191"/>
      <c r="X417" s="191"/>
      <c r="Y417" s="191"/>
      <c r="Z417" s="191"/>
      <c r="AA417" s="191"/>
      <c r="AB417" s="191"/>
      <c r="AC417" s="190"/>
      <c r="AD417" s="190"/>
      <c r="AE417" s="190"/>
      <c r="AF417" s="190"/>
      <c r="AG417" s="190"/>
      <c r="AH417" s="190"/>
      <c r="AI417" s="190"/>
      <c r="AJ417" s="190"/>
      <c r="AK417" s="190"/>
      <c r="AL417" s="190"/>
      <c r="AM417" s="190"/>
    </row>
    <row r="418" spans="2:39">
      <c r="B418" s="162"/>
      <c r="C418" s="162"/>
      <c r="D418" s="191"/>
      <c r="E418" s="191"/>
      <c r="F418" s="191"/>
      <c r="G418" s="191"/>
      <c r="H418" s="191"/>
      <c r="I418" s="191"/>
      <c r="J418" s="191"/>
      <c r="K418" s="191"/>
      <c r="L418" s="191"/>
      <c r="M418" s="191"/>
      <c r="N418" s="191"/>
      <c r="O418" s="191"/>
      <c r="P418" s="191"/>
      <c r="Q418" s="191"/>
      <c r="R418" s="191"/>
      <c r="S418" s="191"/>
      <c r="T418" s="191"/>
      <c r="U418" s="191"/>
      <c r="V418" s="191"/>
      <c r="W418" s="191"/>
      <c r="X418" s="191"/>
      <c r="Y418" s="191"/>
      <c r="Z418" s="191"/>
      <c r="AA418" s="191"/>
      <c r="AB418" s="191"/>
      <c r="AC418" s="190"/>
      <c r="AD418" s="190"/>
      <c r="AE418" s="190"/>
      <c r="AF418" s="190"/>
      <c r="AG418" s="190"/>
      <c r="AH418" s="190"/>
      <c r="AI418" s="190"/>
      <c r="AJ418" s="190"/>
      <c r="AK418" s="190"/>
      <c r="AL418" s="190"/>
      <c r="AM418" s="190"/>
    </row>
    <row r="419" spans="2:39">
      <c r="B419" s="162"/>
      <c r="C419" s="162"/>
      <c r="D419" s="191"/>
      <c r="E419" s="191"/>
      <c r="F419" s="191"/>
      <c r="G419" s="191"/>
      <c r="H419" s="191"/>
      <c r="I419" s="191"/>
      <c r="J419" s="191"/>
      <c r="K419" s="191"/>
      <c r="L419" s="191"/>
      <c r="M419" s="191"/>
      <c r="N419" s="191"/>
      <c r="O419" s="191"/>
      <c r="P419" s="191"/>
      <c r="Q419" s="191"/>
      <c r="R419" s="191"/>
      <c r="S419" s="191"/>
      <c r="T419" s="191"/>
      <c r="U419" s="191"/>
      <c r="V419" s="191"/>
      <c r="W419" s="191"/>
      <c r="X419" s="191"/>
      <c r="Y419" s="191"/>
      <c r="Z419" s="191"/>
      <c r="AA419" s="191"/>
      <c r="AB419" s="191"/>
      <c r="AC419" s="190"/>
      <c r="AD419" s="190"/>
      <c r="AE419" s="190"/>
      <c r="AF419" s="190"/>
      <c r="AG419" s="190"/>
      <c r="AH419" s="190"/>
      <c r="AI419" s="190"/>
      <c r="AJ419" s="190"/>
      <c r="AK419" s="190"/>
      <c r="AL419" s="190"/>
      <c r="AM419" s="190"/>
    </row>
    <row r="420" spans="2:39">
      <c r="B420" s="162"/>
      <c r="C420" s="162"/>
      <c r="D420" s="191"/>
      <c r="E420" s="191"/>
      <c r="F420" s="191"/>
      <c r="G420" s="191"/>
      <c r="H420" s="191"/>
      <c r="I420" s="191"/>
      <c r="J420" s="191"/>
      <c r="K420" s="191"/>
      <c r="L420" s="191"/>
      <c r="M420" s="191"/>
      <c r="N420" s="191"/>
      <c r="O420" s="191"/>
      <c r="P420" s="191"/>
      <c r="Q420" s="191"/>
      <c r="R420" s="191"/>
      <c r="S420" s="191"/>
      <c r="T420" s="191"/>
      <c r="U420" s="191"/>
      <c r="V420" s="191"/>
      <c r="W420" s="191"/>
      <c r="X420" s="191"/>
      <c r="Y420" s="191"/>
      <c r="Z420" s="191"/>
      <c r="AA420" s="191"/>
      <c r="AB420" s="191"/>
      <c r="AC420" s="190"/>
      <c r="AD420" s="190"/>
      <c r="AE420" s="190"/>
      <c r="AF420" s="190"/>
      <c r="AG420" s="190"/>
      <c r="AH420" s="190"/>
      <c r="AI420" s="190"/>
      <c r="AJ420" s="190"/>
      <c r="AK420" s="190"/>
      <c r="AL420" s="190"/>
      <c r="AM420" s="190"/>
    </row>
    <row r="421" spans="2:39">
      <c r="B421" s="162"/>
      <c r="C421" s="162"/>
      <c r="D421" s="191"/>
      <c r="E421" s="191"/>
      <c r="F421" s="191"/>
      <c r="G421" s="191"/>
      <c r="H421" s="191"/>
      <c r="I421" s="191"/>
      <c r="J421" s="191"/>
      <c r="K421" s="191"/>
      <c r="L421" s="191"/>
      <c r="M421" s="191"/>
      <c r="N421" s="191"/>
      <c r="O421" s="191"/>
      <c r="P421" s="191"/>
      <c r="Q421" s="191"/>
      <c r="R421" s="191"/>
      <c r="S421" s="191"/>
      <c r="T421" s="191"/>
      <c r="U421" s="191"/>
      <c r="V421" s="191"/>
      <c r="W421" s="191"/>
      <c r="X421" s="191"/>
      <c r="Y421" s="191"/>
      <c r="Z421" s="191"/>
      <c r="AA421" s="191"/>
      <c r="AB421" s="191"/>
      <c r="AC421" s="190"/>
      <c r="AD421" s="190"/>
      <c r="AE421" s="190"/>
      <c r="AF421" s="190"/>
      <c r="AG421" s="190"/>
      <c r="AH421" s="190"/>
      <c r="AI421" s="190"/>
      <c r="AJ421" s="190"/>
      <c r="AK421" s="190"/>
      <c r="AL421" s="190"/>
      <c r="AM421" s="190"/>
    </row>
    <row r="422" spans="2:39">
      <c r="B422" s="162"/>
      <c r="C422" s="162"/>
      <c r="D422" s="191"/>
      <c r="E422" s="191"/>
      <c r="F422" s="191"/>
      <c r="G422" s="191"/>
      <c r="H422" s="191"/>
      <c r="I422" s="191"/>
      <c r="J422" s="191"/>
      <c r="K422" s="191"/>
      <c r="L422" s="191"/>
      <c r="M422" s="191"/>
      <c r="N422" s="191"/>
      <c r="O422" s="191"/>
      <c r="P422" s="191"/>
      <c r="Q422" s="191"/>
      <c r="R422" s="191"/>
      <c r="S422" s="191"/>
      <c r="T422" s="191"/>
      <c r="U422" s="191"/>
      <c r="V422" s="191"/>
      <c r="W422" s="191"/>
      <c r="X422" s="191"/>
      <c r="Y422" s="191"/>
      <c r="Z422" s="191"/>
      <c r="AA422" s="191"/>
      <c r="AB422" s="191"/>
      <c r="AC422" s="190"/>
      <c r="AD422" s="190"/>
      <c r="AE422" s="190"/>
      <c r="AF422" s="190"/>
      <c r="AG422" s="190"/>
      <c r="AH422" s="190"/>
      <c r="AI422" s="190"/>
      <c r="AJ422" s="190"/>
      <c r="AK422" s="190"/>
      <c r="AL422" s="190"/>
      <c r="AM422" s="190"/>
    </row>
    <row r="423" spans="2:39">
      <c r="B423" s="162"/>
      <c r="C423" s="162"/>
      <c r="D423" s="191"/>
      <c r="E423" s="191"/>
      <c r="F423" s="191"/>
      <c r="G423" s="191"/>
      <c r="H423" s="191"/>
      <c r="I423" s="191"/>
      <c r="J423" s="191"/>
      <c r="K423" s="191"/>
      <c r="L423" s="191"/>
      <c r="M423" s="191"/>
      <c r="N423" s="191"/>
      <c r="O423" s="191"/>
      <c r="P423" s="191"/>
      <c r="Q423" s="191"/>
      <c r="R423" s="191"/>
      <c r="S423" s="191"/>
      <c r="T423" s="191"/>
      <c r="U423" s="191"/>
      <c r="V423" s="191"/>
      <c r="W423" s="191"/>
      <c r="X423" s="191"/>
      <c r="Y423" s="191"/>
      <c r="Z423" s="191"/>
      <c r="AA423" s="191"/>
      <c r="AB423" s="191"/>
      <c r="AC423" s="190"/>
      <c r="AD423" s="190"/>
      <c r="AE423" s="190"/>
      <c r="AF423" s="190"/>
      <c r="AG423" s="190"/>
      <c r="AH423" s="190"/>
      <c r="AI423" s="190"/>
      <c r="AJ423" s="190"/>
      <c r="AK423" s="190"/>
      <c r="AL423" s="190"/>
      <c r="AM423" s="190"/>
    </row>
    <row r="424" spans="2:39">
      <c r="B424" s="162"/>
      <c r="C424" s="162"/>
      <c r="D424" s="191"/>
      <c r="E424" s="191"/>
      <c r="F424" s="191"/>
      <c r="G424" s="191"/>
      <c r="H424" s="191"/>
      <c r="I424" s="191"/>
      <c r="J424" s="191"/>
      <c r="K424" s="191"/>
      <c r="L424" s="191"/>
      <c r="M424" s="191"/>
      <c r="N424" s="191"/>
      <c r="O424" s="191"/>
      <c r="P424" s="191"/>
      <c r="Q424" s="191"/>
      <c r="R424" s="191"/>
      <c r="S424" s="191"/>
      <c r="T424" s="191"/>
      <c r="U424" s="191"/>
      <c r="V424" s="191"/>
      <c r="W424" s="191"/>
      <c r="X424" s="191"/>
      <c r="Y424" s="191"/>
      <c r="Z424" s="191"/>
      <c r="AA424" s="191"/>
      <c r="AB424" s="191"/>
      <c r="AC424" s="190"/>
      <c r="AD424" s="190"/>
      <c r="AE424" s="190"/>
      <c r="AF424" s="190"/>
      <c r="AG424" s="190"/>
      <c r="AH424" s="190"/>
      <c r="AI424" s="190"/>
      <c r="AJ424" s="190"/>
      <c r="AK424" s="190"/>
      <c r="AL424" s="190"/>
      <c r="AM424" s="190"/>
    </row>
    <row r="425" spans="2:39">
      <c r="B425" s="162"/>
      <c r="C425" s="162"/>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0"/>
      <c r="AD425" s="190"/>
      <c r="AE425" s="190"/>
      <c r="AF425" s="190"/>
      <c r="AG425" s="190"/>
      <c r="AH425" s="190"/>
      <c r="AI425" s="190"/>
      <c r="AJ425" s="190"/>
      <c r="AK425" s="190"/>
      <c r="AL425" s="190"/>
      <c r="AM425" s="190"/>
    </row>
    <row r="426" spans="2:39">
      <c r="B426" s="162"/>
      <c r="C426" s="162"/>
      <c r="D426" s="191"/>
      <c r="E426" s="191"/>
      <c r="F426" s="191"/>
      <c r="G426" s="191"/>
      <c r="H426" s="191"/>
      <c r="I426" s="191"/>
      <c r="J426" s="191"/>
      <c r="K426" s="191"/>
      <c r="L426" s="191"/>
      <c r="M426" s="191"/>
      <c r="N426" s="191"/>
      <c r="O426" s="191"/>
      <c r="P426" s="191"/>
      <c r="Q426" s="191"/>
      <c r="R426" s="191"/>
      <c r="S426" s="191"/>
      <c r="T426" s="191"/>
      <c r="U426" s="191"/>
      <c r="V426" s="191"/>
      <c r="W426" s="191"/>
      <c r="X426" s="191"/>
      <c r="Y426" s="191"/>
      <c r="Z426" s="191"/>
      <c r="AA426" s="191"/>
      <c r="AB426" s="191"/>
      <c r="AC426" s="190"/>
      <c r="AD426" s="190"/>
      <c r="AE426" s="190"/>
      <c r="AF426" s="190"/>
      <c r="AG426" s="190"/>
      <c r="AH426" s="190"/>
      <c r="AI426" s="190"/>
      <c r="AJ426" s="190"/>
      <c r="AK426" s="190"/>
      <c r="AL426" s="190"/>
      <c r="AM426" s="190"/>
    </row>
    <row r="427" spans="2:39">
      <c r="B427" s="162"/>
      <c r="C427" s="162"/>
      <c r="D427" s="191"/>
      <c r="E427" s="191"/>
      <c r="F427" s="191"/>
      <c r="G427" s="191"/>
      <c r="H427" s="191"/>
      <c r="I427" s="191"/>
      <c r="J427" s="191"/>
      <c r="K427" s="191"/>
      <c r="L427" s="191"/>
      <c r="M427" s="191"/>
      <c r="N427" s="191"/>
      <c r="O427" s="191"/>
      <c r="P427" s="191"/>
      <c r="Q427" s="191"/>
      <c r="R427" s="191"/>
      <c r="S427" s="191"/>
      <c r="T427" s="191"/>
      <c r="U427" s="191"/>
      <c r="V427" s="191"/>
      <c r="W427" s="191"/>
      <c r="X427" s="191"/>
      <c r="Y427" s="191"/>
      <c r="Z427" s="191"/>
      <c r="AA427" s="191"/>
      <c r="AB427" s="191"/>
      <c r="AC427" s="190"/>
      <c r="AD427" s="190"/>
      <c r="AE427" s="190"/>
      <c r="AF427" s="190"/>
      <c r="AG427" s="190"/>
      <c r="AH427" s="190"/>
      <c r="AI427" s="190"/>
      <c r="AJ427" s="190"/>
      <c r="AK427" s="190"/>
      <c r="AL427" s="190"/>
      <c r="AM427" s="190"/>
    </row>
    <row r="428" spans="2:39">
      <c r="B428" s="162"/>
      <c r="C428" s="162"/>
      <c r="D428" s="191"/>
      <c r="E428" s="191"/>
      <c r="F428" s="191"/>
      <c r="G428" s="191"/>
      <c r="H428" s="191"/>
      <c r="I428" s="191"/>
      <c r="J428" s="191"/>
      <c r="K428" s="191"/>
      <c r="L428" s="191"/>
      <c r="M428" s="191"/>
      <c r="N428" s="191"/>
      <c r="O428" s="191"/>
      <c r="P428" s="191"/>
      <c r="Q428" s="191"/>
      <c r="R428" s="191"/>
      <c r="S428" s="191"/>
      <c r="T428" s="191"/>
      <c r="U428" s="191"/>
      <c r="V428" s="191"/>
      <c r="W428" s="191"/>
      <c r="X428" s="191"/>
      <c r="Y428" s="191"/>
      <c r="Z428" s="191"/>
      <c r="AA428" s="191"/>
      <c r="AB428" s="191"/>
      <c r="AC428" s="190"/>
      <c r="AD428" s="190"/>
      <c r="AE428" s="190"/>
      <c r="AF428" s="190"/>
      <c r="AG428" s="190"/>
      <c r="AH428" s="190"/>
      <c r="AI428" s="190"/>
      <c r="AJ428" s="190"/>
      <c r="AK428" s="190"/>
      <c r="AL428" s="190"/>
      <c r="AM428" s="190"/>
    </row>
    <row r="429" spans="2:39">
      <c r="B429" s="162"/>
      <c r="C429" s="162"/>
      <c r="D429" s="191"/>
      <c r="E429" s="191"/>
      <c r="F429" s="191"/>
      <c r="G429" s="191"/>
      <c r="H429" s="191"/>
      <c r="I429" s="191"/>
      <c r="J429" s="191"/>
      <c r="K429" s="191"/>
      <c r="L429" s="191"/>
      <c r="M429" s="191"/>
      <c r="N429" s="191"/>
      <c r="O429" s="191"/>
      <c r="P429" s="191"/>
      <c r="Q429" s="191"/>
      <c r="R429" s="191"/>
      <c r="S429" s="191"/>
      <c r="T429" s="191"/>
      <c r="U429" s="191"/>
      <c r="V429" s="191"/>
      <c r="W429" s="191"/>
      <c r="X429" s="191"/>
      <c r="Y429" s="191"/>
      <c r="Z429" s="191"/>
      <c r="AA429" s="191"/>
      <c r="AB429" s="191"/>
      <c r="AC429" s="190"/>
      <c r="AD429" s="190"/>
      <c r="AE429" s="190"/>
      <c r="AF429" s="190"/>
      <c r="AG429" s="190"/>
      <c r="AH429" s="190"/>
      <c r="AI429" s="190"/>
      <c r="AJ429" s="190"/>
      <c r="AK429" s="190"/>
      <c r="AL429" s="190"/>
      <c r="AM429" s="190"/>
    </row>
    <row r="430" spans="2:39">
      <c r="B430" s="162"/>
      <c r="C430" s="162"/>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c r="AA430" s="191"/>
      <c r="AB430" s="191"/>
      <c r="AC430" s="190"/>
      <c r="AD430" s="190"/>
      <c r="AE430" s="190"/>
      <c r="AF430" s="190"/>
      <c r="AG430" s="190"/>
      <c r="AH430" s="190"/>
      <c r="AI430" s="190"/>
      <c r="AJ430" s="190"/>
      <c r="AK430" s="190"/>
      <c r="AL430" s="190"/>
      <c r="AM430" s="190"/>
    </row>
    <row r="431" spans="2:39">
      <c r="B431" s="162"/>
      <c r="C431" s="162"/>
      <c r="D431" s="191"/>
      <c r="E431" s="191"/>
      <c r="F431" s="191"/>
      <c r="G431" s="191"/>
      <c r="H431" s="191"/>
      <c r="I431" s="191"/>
      <c r="J431" s="191"/>
      <c r="K431" s="191"/>
      <c r="L431" s="191"/>
      <c r="M431" s="191"/>
      <c r="N431" s="191"/>
      <c r="O431" s="191"/>
      <c r="P431" s="191"/>
      <c r="Q431" s="191"/>
      <c r="R431" s="191"/>
      <c r="S431" s="191"/>
      <c r="T431" s="191"/>
      <c r="U431" s="191"/>
      <c r="V431" s="191"/>
      <c r="W431" s="191"/>
      <c r="X431" s="191"/>
      <c r="Y431" s="191"/>
      <c r="Z431" s="191"/>
      <c r="AA431" s="191"/>
      <c r="AB431" s="191"/>
      <c r="AC431" s="190"/>
      <c r="AD431" s="190"/>
      <c r="AE431" s="190"/>
      <c r="AF431" s="190"/>
      <c r="AG431" s="190"/>
      <c r="AH431" s="190"/>
      <c r="AI431" s="190"/>
      <c r="AJ431" s="190"/>
      <c r="AK431" s="190"/>
      <c r="AL431" s="190"/>
      <c r="AM431" s="190"/>
    </row>
    <row r="432" spans="2:39">
      <c r="B432" s="162"/>
      <c r="C432" s="162"/>
      <c r="D432" s="191"/>
      <c r="E432" s="191"/>
      <c r="F432" s="191"/>
      <c r="G432" s="191"/>
      <c r="H432" s="191"/>
      <c r="I432" s="191"/>
      <c r="J432" s="191"/>
      <c r="K432" s="191"/>
      <c r="L432" s="191"/>
      <c r="M432" s="191"/>
      <c r="N432" s="191"/>
      <c r="O432" s="191"/>
      <c r="P432" s="191"/>
      <c r="Q432" s="191"/>
      <c r="R432" s="191"/>
      <c r="S432" s="191"/>
      <c r="T432" s="191"/>
      <c r="U432" s="191"/>
      <c r="V432" s="191"/>
      <c r="W432" s="191"/>
      <c r="X432" s="191"/>
      <c r="Y432" s="191"/>
      <c r="Z432" s="191"/>
      <c r="AA432" s="191"/>
      <c r="AB432" s="191"/>
      <c r="AC432" s="190"/>
      <c r="AD432" s="190"/>
      <c r="AE432" s="190"/>
      <c r="AF432" s="190"/>
      <c r="AG432" s="190"/>
      <c r="AH432" s="190"/>
      <c r="AI432" s="190"/>
      <c r="AJ432" s="190"/>
      <c r="AK432" s="190"/>
      <c r="AL432" s="190"/>
      <c r="AM432" s="190"/>
    </row>
    <row r="433" spans="2:39">
      <c r="B433" s="162"/>
      <c r="C433" s="162"/>
      <c r="D433" s="191"/>
      <c r="E433" s="191"/>
      <c r="F433" s="191"/>
      <c r="G433" s="191"/>
      <c r="H433" s="191"/>
      <c r="I433" s="191"/>
      <c r="J433" s="191"/>
      <c r="K433" s="191"/>
      <c r="L433" s="191"/>
      <c r="M433" s="191"/>
      <c r="N433" s="191"/>
      <c r="O433" s="191"/>
      <c r="P433" s="191"/>
      <c r="Q433" s="191"/>
      <c r="R433" s="191"/>
      <c r="S433" s="191"/>
      <c r="T433" s="191"/>
      <c r="U433" s="191"/>
      <c r="V433" s="191"/>
      <c r="W433" s="191"/>
      <c r="X433" s="191"/>
      <c r="Y433" s="191"/>
      <c r="Z433" s="191"/>
      <c r="AA433" s="191"/>
      <c r="AB433" s="191"/>
      <c r="AC433" s="190"/>
      <c r="AD433" s="190"/>
      <c r="AE433" s="190"/>
      <c r="AF433" s="190"/>
      <c r="AG433" s="190"/>
      <c r="AH433" s="190"/>
      <c r="AI433" s="190"/>
      <c r="AJ433" s="190"/>
      <c r="AK433" s="190"/>
      <c r="AL433" s="190"/>
      <c r="AM433" s="190"/>
    </row>
    <row r="434" spans="2:39">
      <c r="B434" s="162"/>
      <c r="C434" s="162"/>
      <c r="D434" s="191"/>
      <c r="E434" s="191"/>
      <c r="F434" s="191"/>
      <c r="G434" s="191"/>
      <c r="H434" s="191"/>
      <c r="I434" s="191"/>
      <c r="J434" s="191"/>
      <c r="K434" s="191"/>
      <c r="L434" s="191"/>
      <c r="M434" s="191"/>
      <c r="N434" s="191"/>
      <c r="O434" s="191"/>
      <c r="P434" s="191"/>
      <c r="Q434" s="191"/>
      <c r="R434" s="191"/>
      <c r="S434" s="191"/>
      <c r="T434" s="191"/>
      <c r="U434" s="191"/>
      <c r="V434" s="191"/>
      <c r="W434" s="191"/>
      <c r="X434" s="191"/>
      <c r="Y434" s="191"/>
      <c r="Z434" s="191"/>
      <c r="AA434" s="191"/>
      <c r="AB434" s="191"/>
      <c r="AC434" s="190"/>
      <c r="AD434" s="190"/>
      <c r="AE434" s="190"/>
      <c r="AF434" s="190"/>
      <c r="AG434" s="190"/>
      <c r="AH434" s="190"/>
      <c r="AI434" s="190"/>
      <c r="AJ434" s="190"/>
      <c r="AK434" s="190"/>
      <c r="AL434" s="190"/>
      <c r="AM434" s="190"/>
    </row>
    <row r="435" spans="2:39">
      <c r="B435" s="162"/>
      <c r="C435" s="162"/>
      <c r="D435" s="191"/>
      <c r="E435" s="191"/>
      <c r="F435" s="191"/>
      <c r="G435" s="191"/>
      <c r="H435" s="191"/>
      <c r="I435" s="191"/>
      <c r="J435" s="191"/>
      <c r="K435" s="191"/>
      <c r="L435" s="191"/>
      <c r="M435" s="191"/>
      <c r="N435" s="191"/>
      <c r="O435" s="191"/>
      <c r="P435" s="191"/>
      <c r="Q435" s="191"/>
      <c r="R435" s="191"/>
      <c r="S435" s="191"/>
      <c r="T435" s="191"/>
      <c r="U435" s="191"/>
      <c r="V435" s="191"/>
      <c r="W435" s="191"/>
      <c r="X435" s="191"/>
      <c r="Y435" s="191"/>
      <c r="Z435" s="191"/>
      <c r="AA435" s="191"/>
      <c r="AB435" s="191"/>
      <c r="AC435" s="190"/>
      <c r="AD435" s="190"/>
      <c r="AE435" s="190"/>
      <c r="AF435" s="190"/>
      <c r="AG435" s="190"/>
      <c r="AH435" s="190"/>
      <c r="AI435" s="190"/>
      <c r="AJ435" s="190"/>
      <c r="AK435" s="190"/>
      <c r="AL435" s="190"/>
      <c r="AM435" s="190"/>
    </row>
    <row r="436" spans="2:39">
      <c r="B436" s="162"/>
      <c r="C436" s="162"/>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c r="AA436" s="191"/>
      <c r="AB436" s="191"/>
      <c r="AC436" s="190"/>
      <c r="AD436" s="190"/>
      <c r="AE436" s="190"/>
      <c r="AF436" s="190"/>
      <c r="AG436" s="190"/>
      <c r="AH436" s="190"/>
      <c r="AI436" s="190"/>
      <c r="AJ436" s="190"/>
      <c r="AK436" s="190"/>
      <c r="AL436" s="190"/>
      <c r="AM436" s="190"/>
    </row>
    <row r="437" spans="2:39">
      <c r="B437" s="162"/>
      <c r="C437" s="162"/>
      <c r="D437" s="191"/>
      <c r="E437" s="191"/>
      <c r="F437" s="191"/>
      <c r="G437" s="191"/>
      <c r="H437" s="191"/>
      <c r="I437" s="191"/>
      <c r="J437" s="191"/>
      <c r="K437" s="191"/>
      <c r="L437" s="191"/>
      <c r="M437" s="191"/>
      <c r="N437" s="191"/>
      <c r="O437" s="191"/>
      <c r="P437" s="191"/>
      <c r="Q437" s="191"/>
      <c r="R437" s="191"/>
      <c r="S437" s="191"/>
      <c r="T437" s="191"/>
      <c r="U437" s="191"/>
      <c r="V437" s="191"/>
      <c r="W437" s="191"/>
      <c r="X437" s="191"/>
      <c r="Y437" s="191"/>
      <c r="Z437" s="191"/>
      <c r="AA437" s="191"/>
      <c r="AB437" s="191"/>
      <c r="AC437" s="190"/>
      <c r="AD437" s="190"/>
      <c r="AE437" s="190"/>
      <c r="AF437" s="190"/>
      <c r="AG437" s="190"/>
      <c r="AH437" s="190"/>
      <c r="AI437" s="190"/>
      <c r="AJ437" s="190"/>
      <c r="AK437" s="190"/>
      <c r="AL437" s="190"/>
      <c r="AM437" s="190"/>
    </row>
    <row r="438" spans="2:39">
      <c r="B438" s="162"/>
      <c r="C438" s="162"/>
      <c r="D438" s="191"/>
      <c r="E438" s="191"/>
      <c r="F438" s="191"/>
      <c r="G438" s="191"/>
      <c r="H438" s="191"/>
      <c r="I438" s="191"/>
      <c r="J438" s="191"/>
      <c r="K438" s="191"/>
      <c r="L438" s="191"/>
      <c r="M438" s="191"/>
      <c r="N438" s="191"/>
      <c r="O438" s="191"/>
      <c r="P438" s="191"/>
      <c r="Q438" s="191"/>
      <c r="R438" s="191"/>
      <c r="S438" s="191"/>
      <c r="T438" s="191"/>
      <c r="U438" s="191"/>
      <c r="V438" s="191"/>
      <c r="W438" s="191"/>
      <c r="X438" s="191"/>
      <c r="Y438" s="191"/>
      <c r="Z438" s="191"/>
      <c r="AA438" s="191"/>
      <c r="AB438" s="191"/>
      <c r="AC438" s="190"/>
      <c r="AD438" s="190"/>
      <c r="AE438" s="190"/>
      <c r="AF438" s="190"/>
      <c r="AG438" s="190"/>
      <c r="AH438" s="190"/>
      <c r="AI438" s="190"/>
      <c r="AJ438" s="190"/>
      <c r="AK438" s="190"/>
      <c r="AL438" s="190"/>
      <c r="AM438" s="190"/>
    </row>
    <row r="439" spans="2:39">
      <c r="B439" s="162"/>
      <c r="C439" s="162"/>
      <c r="D439" s="191"/>
      <c r="E439" s="191"/>
      <c r="F439" s="191"/>
      <c r="G439" s="191"/>
      <c r="H439" s="191"/>
      <c r="I439" s="191"/>
      <c r="J439" s="191"/>
      <c r="K439" s="191"/>
      <c r="L439" s="191"/>
      <c r="M439" s="191"/>
      <c r="N439" s="191"/>
      <c r="O439" s="191"/>
      <c r="P439" s="191"/>
      <c r="Q439" s="191"/>
      <c r="R439" s="191"/>
      <c r="S439" s="191"/>
      <c r="T439" s="191"/>
      <c r="U439" s="191"/>
      <c r="V439" s="191"/>
      <c r="W439" s="191"/>
      <c r="X439" s="191"/>
      <c r="Y439" s="191"/>
      <c r="Z439" s="191"/>
      <c r="AA439" s="191"/>
      <c r="AB439" s="191"/>
      <c r="AC439" s="190"/>
      <c r="AD439" s="190"/>
      <c r="AE439" s="190"/>
      <c r="AF439" s="190"/>
      <c r="AG439" s="190"/>
      <c r="AH439" s="190"/>
      <c r="AI439" s="190"/>
      <c r="AJ439" s="190"/>
      <c r="AK439" s="190"/>
      <c r="AL439" s="190"/>
      <c r="AM439" s="190"/>
    </row>
    <row r="440" spans="2:39">
      <c r="B440" s="162"/>
      <c r="C440" s="162"/>
      <c r="D440" s="191"/>
      <c r="E440" s="191"/>
      <c r="F440" s="191"/>
      <c r="G440" s="191"/>
      <c r="H440" s="191"/>
      <c r="I440" s="191"/>
      <c r="J440" s="191"/>
      <c r="K440" s="191"/>
      <c r="L440" s="191"/>
      <c r="M440" s="191"/>
      <c r="N440" s="191"/>
      <c r="O440" s="191"/>
      <c r="P440" s="191"/>
      <c r="Q440" s="191"/>
      <c r="R440" s="191"/>
      <c r="S440" s="191"/>
      <c r="T440" s="191"/>
      <c r="U440" s="191"/>
      <c r="V440" s="191"/>
      <c r="W440" s="191"/>
      <c r="X440" s="191"/>
      <c r="Y440" s="191"/>
      <c r="Z440" s="191"/>
      <c r="AA440" s="191"/>
      <c r="AB440" s="191"/>
      <c r="AC440" s="190"/>
      <c r="AD440" s="190"/>
      <c r="AE440" s="190"/>
      <c r="AF440" s="190"/>
      <c r="AG440" s="190"/>
      <c r="AH440" s="190"/>
      <c r="AI440" s="190"/>
      <c r="AJ440" s="190"/>
      <c r="AK440" s="190"/>
      <c r="AL440" s="190"/>
      <c r="AM440" s="190"/>
    </row>
    <row r="441" spans="2:39">
      <c r="B441" s="162"/>
      <c r="C441" s="162"/>
      <c r="D441" s="191"/>
      <c r="E441" s="191"/>
      <c r="F441" s="191"/>
      <c r="G441" s="191"/>
      <c r="H441" s="191"/>
      <c r="I441" s="191"/>
      <c r="J441" s="191"/>
      <c r="K441" s="191"/>
      <c r="L441" s="191"/>
      <c r="M441" s="191"/>
      <c r="N441" s="191"/>
      <c r="O441" s="191"/>
      <c r="P441" s="191"/>
      <c r="Q441" s="191"/>
      <c r="R441" s="191"/>
      <c r="S441" s="191"/>
      <c r="T441" s="191"/>
      <c r="U441" s="191"/>
      <c r="V441" s="191"/>
      <c r="W441" s="191"/>
      <c r="X441" s="191"/>
      <c r="Y441" s="191"/>
      <c r="Z441" s="191"/>
      <c r="AA441" s="191"/>
      <c r="AB441" s="191"/>
      <c r="AC441" s="190"/>
      <c r="AD441" s="190"/>
      <c r="AE441" s="190"/>
      <c r="AF441" s="190"/>
      <c r="AG441" s="190"/>
      <c r="AH441" s="190"/>
      <c r="AI441" s="190"/>
      <c r="AJ441" s="190"/>
      <c r="AK441" s="190"/>
      <c r="AL441" s="190"/>
      <c r="AM441" s="190"/>
    </row>
    <row r="442" spans="2:39">
      <c r="B442" s="162"/>
      <c r="C442" s="162"/>
      <c r="D442" s="191"/>
      <c r="E442" s="191"/>
      <c r="F442" s="191"/>
      <c r="G442" s="191"/>
      <c r="H442" s="191"/>
      <c r="I442" s="191"/>
      <c r="J442" s="191"/>
      <c r="K442" s="191"/>
      <c r="L442" s="191"/>
      <c r="M442" s="191"/>
      <c r="N442" s="191"/>
      <c r="O442" s="191"/>
      <c r="P442" s="191"/>
      <c r="Q442" s="191"/>
      <c r="R442" s="191"/>
      <c r="S442" s="191"/>
      <c r="T442" s="191"/>
      <c r="U442" s="191"/>
      <c r="V442" s="191"/>
      <c r="W442" s="191"/>
      <c r="X442" s="191"/>
      <c r="Y442" s="191"/>
      <c r="Z442" s="191"/>
      <c r="AA442" s="191"/>
      <c r="AB442" s="191"/>
      <c r="AC442" s="190"/>
      <c r="AD442" s="190"/>
      <c r="AE442" s="190"/>
      <c r="AF442" s="190"/>
      <c r="AG442" s="190"/>
      <c r="AH442" s="190"/>
      <c r="AI442" s="190"/>
      <c r="AJ442" s="190"/>
      <c r="AK442" s="190"/>
      <c r="AL442" s="190"/>
      <c r="AM442" s="190"/>
    </row>
    <row r="443" spans="2:39">
      <c r="B443" s="162"/>
      <c r="C443" s="162"/>
      <c r="D443" s="191"/>
      <c r="E443" s="191"/>
      <c r="F443" s="191"/>
      <c r="G443" s="191"/>
      <c r="H443" s="191"/>
      <c r="I443" s="191"/>
      <c r="J443" s="191"/>
      <c r="K443" s="191"/>
      <c r="L443" s="191"/>
      <c r="M443" s="191"/>
      <c r="N443" s="191"/>
      <c r="O443" s="191"/>
      <c r="P443" s="191"/>
      <c r="Q443" s="191"/>
      <c r="R443" s="191"/>
      <c r="S443" s="191"/>
      <c r="T443" s="191"/>
      <c r="U443" s="191"/>
      <c r="V443" s="191"/>
      <c r="W443" s="191"/>
      <c r="X443" s="191"/>
      <c r="Y443" s="191"/>
      <c r="Z443" s="191"/>
      <c r="AA443" s="191"/>
      <c r="AB443" s="191"/>
      <c r="AC443" s="190"/>
      <c r="AD443" s="190"/>
      <c r="AE443" s="190"/>
      <c r="AF443" s="190"/>
      <c r="AG443" s="190"/>
      <c r="AH443" s="190"/>
      <c r="AI443" s="190"/>
      <c r="AJ443" s="190"/>
      <c r="AK443" s="190"/>
      <c r="AL443" s="190"/>
      <c r="AM443" s="190"/>
    </row>
    <row r="444" spans="2:39">
      <c r="B444" s="162"/>
      <c r="C444" s="162"/>
      <c r="D444" s="191"/>
      <c r="E444" s="191"/>
      <c r="F444" s="191"/>
      <c r="G444" s="191"/>
      <c r="H444" s="191"/>
      <c r="I444" s="191"/>
      <c r="J444" s="191"/>
      <c r="K444" s="191"/>
      <c r="L444" s="191"/>
      <c r="M444" s="191"/>
      <c r="N444" s="191"/>
      <c r="O444" s="191"/>
      <c r="P444" s="191"/>
      <c r="Q444" s="191"/>
      <c r="R444" s="191"/>
      <c r="S444" s="191"/>
      <c r="T444" s="191"/>
      <c r="U444" s="191"/>
      <c r="V444" s="191"/>
      <c r="W444" s="191"/>
      <c r="X444" s="191"/>
      <c r="Y444" s="191"/>
      <c r="Z444" s="191"/>
      <c r="AA444" s="191"/>
      <c r="AB444" s="191"/>
      <c r="AC444" s="190"/>
      <c r="AD444" s="190"/>
      <c r="AE444" s="190"/>
      <c r="AF444" s="190"/>
      <c r="AG444" s="190"/>
      <c r="AH444" s="190"/>
      <c r="AI444" s="190"/>
      <c r="AJ444" s="190"/>
      <c r="AK444" s="190"/>
      <c r="AL444" s="190"/>
      <c r="AM444" s="190"/>
    </row>
    <row r="445" spans="2:39">
      <c r="B445" s="162"/>
      <c r="C445" s="162"/>
      <c r="D445" s="191"/>
      <c r="E445" s="191"/>
      <c r="F445" s="191"/>
      <c r="G445" s="191"/>
      <c r="H445" s="191"/>
      <c r="I445" s="191"/>
      <c r="J445" s="191"/>
      <c r="K445" s="191"/>
      <c r="L445" s="191"/>
      <c r="M445" s="191"/>
      <c r="N445" s="191"/>
      <c r="O445" s="191"/>
      <c r="P445" s="191"/>
      <c r="Q445" s="191"/>
      <c r="R445" s="191"/>
      <c r="S445" s="191"/>
      <c r="T445" s="191"/>
      <c r="U445" s="191"/>
      <c r="V445" s="191"/>
      <c r="W445" s="191"/>
      <c r="X445" s="191"/>
      <c r="Y445" s="191"/>
      <c r="Z445" s="191"/>
      <c r="AA445" s="191"/>
      <c r="AB445" s="191"/>
      <c r="AC445" s="190"/>
      <c r="AD445" s="190"/>
      <c r="AE445" s="190"/>
      <c r="AF445" s="190"/>
      <c r="AG445" s="190"/>
      <c r="AH445" s="190"/>
      <c r="AI445" s="190"/>
      <c r="AJ445" s="190"/>
      <c r="AK445" s="190"/>
      <c r="AL445" s="190"/>
      <c r="AM445" s="190"/>
    </row>
    <row r="446" spans="2:39">
      <c r="B446" s="162"/>
      <c r="C446" s="162"/>
      <c r="D446" s="191"/>
      <c r="E446" s="191"/>
      <c r="F446" s="191"/>
      <c r="G446" s="191"/>
      <c r="H446" s="191"/>
      <c r="I446" s="191"/>
      <c r="J446" s="191"/>
      <c r="K446" s="191"/>
      <c r="L446" s="191"/>
      <c r="M446" s="191"/>
      <c r="N446" s="191"/>
      <c r="O446" s="191"/>
      <c r="P446" s="191"/>
      <c r="Q446" s="191"/>
      <c r="R446" s="191"/>
      <c r="S446" s="191"/>
      <c r="T446" s="191"/>
      <c r="U446" s="191"/>
      <c r="V446" s="191"/>
      <c r="W446" s="191"/>
      <c r="X446" s="191"/>
      <c r="Y446" s="191"/>
      <c r="Z446" s="191"/>
      <c r="AA446" s="191"/>
      <c r="AB446" s="191"/>
      <c r="AC446" s="190"/>
      <c r="AD446" s="190"/>
      <c r="AE446" s="190"/>
      <c r="AF446" s="190"/>
      <c r="AG446" s="190"/>
      <c r="AH446" s="190"/>
      <c r="AI446" s="190"/>
      <c r="AJ446" s="190"/>
      <c r="AK446" s="190"/>
      <c r="AL446" s="190"/>
      <c r="AM446" s="190"/>
    </row>
    <row r="447" spans="2:39">
      <c r="B447" s="162"/>
      <c r="C447" s="162"/>
      <c r="D447" s="191"/>
      <c r="E447" s="191"/>
      <c r="F447" s="191"/>
      <c r="G447" s="191"/>
      <c r="H447" s="191"/>
      <c r="I447" s="191"/>
      <c r="J447" s="191"/>
      <c r="K447" s="191"/>
      <c r="L447" s="191"/>
      <c r="M447" s="191"/>
      <c r="N447" s="191"/>
      <c r="O447" s="191"/>
      <c r="P447" s="191"/>
      <c r="Q447" s="191"/>
      <c r="R447" s="191"/>
      <c r="S447" s="191"/>
      <c r="T447" s="191"/>
      <c r="U447" s="191"/>
      <c r="V447" s="191"/>
      <c r="W447" s="191"/>
      <c r="X447" s="191"/>
      <c r="Y447" s="191"/>
      <c r="Z447" s="191"/>
      <c r="AA447" s="191"/>
      <c r="AB447" s="191"/>
      <c r="AC447" s="190"/>
      <c r="AD447" s="190"/>
      <c r="AE447" s="190"/>
      <c r="AF447" s="190"/>
      <c r="AG447" s="190"/>
      <c r="AH447" s="190"/>
      <c r="AI447" s="190"/>
      <c r="AJ447" s="190"/>
      <c r="AK447" s="190"/>
      <c r="AL447" s="190"/>
      <c r="AM447" s="190"/>
    </row>
    <row r="448" spans="2:39">
      <c r="B448" s="162"/>
      <c r="C448" s="162"/>
      <c r="D448" s="191"/>
      <c r="E448" s="191"/>
      <c r="F448" s="191"/>
      <c r="G448" s="191"/>
      <c r="H448" s="191"/>
      <c r="I448" s="191"/>
      <c r="J448" s="191"/>
      <c r="K448" s="191"/>
      <c r="L448" s="191"/>
      <c r="M448" s="191"/>
      <c r="N448" s="191"/>
      <c r="O448" s="191"/>
      <c r="P448" s="191"/>
      <c r="Q448" s="191"/>
      <c r="R448" s="191"/>
      <c r="S448" s="191"/>
      <c r="T448" s="191"/>
      <c r="U448" s="191"/>
      <c r="V448" s="191"/>
      <c r="W448" s="191"/>
      <c r="X448" s="191"/>
      <c r="Y448" s="191"/>
      <c r="Z448" s="191"/>
      <c r="AA448" s="191"/>
      <c r="AB448" s="191"/>
      <c r="AC448" s="190"/>
      <c r="AD448" s="190"/>
      <c r="AE448" s="190"/>
      <c r="AF448" s="190"/>
      <c r="AG448" s="190"/>
      <c r="AH448" s="190"/>
      <c r="AI448" s="190"/>
      <c r="AJ448" s="190"/>
      <c r="AK448" s="190"/>
      <c r="AL448" s="190"/>
      <c r="AM448" s="190"/>
    </row>
    <row r="449" spans="2:39">
      <c r="B449" s="162"/>
      <c r="C449" s="162"/>
      <c r="D449" s="191"/>
      <c r="E449" s="191"/>
      <c r="F449" s="191"/>
      <c r="G449" s="191"/>
      <c r="H449" s="191"/>
      <c r="I449" s="191"/>
      <c r="J449" s="191"/>
      <c r="K449" s="191"/>
      <c r="L449" s="191"/>
      <c r="M449" s="191"/>
      <c r="N449" s="191"/>
      <c r="O449" s="191"/>
      <c r="P449" s="191"/>
      <c r="Q449" s="191"/>
      <c r="R449" s="191"/>
      <c r="S449" s="191"/>
      <c r="T449" s="191"/>
      <c r="U449" s="191"/>
      <c r="V449" s="191"/>
      <c r="W449" s="191"/>
      <c r="X449" s="191"/>
      <c r="Y449" s="191"/>
      <c r="Z449" s="191"/>
      <c r="AA449" s="191"/>
      <c r="AB449" s="191"/>
      <c r="AC449" s="190"/>
      <c r="AD449" s="190"/>
      <c r="AE449" s="190"/>
      <c r="AF449" s="190"/>
      <c r="AG449" s="190"/>
      <c r="AH449" s="190"/>
      <c r="AI449" s="190"/>
      <c r="AJ449" s="190"/>
      <c r="AK449" s="190"/>
      <c r="AL449" s="190"/>
      <c r="AM449" s="190"/>
    </row>
    <row r="450" spans="2:39">
      <c r="B450" s="162"/>
      <c r="C450" s="162"/>
      <c r="D450" s="191"/>
      <c r="E450" s="191"/>
      <c r="F450" s="191"/>
      <c r="G450" s="191"/>
      <c r="H450" s="191"/>
      <c r="I450" s="191"/>
      <c r="J450" s="191"/>
      <c r="K450" s="191"/>
      <c r="L450" s="191"/>
      <c r="M450" s="191"/>
      <c r="N450" s="191"/>
      <c r="O450" s="191"/>
      <c r="P450" s="191"/>
      <c r="Q450" s="191"/>
      <c r="R450" s="191"/>
      <c r="S450" s="191"/>
      <c r="T450" s="191"/>
      <c r="U450" s="191"/>
      <c r="V450" s="191"/>
      <c r="W450" s="191"/>
      <c r="X450" s="191"/>
      <c r="Y450" s="191"/>
      <c r="Z450" s="191"/>
      <c r="AA450" s="191"/>
      <c r="AB450" s="191"/>
      <c r="AC450" s="190"/>
      <c r="AD450" s="190"/>
      <c r="AE450" s="190"/>
      <c r="AF450" s="190"/>
      <c r="AG450" s="190"/>
      <c r="AH450" s="190"/>
      <c r="AI450" s="190"/>
      <c r="AJ450" s="190"/>
      <c r="AK450" s="190"/>
      <c r="AL450" s="190"/>
      <c r="AM450" s="190"/>
    </row>
    <row r="451" spans="2:39">
      <c r="B451" s="162"/>
      <c r="C451" s="162"/>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c r="AA451" s="191"/>
      <c r="AB451" s="191"/>
      <c r="AC451" s="190"/>
      <c r="AD451" s="190"/>
      <c r="AE451" s="190"/>
      <c r="AF451" s="190"/>
      <c r="AG451" s="190"/>
      <c r="AH451" s="190"/>
      <c r="AI451" s="190"/>
      <c r="AJ451" s="190"/>
      <c r="AK451" s="190"/>
      <c r="AL451" s="190"/>
      <c r="AM451" s="190"/>
    </row>
    <row r="452" spans="2:39">
      <c r="B452" s="162"/>
      <c r="C452" s="162"/>
      <c r="D452" s="191"/>
      <c r="E452" s="191"/>
      <c r="F452" s="191"/>
      <c r="G452" s="191"/>
      <c r="H452" s="191"/>
      <c r="I452" s="191"/>
      <c r="J452" s="191"/>
      <c r="K452" s="191"/>
      <c r="L452" s="191"/>
      <c r="M452" s="191"/>
      <c r="N452" s="191"/>
      <c r="O452" s="191"/>
      <c r="P452" s="191"/>
      <c r="Q452" s="191"/>
      <c r="R452" s="191"/>
      <c r="S452" s="191"/>
      <c r="T452" s="191"/>
      <c r="U452" s="191"/>
      <c r="V452" s="191"/>
      <c r="W452" s="191"/>
      <c r="X452" s="191"/>
      <c r="Y452" s="191"/>
      <c r="Z452" s="191"/>
      <c r="AA452" s="191"/>
      <c r="AB452" s="191"/>
      <c r="AC452" s="190"/>
      <c r="AD452" s="190"/>
      <c r="AE452" s="190"/>
      <c r="AF452" s="190"/>
      <c r="AG452" s="190"/>
      <c r="AH452" s="190"/>
      <c r="AI452" s="190"/>
      <c r="AJ452" s="190"/>
      <c r="AK452" s="190"/>
      <c r="AL452" s="190"/>
      <c r="AM452" s="190"/>
    </row>
    <row r="453" spans="2:39">
      <c r="B453" s="162"/>
      <c r="C453" s="162"/>
      <c r="D453" s="191"/>
      <c r="E453" s="191"/>
      <c r="F453" s="191"/>
      <c r="G453" s="191"/>
      <c r="H453" s="191"/>
      <c r="I453" s="191"/>
      <c r="J453" s="191"/>
      <c r="K453" s="191"/>
      <c r="L453" s="191"/>
      <c r="M453" s="191"/>
      <c r="N453" s="191"/>
      <c r="O453" s="191"/>
      <c r="P453" s="191"/>
      <c r="Q453" s="191"/>
      <c r="R453" s="191"/>
      <c r="S453" s="191"/>
      <c r="T453" s="191"/>
      <c r="U453" s="191"/>
      <c r="V453" s="191"/>
      <c r="W453" s="191"/>
      <c r="X453" s="191"/>
      <c r="Y453" s="191"/>
      <c r="Z453" s="191"/>
      <c r="AA453" s="191"/>
      <c r="AB453" s="191"/>
      <c r="AC453" s="190"/>
      <c r="AD453" s="190"/>
      <c r="AE453" s="190"/>
      <c r="AF453" s="190"/>
      <c r="AG453" s="190"/>
      <c r="AH453" s="190"/>
      <c r="AI453" s="190"/>
      <c r="AJ453" s="190"/>
      <c r="AK453" s="190"/>
      <c r="AL453" s="190"/>
      <c r="AM453" s="190"/>
    </row>
    <row r="454" spans="2:39">
      <c r="B454" s="162"/>
      <c r="C454" s="162"/>
      <c r="D454" s="191"/>
      <c r="E454" s="191"/>
      <c r="F454" s="191"/>
      <c r="G454" s="191"/>
      <c r="H454" s="191"/>
      <c r="I454" s="191"/>
      <c r="J454" s="191"/>
      <c r="K454" s="191"/>
      <c r="L454" s="191"/>
      <c r="M454" s="191"/>
      <c r="N454" s="191"/>
      <c r="O454" s="191"/>
      <c r="P454" s="191"/>
      <c r="Q454" s="191"/>
      <c r="R454" s="191"/>
      <c r="S454" s="191"/>
      <c r="T454" s="191"/>
      <c r="U454" s="191"/>
      <c r="V454" s="191"/>
      <c r="W454" s="191"/>
      <c r="X454" s="191"/>
      <c r="Y454" s="191"/>
      <c r="Z454" s="191"/>
      <c r="AA454" s="191"/>
      <c r="AB454" s="191"/>
      <c r="AC454" s="190"/>
      <c r="AD454" s="190"/>
      <c r="AE454" s="190"/>
      <c r="AF454" s="190"/>
      <c r="AG454" s="190"/>
      <c r="AH454" s="190"/>
      <c r="AI454" s="190"/>
      <c r="AJ454" s="190"/>
      <c r="AK454" s="190"/>
      <c r="AL454" s="190"/>
      <c r="AM454" s="190"/>
    </row>
    <row r="455" spans="2:39">
      <c r="B455" s="162"/>
      <c r="C455" s="162"/>
      <c r="D455" s="191"/>
      <c r="E455" s="191"/>
      <c r="F455" s="191"/>
      <c r="G455" s="191"/>
      <c r="H455" s="191"/>
      <c r="I455" s="191"/>
      <c r="J455" s="191"/>
      <c r="K455" s="191"/>
      <c r="L455" s="191"/>
      <c r="M455" s="191"/>
      <c r="N455" s="191"/>
      <c r="O455" s="191"/>
      <c r="P455" s="191"/>
      <c r="Q455" s="191"/>
      <c r="R455" s="191"/>
      <c r="S455" s="191"/>
      <c r="T455" s="191"/>
      <c r="U455" s="191"/>
      <c r="V455" s="191"/>
      <c r="W455" s="191"/>
      <c r="X455" s="191"/>
      <c r="Y455" s="191"/>
      <c r="Z455" s="191"/>
      <c r="AA455" s="191"/>
      <c r="AB455" s="191"/>
      <c r="AC455" s="190"/>
      <c r="AD455" s="190"/>
      <c r="AE455" s="190"/>
      <c r="AF455" s="190"/>
      <c r="AG455" s="190"/>
      <c r="AH455" s="190"/>
      <c r="AI455" s="190"/>
      <c r="AJ455" s="190"/>
      <c r="AK455" s="190"/>
      <c r="AL455" s="190"/>
      <c r="AM455" s="190"/>
    </row>
    <row r="456" spans="2:39">
      <c r="B456" s="162"/>
      <c r="C456" s="162"/>
      <c r="D456" s="191"/>
      <c r="E456" s="191"/>
      <c r="F456" s="191"/>
      <c r="G456" s="191"/>
      <c r="H456" s="191"/>
      <c r="I456" s="191"/>
      <c r="J456" s="191"/>
      <c r="K456" s="191"/>
      <c r="L456" s="191"/>
      <c r="M456" s="191"/>
      <c r="N456" s="191"/>
      <c r="O456" s="191"/>
      <c r="P456" s="191"/>
      <c r="Q456" s="191"/>
      <c r="R456" s="191"/>
      <c r="S456" s="191"/>
      <c r="T456" s="191"/>
      <c r="U456" s="191"/>
      <c r="V456" s="191"/>
      <c r="W456" s="191"/>
      <c r="X456" s="191"/>
      <c r="Y456" s="191"/>
      <c r="Z456" s="191"/>
      <c r="AA456" s="191"/>
      <c r="AB456" s="191"/>
      <c r="AC456" s="190"/>
      <c r="AD456" s="190"/>
      <c r="AE456" s="190"/>
      <c r="AF456" s="190"/>
      <c r="AG456" s="190"/>
      <c r="AH456" s="190"/>
      <c r="AI456" s="190"/>
      <c r="AJ456" s="190"/>
      <c r="AK456" s="190"/>
      <c r="AL456" s="190"/>
      <c r="AM456" s="190"/>
    </row>
    <row r="457" spans="2:39">
      <c r="B457" s="162"/>
      <c r="C457" s="162"/>
      <c r="D457" s="191"/>
      <c r="E457" s="191"/>
      <c r="F457" s="191"/>
      <c r="G457" s="191"/>
      <c r="H457" s="191"/>
      <c r="I457" s="191"/>
      <c r="J457" s="191"/>
      <c r="K457" s="191"/>
      <c r="L457" s="191"/>
      <c r="M457" s="191"/>
      <c r="N457" s="191"/>
      <c r="O457" s="191"/>
      <c r="P457" s="191"/>
      <c r="Q457" s="191"/>
      <c r="R457" s="191"/>
      <c r="S457" s="191"/>
      <c r="T457" s="191"/>
      <c r="U457" s="191"/>
      <c r="V457" s="191"/>
      <c r="W457" s="191"/>
      <c r="X457" s="191"/>
      <c r="Y457" s="191"/>
      <c r="Z457" s="191"/>
      <c r="AA457" s="191"/>
      <c r="AB457" s="191"/>
      <c r="AC457" s="190"/>
      <c r="AD457" s="190"/>
      <c r="AE457" s="190"/>
      <c r="AF457" s="190"/>
      <c r="AG457" s="190"/>
      <c r="AH457" s="190"/>
      <c r="AI457" s="190"/>
      <c r="AJ457" s="190"/>
      <c r="AK457" s="190"/>
      <c r="AL457" s="190"/>
      <c r="AM457" s="190"/>
    </row>
    <row r="458" spans="2:39">
      <c r="B458" s="162"/>
      <c r="C458" s="162"/>
      <c r="D458" s="191"/>
      <c r="E458" s="191"/>
      <c r="F458" s="191"/>
      <c r="G458" s="191"/>
      <c r="H458" s="191"/>
      <c r="I458" s="191"/>
      <c r="J458" s="191"/>
      <c r="K458" s="191"/>
      <c r="L458" s="191"/>
      <c r="M458" s="191"/>
      <c r="N458" s="191"/>
      <c r="O458" s="191"/>
      <c r="P458" s="191"/>
      <c r="Q458" s="191"/>
      <c r="R458" s="191"/>
      <c r="S458" s="191"/>
      <c r="T458" s="191"/>
      <c r="U458" s="191"/>
      <c r="V458" s="191"/>
      <c r="W458" s="191"/>
      <c r="X458" s="191"/>
      <c r="Y458" s="191"/>
      <c r="Z458" s="191"/>
      <c r="AA458" s="191"/>
      <c r="AB458" s="191"/>
      <c r="AC458" s="190"/>
      <c r="AD458" s="190"/>
      <c r="AE458" s="190"/>
      <c r="AF458" s="190"/>
      <c r="AG458" s="190"/>
      <c r="AH458" s="190"/>
      <c r="AI458" s="190"/>
      <c r="AJ458" s="190"/>
      <c r="AK458" s="190"/>
      <c r="AL458" s="190"/>
      <c r="AM458" s="190"/>
    </row>
    <row r="459" spans="2:39">
      <c r="B459" s="162"/>
      <c r="C459" s="162"/>
      <c r="D459" s="191"/>
      <c r="E459" s="191"/>
      <c r="F459" s="191"/>
      <c r="G459" s="191"/>
      <c r="H459" s="191"/>
      <c r="I459" s="191"/>
      <c r="J459" s="191"/>
      <c r="K459" s="191"/>
      <c r="L459" s="191"/>
      <c r="M459" s="191"/>
      <c r="N459" s="191"/>
      <c r="O459" s="191"/>
      <c r="P459" s="191"/>
      <c r="Q459" s="191"/>
      <c r="R459" s="191"/>
      <c r="S459" s="191"/>
      <c r="T459" s="191"/>
      <c r="U459" s="191"/>
      <c r="V459" s="191"/>
      <c r="W459" s="191"/>
      <c r="X459" s="191"/>
      <c r="Y459" s="191"/>
      <c r="Z459" s="191"/>
      <c r="AA459" s="191"/>
      <c r="AB459" s="191"/>
      <c r="AC459" s="190"/>
      <c r="AD459" s="190"/>
      <c r="AE459" s="190"/>
      <c r="AF459" s="190"/>
      <c r="AG459" s="190"/>
      <c r="AH459" s="190"/>
      <c r="AI459" s="190"/>
      <c r="AJ459" s="190"/>
      <c r="AK459" s="190"/>
      <c r="AL459" s="190"/>
      <c r="AM459" s="190"/>
    </row>
    <row r="460" spans="2:39">
      <c r="B460" s="162"/>
      <c r="C460" s="162"/>
      <c r="D460" s="191"/>
      <c r="E460" s="191"/>
      <c r="F460" s="191"/>
      <c r="G460" s="191"/>
      <c r="H460" s="191"/>
      <c r="I460" s="191"/>
      <c r="J460" s="191"/>
      <c r="K460" s="191"/>
      <c r="L460" s="191"/>
      <c r="M460" s="191"/>
      <c r="N460" s="191"/>
      <c r="O460" s="191"/>
      <c r="P460" s="191"/>
      <c r="Q460" s="191"/>
      <c r="R460" s="191"/>
      <c r="S460" s="191"/>
      <c r="T460" s="191"/>
      <c r="U460" s="191"/>
      <c r="V460" s="191"/>
      <c r="W460" s="191"/>
      <c r="X460" s="191"/>
      <c r="Y460" s="191"/>
      <c r="Z460" s="191"/>
      <c r="AA460" s="191"/>
      <c r="AB460" s="191"/>
      <c r="AC460" s="190"/>
      <c r="AD460" s="190"/>
      <c r="AE460" s="190"/>
      <c r="AF460" s="190"/>
      <c r="AG460" s="190"/>
      <c r="AH460" s="190"/>
      <c r="AI460" s="190"/>
      <c r="AJ460" s="190"/>
      <c r="AK460" s="190"/>
      <c r="AL460" s="190"/>
      <c r="AM460" s="190"/>
    </row>
    <row r="461" spans="2:39">
      <c r="B461" s="162"/>
      <c r="C461" s="162"/>
      <c r="D461" s="191"/>
      <c r="E461" s="191"/>
      <c r="F461" s="191"/>
      <c r="G461" s="191"/>
      <c r="H461" s="191"/>
      <c r="I461" s="191"/>
      <c r="J461" s="191"/>
      <c r="K461" s="191"/>
      <c r="L461" s="191"/>
      <c r="M461" s="191"/>
      <c r="N461" s="191"/>
      <c r="O461" s="191"/>
      <c r="P461" s="191"/>
      <c r="Q461" s="191"/>
      <c r="R461" s="191"/>
      <c r="S461" s="191"/>
      <c r="T461" s="191"/>
      <c r="U461" s="191"/>
      <c r="V461" s="191"/>
      <c r="W461" s="191"/>
      <c r="X461" s="191"/>
      <c r="Y461" s="191"/>
      <c r="Z461" s="191"/>
      <c r="AA461" s="191"/>
      <c r="AB461" s="191"/>
      <c r="AC461" s="190"/>
      <c r="AD461" s="190"/>
      <c r="AE461" s="190"/>
      <c r="AF461" s="190"/>
      <c r="AG461" s="190"/>
      <c r="AH461" s="190"/>
      <c r="AI461" s="190"/>
      <c r="AJ461" s="190"/>
      <c r="AK461" s="190"/>
      <c r="AL461" s="190"/>
      <c r="AM461" s="190"/>
    </row>
    <row r="462" spans="2:39">
      <c r="B462" s="162"/>
      <c r="C462" s="162"/>
      <c r="D462" s="191"/>
      <c r="E462" s="191"/>
      <c r="F462" s="191"/>
      <c r="G462" s="191"/>
      <c r="H462" s="191"/>
      <c r="I462" s="191"/>
      <c r="J462" s="191"/>
      <c r="K462" s="191"/>
      <c r="L462" s="191"/>
      <c r="M462" s="191"/>
      <c r="N462" s="191"/>
      <c r="O462" s="191"/>
      <c r="P462" s="191"/>
      <c r="Q462" s="191"/>
      <c r="R462" s="191"/>
      <c r="S462" s="191"/>
      <c r="T462" s="191"/>
      <c r="U462" s="191"/>
      <c r="V462" s="191"/>
      <c r="W462" s="191"/>
      <c r="X462" s="191"/>
      <c r="Y462" s="191"/>
      <c r="Z462" s="191"/>
      <c r="AA462" s="191"/>
      <c r="AB462" s="191"/>
      <c r="AC462" s="190"/>
      <c r="AD462" s="190"/>
      <c r="AE462" s="190"/>
      <c r="AF462" s="190"/>
      <c r="AG462" s="190"/>
      <c r="AH462" s="190"/>
      <c r="AI462" s="190"/>
      <c r="AJ462" s="190"/>
      <c r="AK462" s="190"/>
      <c r="AL462" s="190"/>
      <c r="AM462" s="190"/>
    </row>
    <row r="463" spans="2:39">
      <c r="B463" s="162"/>
      <c r="C463" s="162"/>
      <c r="D463" s="191"/>
      <c r="E463" s="191"/>
      <c r="F463" s="191"/>
      <c r="G463" s="191"/>
      <c r="H463" s="191"/>
      <c r="I463" s="191"/>
      <c r="J463" s="191"/>
      <c r="K463" s="191"/>
      <c r="L463" s="191"/>
      <c r="M463" s="191"/>
      <c r="N463" s="191"/>
      <c r="O463" s="191"/>
      <c r="P463" s="191"/>
      <c r="Q463" s="191"/>
      <c r="R463" s="191"/>
      <c r="S463" s="191"/>
      <c r="T463" s="191"/>
      <c r="U463" s="191"/>
      <c r="V463" s="191"/>
      <c r="W463" s="191"/>
      <c r="X463" s="191"/>
      <c r="Y463" s="191"/>
      <c r="Z463" s="191"/>
      <c r="AA463" s="191"/>
      <c r="AB463" s="191"/>
      <c r="AC463" s="190"/>
      <c r="AD463" s="190"/>
      <c r="AE463" s="190"/>
      <c r="AF463" s="190"/>
      <c r="AG463" s="190"/>
      <c r="AH463" s="190"/>
      <c r="AI463" s="190"/>
      <c r="AJ463" s="190"/>
      <c r="AK463" s="190"/>
      <c r="AL463" s="190"/>
      <c r="AM463" s="190"/>
    </row>
    <row r="464" spans="2:39">
      <c r="B464" s="162"/>
      <c r="C464" s="162"/>
      <c r="D464" s="191"/>
      <c r="E464" s="191"/>
      <c r="F464" s="191"/>
      <c r="G464" s="191"/>
      <c r="H464" s="191"/>
      <c r="I464" s="191"/>
      <c r="J464" s="191"/>
      <c r="K464" s="191"/>
      <c r="L464" s="191"/>
      <c r="M464" s="191"/>
      <c r="N464" s="191"/>
      <c r="O464" s="191"/>
      <c r="P464" s="191"/>
      <c r="Q464" s="191"/>
      <c r="R464" s="191"/>
      <c r="S464" s="191"/>
      <c r="T464" s="191"/>
      <c r="U464" s="191"/>
      <c r="V464" s="191"/>
      <c r="W464" s="191"/>
      <c r="X464" s="191"/>
      <c r="Y464" s="191"/>
      <c r="Z464" s="191"/>
      <c r="AA464" s="191"/>
      <c r="AB464" s="191"/>
      <c r="AC464" s="190"/>
      <c r="AD464" s="190"/>
      <c r="AE464" s="190"/>
      <c r="AF464" s="190"/>
      <c r="AG464" s="190"/>
      <c r="AH464" s="190"/>
      <c r="AI464" s="190"/>
      <c r="AJ464" s="190"/>
      <c r="AK464" s="190"/>
      <c r="AL464" s="190"/>
      <c r="AM464" s="190"/>
    </row>
    <row r="465" spans="2:39">
      <c r="B465" s="162"/>
      <c r="C465" s="162"/>
      <c r="D465" s="191"/>
      <c r="E465" s="191"/>
      <c r="F465" s="191"/>
      <c r="G465" s="191"/>
      <c r="H465" s="191"/>
      <c r="I465" s="191"/>
      <c r="J465" s="191"/>
      <c r="K465" s="191"/>
      <c r="L465" s="191"/>
      <c r="M465" s="191"/>
      <c r="N465" s="191"/>
      <c r="O465" s="191"/>
      <c r="P465" s="191"/>
      <c r="Q465" s="191"/>
      <c r="R465" s="191"/>
      <c r="S465" s="191"/>
      <c r="T465" s="191"/>
      <c r="U465" s="191"/>
      <c r="V465" s="191"/>
      <c r="W465" s="191"/>
      <c r="X465" s="191"/>
      <c r="Y465" s="191"/>
      <c r="Z465" s="191"/>
      <c r="AA465" s="191"/>
      <c r="AB465" s="191"/>
      <c r="AC465" s="190"/>
      <c r="AD465" s="190"/>
      <c r="AE465" s="190"/>
      <c r="AF465" s="190"/>
      <c r="AG465" s="190"/>
      <c r="AH465" s="190"/>
      <c r="AI465" s="190"/>
      <c r="AJ465" s="190"/>
      <c r="AK465" s="190"/>
      <c r="AL465" s="190"/>
      <c r="AM465" s="190"/>
    </row>
    <row r="466" spans="2:39">
      <c r="B466" s="162"/>
      <c r="C466" s="162"/>
      <c r="D466" s="191"/>
      <c r="E466" s="191"/>
      <c r="F466" s="191"/>
      <c r="G466" s="191"/>
      <c r="H466" s="191"/>
      <c r="I466" s="191"/>
      <c r="J466" s="191"/>
      <c r="K466" s="191"/>
      <c r="L466" s="191"/>
      <c r="M466" s="191"/>
      <c r="N466" s="191"/>
      <c r="O466" s="191"/>
      <c r="P466" s="191"/>
      <c r="Q466" s="191"/>
      <c r="R466" s="191"/>
      <c r="S466" s="191"/>
      <c r="T466" s="191"/>
      <c r="U466" s="191"/>
      <c r="V466" s="191"/>
      <c r="W466" s="191"/>
      <c r="X466" s="191"/>
      <c r="Y466" s="191"/>
      <c r="Z466" s="191"/>
      <c r="AA466" s="191"/>
      <c r="AB466" s="191"/>
      <c r="AC466" s="190"/>
      <c r="AD466" s="190"/>
      <c r="AE466" s="190"/>
      <c r="AF466" s="190"/>
      <c r="AG466" s="190"/>
      <c r="AH466" s="190"/>
      <c r="AI466" s="190"/>
      <c r="AJ466" s="190"/>
      <c r="AK466" s="190"/>
      <c r="AL466" s="190"/>
      <c r="AM466" s="190"/>
    </row>
    <row r="467" spans="2:39">
      <c r="B467" s="162"/>
      <c r="C467" s="162"/>
      <c r="D467" s="191"/>
      <c r="E467" s="191"/>
      <c r="F467" s="191"/>
      <c r="G467" s="191"/>
      <c r="H467" s="191"/>
      <c r="I467" s="191"/>
      <c r="J467" s="191"/>
      <c r="K467" s="191"/>
      <c r="L467" s="191"/>
      <c r="M467" s="191"/>
      <c r="N467" s="191"/>
      <c r="O467" s="191"/>
      <c r="P467" s="191"/>
      <c r="Q467" s="191"/>
      <c r="R467" s="191"/>
      <c r="S467" s="191"/>
      <c r="T467" s="191"/>
      <c r="U467" s="191"/>
      <c r="V467" s="191"/>
      <c r="W467" s="191"/>
      <c r="X467" s="191"/>
      <c r="Y467" s="191"/>
      <c r="Z467" s="191"/>
      <c r="AA467" s="191"/>
      <c r="AB467" s="191"/>
      <c r="AC467" s="190"/>
      <c r="AD467" s="190"/>
      <c r="AE467" s="190"/>
      <c r="AF467" s="190"/>
      <c r="AG467" s="190"/>
      <c r="AH467" s="190"/>
      <c r="AI467" s="190"/>
      <c r="AJ467" s="190"/>
      <c r="AK467" s="190"/>
      <c r="AL467" s="190"/>
      <c r="AM467" s="190"/>
    </row>
    <row r="468" spans="2:39">
      <c r="B468" s="162"/>
      <c r="C468" s="162"/>
      <c r="D468" s="191"/>
      <c r="E468" s="191"/>
      <c r="F468" s="191"/>
      <c r="G468" s="191"/>
      <c r="H468" s="191"/>
      <c r="I468" s="191"/>
      <c r="J468" s="191"/>
      <c r="K468" s="191"/>
      <c r="L468" s="191"/>
      <c r="M468" s="191"/>
      <c r="N468" s="191"/>
      <c r="O468" s="191"/>
      <c r="P468" s="191"/>
      <c r="Q468" s="191"/>
      <c r="R468" s="191"/>
      <c r="S468" s="191"/>
      <c r="T468" s="191"/>
      <c r="U468" s="191"/>
      <c r="V468" s="191"/>
      <c r="W468" s="191"/>
      <c r="X468" s="191"/>
      <c r="Y468" s="191"/>
      <c r="Z468" s="191"/>
      <c r="AA468" s="191"/>
      <c r="AB468" s="191"/>
      <c r="AC468" s="190"/>
      <c r="AD468" s="190"/>
      <c r="AE468" s="190"/>
      <c r="AF468" s="190"/>
      <c r="AG468" s="190"/>
      <c r="AH468" s="190"/>
      <c r="AI468" s="190"/>
      <c r="AJ468" s="190"/>
      <c r="AK468" s="190"/>
      <c r="AL468" s="190"/>
      <c r="AM468" s="190"/>
    </row>
    <row r="469" spans="2:39">
      <c r="B469" s="162"/>
      <c r="C469" s="162"/>
      <c r="D469" s="191"/>
      <c r="E469" s="191"/>
      <c r="F469" s="191"/>
      <c r="G469" s="191"/>
      <c r="H469" s="191"/>
      <c r="I469" s="191"/>
      <c r="J469" s="191"/>
      <c r="K469" s="191"/>
      <c r="L469" s="191"/>
      <c r="M469" s="191"/>
      <c r="N469" s="191"/>
      <c r="O469" s="191"/>
      <c r="P469" s="191"/>
      <c r="Q469" s="191"/>
      <c r="R469" s="191"/>
      <c r="S469" s="191"/>
      <c r="T469" s="191"/>
      <c r="U469" s="191"/>
      <c r="V469" s="191"/>
      <c r="W469" s="191"/>
      <c r="X469" s="191"/>
      <c r="Y469" s="191"/>
      <c r="Z469" s="191"/>
      <c r="AA469" s="191"/>
      <c r="AB469" s="191"/>
      <c r="AC469" s="190"/>
      <c r="AD469" s="190"/>
      <c r="AE469" s="190"/>
      <c r="AF469" s="190"/>
      <c r="AG469" s="190"/>
      <c r="AH469" s="190"/>
      <c r="AI469" s="190"/>
      <c r="AJ469" s="190"/>
      <c r="AK469" s="190"/>
      <c r="AL469" s="190"/>
      <c r="AM469" s="190"/>
    </row>
    <row r="470" spans="2:39">
      <c r="B470" s="162"/>
      <c r="C470" s="162"/>
      <c r="D470" s="191"/>
      <c r="E470" s="191"/>
      <c r="F470" s="191"/>
      <c r="G470" s="191"/>
      <c r="H470" s="191"/>
      <c r="I470" s="191"/>
      <c r="J470" s="191"/>
      <c r="K470" s="191"/>
      <c r="L470" s="191"/>
      <c r="M470" s="191"/>
      <c r="N470" s="191"/>
      <c r="O470" s="191"/>
      <c r="P470" s="191"/>
      <c r="Q470" s="191"/>
      <c r="R470" s="191"/>
      <c r="S470" s="191"/>
      <c r="T470" s="191"/>
      <c r="U470" s="191"/>
      <c r="V470" s="191"/>
      <c r="W470" s="191"/>
      <c r="X470" s="191"/>
      <c r="Y470" s="191"/>
      <c r="Z470" s="191"/>
      <c r="AA470" s="191"/>
      <c r="AB470" s="191"/>
      <c r="AC470" s="190"/>
      <c r="AD470" s="190"/>
      <c r="AE470" s="190"/>
      <c r="AF470" s="190"/>
      <c r="AG470" s="190"/>
      <c r="AH470" s="190"/>
      <c r="AI470" s="190"/>
      <c r="AJ470" s="190"/>
      <c r="AK470" s="190"/>
      <c r="AL470" s="190"/>
      <c r="AM470" s="190"/>
    </row>
    <row r="471" spans="2:39">
      <c r="B471" s="162"/>
      <c r="C471" s="162"/>
      <c r="D471" s="191"/>
      <c r="E471" s="191"/>
      <c r="F471" s="191"/>
      <c r="G471" s="191"/>
      <c r="H471" s="191"/>
      <c r="I471" s="191"/>
      <c r="J471" s="191"/>
      <c r="K471" s="191"/>
      <c r="L471" s="191"/>
      <c r="M471" s="191"/>
      <c r="N471" s="191"/>
      <c r="O471" s="191"/>
      <c r="P471" s="191"/>
      <c r="Q471" s="191"/>
      <c r="R471" s="191"/>
      <c r="S471" s="191"/>
      <c r="T471" s="191"/>
      <c r="U471" s="191"/>
      <c r="V471" s="191"/>
      <c r="W471" s="191"/>
      <c r="X471" s="191"/>
      <c r="Y471" s="191"/>
      <c r="Z471" s="191"/>
      <c r="AA471" s="191"/>
      <c r="AB471" s="191"/>
      <c r="AC471" s="190"/>
      <c r="AD471" s="190"/>
      <c r="AE471" s="190"/>
      <c r="AF471" s="190"/>
      <c r="AG471" s="190"/>
      <c r="AH471" s="190"/>
      <c r="AI471" s="190"/>
      <c r="AJ471" s="190"/>
      <c r="AK471" s="190"/>
      <c r="AL471" s="190"/>
      <c r="AM471" s="190"/>
    </row>
    <row r="472" spans="2:39">
      <c r="B472" s="162"/>
      <c r="C472" s="162"/>
      <c r="D472" s="191"/>
      <c r="E472" s="191"/>
      <c r="F472" s="191"/>
      <c r="G472" s="191"/>
      <c r="H472" s="191"/>
      <c r="I472" s="191"/>
      <c r="J472" s="191"/>
      <c r="K472" s="191"/>
      <c r="L472" s="191"/>
      <c r="M472" s="191"/>
      <c r="N472" s="191"/>
      <c r="O472" s="191"/>
      <c r="P472" s="191"/>
      <c r="Q472" s="191"/>
      <c r="R472" s="191"/>
      <c r="S472" s="191"/>
      <c r="T472" s="191"/>
      <c r="U472" s="191"/>
      <c r="V472" s="191"/>
      <c r="W472" s="191"/>
      <c r="X472" s="191"/>
      <c r="Y472" s="191"/>
      <c r="Z472" s="191"/>
      <c r="AA472" s="191"/>
      <c r="AB472" s="191"/>
      <c r="AC472" s="190"/>
      <c r="AD472" s="190"/>
      <c r="AE472" s="190"/>
      <c r="AF472" s="190"/>
      <c r="AG472" s="190"/>
      <c r="AH472" s="190"/>
      <c r="AI472" s="190"/>
      <c r="AJ472" s="190"/>
      <c r="AK472" s="190"/>
      <c r="AL472" s="190"/>
      <c r="AM472" s="190"/>
    </row>
    <row r="473" spans="2:39">
      <c r="B473" s="162"/>
      <c r="C473" s="162"/>
      <c r="D473" s="191"/>
      <c r="E473" s="191"/>
      <c r="F473" s="191"/>
      <c r="G473" s="191"/>
      <c r="H473" s="191"/>
      <c r="I473" s="191"/>
      <c r="J473" s="191"/>
      <c r="K473" s="191"/>
      <c r="L473" s="191"/>
      <c r="M473" s="191"/>
      <c r="N473" s="191"/>
      <c r="O473" s="191"/>
      <c r="P473" s="191"/>
      <c r="Q473" s="191"/>
      <c r="R473" s="191"/>
      <c r="S473" s="191"/>
      <c r="T473" s="191"/>
      <c r="U473" s="191"/>
      <c r="V473" s="191"/>
      <c r="W473" s="191"/>
      <c r="X473" s="191"/>
      <c r="Y473" s="191"/>
      <c r="Z473" s="191"/>
      <c r="AA473" s="191"/>
      <c r="AB473" s="191"/>
      <c r="AC473" s="190"/>
      <c r="AD473" s="190"/>
      <c r="AE473" s="190"/>
      <c r="AF473" s="190"/>
      <c r="AG473" s="190"/>
      <c r="AH473" s="190"/>
      <c r="AI473" s="190"/>
      <c r="AJ473" s="190"/>
      <c r="AK473" s="190"/>
      <c r="AL473" s="190"/>
      <c r="AM473" s="190"/>
    </row>
    <row r="474" spans="2:39">
      <c r="B474" s="162"/>
      <c r="C474" s="162"/>
      <c r="D474" s="191"/>
      <c r="E474" s="191"/>
      <c r="F474" s="191"/>
      <c r="G474" s="191"/>
      <c r="H474" s="191"/>
      <c r="I474" s="191"/>
      <c r="J474" s="191"/>
      <c r="K474" s="191"/>
      <c r="L474" s="191"/>
      <c r="M474" s="191"/>
      <c r="N474" s="191"/>
      <c r="O474" s="191"/>
      <c r="P474" s="191"/>
      <c r="Q474" s="191"/>
      <c r="R474" s="191"/>
      <c r="S474" s="191"/>
      <c r="T474" s="191"/>
      <c r="U474" s="191"/>
      <c r="V474" s="191"/>
      <c r="W474" s="191"/>
      <c r="X474" s="191"/>
      <c r="Y474" s="191"/>
      <c r="Z474" s="191"/>
      <c r="AA474" s="191"/>
      <c r="AB474" s="191"/>
      <c r="AC474" s="190"/>
      <c r="AD474" s="190"/>
      <c r="AE474" s="190"/>
      <c r="AF474" s="190"/>
      <c r="AG474" s="190"/>
      <c r="AH474" s="190"/>
      <c r="AI474" s="190"/>
      <c r="AJ474" s="190"/>
      <c r="AK474" s="190"/>
      <c r="AL474" s="190"/>
      <c r="AM474" s="190"/>
    </row>
    <row r="475" spans="2:39">
      <c r="B475" s="162"/>
      <c r="C475" s="162"/>
      <c r="D475" s="191"/>
      <c r="E475" s="191"/>
      <c r="F475" s="191"/>
      <c r="G475" s="191"/>
      <c r="H475" s="191"/>
      <c r="I475" s="191"/>
      <c r="J475" s="191"/>
      <c r="K475" s="191"/>
      <c r="L475" s="191"/>
      <c r="M475" s="191"/>
      <c r="N475" s="191"/>
      <c r="O475" s="191"/>
      <c r="P475" s="191"/>
      <c r="Q475" s="191"/>
      <c r="R475" s="191"/>
      <c r="S475" s="191"/>
      <c r="T475" s="191"/>
      <c r="U475" s="191"/>
      <c r="V475" s="191"/>
      <c r="W475" s="191"/>
      <c r="X475" s="191"/>
      <c r="Y475" s="191"/>
      <c r="Z475" s="191"/>
      <c r="AA475" s="191"/>
      <c r="AB475" s="191"/>
      <c r="AC475" s="190"/>
      <c r="AD475" s="190"/>
      <c r="AE475" s="190"/>
      <c r="AF475" s="190"/>
      <c r="AG475" s="190"/>
      <c r="AH475" s="190"/>
      <c r="AI475" s="190"/>
      <c r="AJ475" s="190"/>
      <c r="AK475" s="190"/>
      <c r="AL475" s="190"/>
      <c r="AM475" s="190"/>
    </row>
    <row r="476" spans="2:39">
      <c r="B476" s="162"/>
      <c r="C476" s="162"/>
      <c r="D476" s="191"/>
      <c r="E476" s="191"/>
      <c r="F476" s="191"/>
      <c r="G476" s="191"/>
      <c r="H476" s="191"/>
      <c r="I476" s="191"/>
      <c r="J476" s="191"/>
      <c r="K476" s="191"/>
      <c r="L476" s="191"/>
      <c r="M476" s="191"/>
      <c r="N476" s="191"/>
      <c r="O476" s="191"/>
      <c r="P476" s="191"/>
      <c r="Q476" s="191"/>
      <c r="R476" s="191"/>
      <c r="S476" s="191"/>
      <c r="T476" s="191"/>
      <c r="U476" s="191"/>
      <c r="V476" s="191"/>
      <c r="W476" s="191"/>
      <c r="X476" s="191"/>
      <c r="Y476" s="191"/>
      <c r="Z476" s="191"/>
      <c r="AA476" s="191"/>
      <c r="AB476" s="191"/>
      <c r="AC476" s="190"/>
      <c r="AD476" s="190"/>
      <c r="AE476" s="190"/>
      <c r="AF476" s="190"/>
      <c r="AG476" s="190"/>
      <c r="AH476" s="190"/>
      <c r="AI476" s="190"/>
      <c r="AJ476" s="190"/>
      <c r="AK476" s="190"/>
      <c r="AL476" s="190"/>
      <c r="AM476" s="190"/>
    </row>
    <row r="477" spans="2:39">
      <c r="B477" s="162"/>
      <c r="C477" s="162"/>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c r="AA477" s="191"/>
      <c r="AB477" s="191"/>
      <c r="AC477" s="190"/>
      <c r="AD477" s="190"/>
      <c r="AE477" s="190"/>
      <c r="AF477" s="190"/>
      <c r="AG477" s="190"/>
      <c r="AH477" s="190"/>
      <c r="AI477" s="190"/>
      <c r="AJ477" s="190"/>
      <c r="AK477" s="190"/>
      <c r="AL477" s="190"/>
      <c r="AM477" s="190"/>
    </row>
    <row r="478" spans="2:39">
      <c r="B478" s="162"/>
      <c r="C478" s="162"/>
      <c r="D478" s="191"/>
      <c r="E478" s="191"/>
      <c r="F478" s="191"/>
      <c r="G478" s="191"/>
      <c r="H478" s="191"/>
      <c r="I478" s="191"/>
      <c r="J478" s="191"/>
      <c r="K478" s="191"/>
      <c r="L478" s="191"/>
      <c r="M478" s="191"/>
      <c r="N478" s="191"/>
      <c r="O478" s="191"/>
      <c r="P478" s="191"/>
      <c r="Q478" s="191"/>
      <c r="R478" s="191"/>
      <c r="S478" s="191"/>
      <c r="T478" s="191"/>
      <c r="U478" s="191"/>
      <c r="V478" s="191"/>
      <c r="W478" s="191"/>
      <c r="X478" s="191"/>
      <c r="Y478" s="191"/>
      <c r="Z478" s="191"/>
      <c r="AA478" s="191"/>
      <c r="AB478" s="191"/>
      <c r="AC478" s="190"/>
      <c r="AD478" s="190"/>
      <c r="AE478" s="190"/>
      <c r="AF478" s="190"/>
      <c r="AG478" s="190"/>
      <c r="AH478" s="190"/>
      <c r="AI478" s="190"/>
      <c r="AJ478" s="190"/>
      <c r="AK478" s="190"/>
      <c r="AL478" s="190"/>
      <c r="AM478" s="190"/>
    </row>
    <row r="479" spans="2:39">
      <c r="B479" s="162"/>
      <c r="C479" s="162"/>
      <c r="D479" s="191"/>
      <c r="E479" s="191"/>
      <c r="F479" s="191"/>
      <c r="G479" s="191"/>
      <c r="H479" s="191"/>
      <c r="I479" s="191"/>
      <c r="J479" s="191"/>
      <c r="K479" s="191"/>
      <c r="L479" s="191"/>
      <c r="M479" s="191"/>
      <c r="N479" s="191"/>
      <c r="O479" s="191"/>
      <c r="P479" s="191"/>
      <c r="Q479" s="191"/>
      <c r="R479" s="191"/>
      <c r="S479" s="191"/>
      <c r="T479" s="191"/>
      <c r="U479" s="191"/>
      <c r="V479" s="191"/>
      <c r="W479" s="191"/>
      <c r="X479" s="191"/>
      <c r="Y479" s="191"/>
      <c r="Z479" s="191"/>
      <c r="AA479" s="191"/>
      <c r="AB479" s="191"/>
      <c r="AC479" s="190"/>
      <c r="AD479" s="190"/>
      <c r="AE479" s="190"/>
      <c r="AF479" s="190"/>
      <c r="AG479" s="190"/>
      <c r="AH479" s="190"/>
      <c r="AI479" s="190"/>
      <c r="AJ479" s="190"/>
      <c r="AK479" s="190"/>
      <c r="AL479" s="190"/>
      <c r="AM479" s="190"/>
    </row>
    <row r="480" spans="2:39">
      <c r="B480" s="162"/>
      <c r="C480" s="162"/>
      <c r="D480" s="191"/>
      <c r="E480" s="191"/>
      <c r="F480" s="191"/>
      <c r="G480" s="191"/>
      <c r="H480" s="191"/>
      <c r="I480" s="191"/>
      <c r="J480" s="191"/>
      <c r="K480" s="191"/>
      <c r="L480" s="191"/>
      <c r="M480" s="191"/>
      <c r="N480" s="191"/>
      <c r="O480" s="191"/>
      <c r="P480" s="191"/>
      <c r="Q480" s="191"/>
      <c r="R480" s="191"/>
      <c r="S480" s="191"/>
      <c r="T480" s="191"/>
      <c r="U480" s="191"/>
      <c r="V480" s="191"/>
      <c r="W480" s="191"/>
      <c r="X480" s="191"/>
      <c r="Y480" s="191"/>
      <c r="Z480" s="191"/>
      <c r="AA480" s="191"/>
      <c r="AB480" s="191"/>
      <c r="AC480" s="190"/>
      <c r="AD480" s="190"/>
      <c r="AE480" s="190"/>
      <c r="AF480" s="190"/>
      <c r="AG480" s="190"/>
      <c r="AH480" s="190"/>
      <c r="AI480" s="190"/>
      <c r="AJ480" s="190"/>
      <c r="AK480" s="190"/>
      <c r="AL480" s="190"/>
      <c r="AM480" s="190"/>
    </row>
    <row r="481" spans="2:39">
      <c r="B481" s="162"/>
      <c r="C481" s="162"/>
      <c r="D481" s="191"/>
      <c r="E481" s="191"/>
      <c r="F481" s="191"/>
      <c r="G481" s="191"/>
      <c r="H481" s="191"/>
      <c r="I481" s="191"/>
      <c r="J481" s="191"/>
      <c r="K481" s="191"/>
      <c r="L481" s="191"/>
      <c r="M481" s="191"/>
      <c r="N481" s="191"/>
      <c r="O481" s="191"/>
      <c r="P481" s="191"/>
      <c r="Q481" s="191"/>
      <c r="R481" s="191"/>
      <c r="S481" s="191"/>
      <c r="T481" s="191"/>
      <c r="U481" s="191"/>
      <c r="V481" s="191"/>
      <c r="W481" s="191"/>
      <c r="X481" s="191"/>
      <c r="Y481" s="191"/>
      <c r="Z481" s="191"/>
      <c r="AA481" s="191"/>
      <c r="AB481" s="191"/>
      <c r="AC481" s="190"/>
      <c r="AD481" s="190"/>
      <c r="AE481" s="190"/>
      <c r="AF481" s="190"/>
      <c r="AG481" s="190"/>
      <c r="AH481" s="190"/>
      <c r="AI481" s="190"/>
      <c r="AJ481" s="190"/>
      <c r="AK481" s="190"/>
      <c r="AL481" s="190"/>
      <c r="AM481" s="190"/>
    </row>
    <row r="482" spans="2:39">
      <c r="B482" s="162"/>
      <c r="C482" s="162"/>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c r="AA482" s="191"/>
      <c r="AB482" s="191"/>
      <c r="AC482" s="190"/>
      <c r="AD482" s="190"/>
      <c r="AE482" s="190"/>
      <c r="AF482" s="190"/>
      <c r="AG482" s="190"/>
      <c r="AH482" s="190"/>
      <c r="AI482" s="190"/>
      <c r="AJ482" s="190"/>
      <c r="AK482" s="190"/>
      <c r="AL482" s="190"/>
      <c r="AM482" s="190"/>
    </row>
    <row r="483" spans="2:39">
      <c r="B483" s="162"/>
      <c r="C483" s="162"/>
      <c r="D483" s="191"/>
      <c r="E483" s="191"/>
      <c r="F483" s="191"/>
      <c r="G483" s="191"/>
      <c r="H483" s="191"/>
      <c r="I483" s="191"/>
      <c r="J483" s="191"/>
      <c r="K483" s="191"/>
      <c r="L483" s="191"/>
      <c r="M483" s="191"/>
      <c r="N483" s="191"/>
      <c r="O483" s="191"/>
      <c r="P483" s="191"/>
      <c r="Q483" s="191"/>
      <c r="R483" s="191"/>
      <c r="S483" s="191"/>
      <c r="T483" s="191"/>
      <c r="U483" s="191"/>
      <c r="V483" s="191"/>
      <c r="W483" s="191"/>
      <c r="X483" s="191"/>
      <c r="Y483" s="191"/>
      <c r="Z483" s="191"/>
      <c r="AA483" s="191"/>
      <c r="AB483" s="191"/>
      <c r="AC483" s="190"/>
      <c r="AD483" s="190"/>
      <c r="AE483" s="190"/>
      <c r="AF483" s="190"/>
      <c r="AG483" s="190"/>
      <c r="AH483" s="190"/>
      <c r="AI483" s="190"/>
      <c r="AJ483" s="190"/>
      <c r="AK483" s="190"/>
      <c r="AL483" s="190"/>
      <c r="AM483" s="190"/>
    </row>
    <row r="484" spans="2:39">
      <c r="B484" s="162"/>
      <c r="C484" s="162"/>
      <c r="D484" s="191"/>
      <c r="E484" s="191"/>
      <c r="F484" s="191"/>
      <c r="G484" s="191"/>
      <c r="H484" s="191"/>
      <c r="I484" s="191"/>
      <c r="J484" s="191"/>
      <c r="K484" s="191"/>
      <c r="L484" s="191"/>
      <c r="M484" s="191"/>
      <c r="N484" s="191"/>
      <c r="O484" s="191"/>
      <c r="P484" s="191"/>
      <c r="Q484" s="191"/>
      <c r="R484" s="191"/>
      <c r="S484" s="191"/>
      <c r="T484" s="191"/>
      <c r="U484" s="191"/>
      <c r="V484" s="191"/>
      <c r="W484" s="191"/>
      <c r="X484" s="191"/>
      <c r="Y484" s="191"/>
      <c r="Z484" s="191"/>
      <c r="AA484" s="191"/>
      <c r="AB484" s="191"/>
      <c r="AC484" s="190"/>
      <c r="AD484" s="190"/>
      <c r="AE484" s="190"/>
      <c r="AF484" s="190"/>
      <c r="AG484" s="190"/>
      <c r="AH484" s="190"/>
      <c r="AI484" s="190"/>
      <c r="AJ484" s="190"/>
      <c r="AK484" s="190"/>
      <c r="AL484" s="190"/>
      <c r="AM484" s="190"/>
    </row>
    <row r="485" spans="2:39">
      <c r="B485" s="162"/>
      <c r="C485" s="162"/>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c r="AA485" s="191"/>
      <c r="AB485" s="191"/>
      <c r="AC485" s="190"/>
      <c r="AD485" s="190"/>
      <c r="AE485" s="190"/>
      <c r="AF485" s="190"/>
      <c r="AG485" s="190"/>
      <c r="AH485" s="190"/>
      <c r="AI485" s="190"/>
      <c r="AJ485" s="190"/>
      <c r="AK485" s="190"/>
      <c r="AL485" s="190"/>
      <c r="AM485" s="190"/>
    </row>
    <row r="486" spans="2:39">
      <c r="B486" s="162"/>
      <c r="C486" s="162"/>
      <c r="D486" s="191"/>
      <c r="E486" s="191"/>
      <c r="F486" s="191"/>
      <c r="G486" s="191"/>
      <c r="H486" s="191"/>
      <c r="I486" s="191"/>
      <c r="J486" s="191"/>
      <c r="K486" s="191"/>
      <c r="L486" s="191"/>
      <c r="M486" s="191"/>
      <c r="N486" s="191"/>
      <c r="O486" s="191"/>
      <c r="P486" s="191"/>
      <c r="Q486" s="191"/>
      <c r="R486" s="191"/>
      <c r="S486" s="191"/>
      <c r="T486" s="191"/>
      <c r="U486" s="191"/>
      <c r="V486" s="191"/>
      <c r="W486" s="191"/>
      <c r="X486" s="191"/>
      <c r="Y486" s="191"/>
      <c r="Z486" s="191"/>
      <c r="AA486" s="191"/>
      <c r="AB486" s="191"/>
      <c r="AC486" s="190"/>
      <c r="AD486" s="190"/>
      <c r="AE486" s="190"/>
      <c r="AF486" s="190"/>
      <c r="AG486" s="190"/>
      <c r="AH486" s="190"/>
      <c r="AI486" s="190"/>
      <c r="AJ486" s="190"/>
      <c r="AK486" s="190"/>
      <c r="AL486" s="190"/>
      <c r="AM486" s="190"/>
    </row>
    <row r="487" spans="2:39">
      <c r="B487" s="162"/>
      <c r="C487" s="162"/>
      <c r="D487" s="191"/>
      <c r="E487" s="191"/>
      <c r="F487" s="191"/>
      <c r="G487" s="191"/>
      <c r="H487" s="191"/>
      <c r="I487" s="191"/>
      <c r="J487" s="191"/>
      <c r="K487" s="191"/>
      <c r="L487" s="191"/>
      <c r="M487" s="191"/>
      <c r="N487" s="191"/>
      <c r="O487" s="191"/>
      <c r="P487" s="191"/>
      <c r="Q487" s="191"/>
      <c r="R487" s="191"/>
      <c r="S487" s="191"/>
      <c r="T487" s="191"/>
      <c r="U487" s="191"/>
      <c r="V487" s="191"/>
      <c r="W487" s="191"/>
      <c r="X487" s="191"/>
      <c r="Y487" s="191"/>
      <c r="Z487" s="191"/>
      <c r="AA487" s="191"/>
      <c r="AB487" s="191"/>
      <c r="AC487" s="190"/>
      <c r="AD487" s="190"/>
      <c r="AE487" s="190"/>
      <c r="AF487" s="190"/>
      <c r="AG487" s="190"/>
      <c r="AH487" s="190"/>
      <c r="AI487" s="190"/>
      <c r="AJ487" s="190"/>
      <c r="AK487" s="190"/>
      <c r="AL487" s="190"/>
      <c r="AM487" s="190"/>
    </row>
    <row r="488" spans="2:39">
      <c r="B488" s="162"/>
      <c r="C488" s="162"/>
      <c r="D488" s="191"/>
      <c r="E488" s="191"/>
      <c r="F488" s="191"/>
      <c r="G488" s="191"/>
      <c r="H488" s="191"/>
      <c r="I488" s="191"/>
      <c r="J488" s="191"/>
      <c r="K488" s="191"/>
      <c r="L488" s="191"/>
      <c r="M488" s="191"/>
      <c r="N488" s="191"/>
      <c r="O488" s="191"/>
      <c r="P488" s="191"/>
      <c r="Q488" s="191"/>
      <c r="R488" s="191"/>
      <c r="S488" s="191"/>
      <c r="T488" s="191"/>
      <c r="U488" s="191"/>
      <c r="V488" s="191"/>
      <c r="W488" s="191"/>
      <c r="X488" s="191"/>
      <c r="Y488" s="191"/>
      <c r="Z488" s="191"/>
      <c r="AA488" s="191"/>
      <c r="AB488" s="191"/>
      <c r="AC488" s="190"/>
      <c r="AD488" s="190"/>
      <c r="AE488" s="190"/>
      <c r="AF488" s="190"/>
      <c r="AG488" s="190"/>
      <c r="AH488" s="190"/>
      <c r="AI488" s="190"/>
      <c r="AJ488" s="190"/>
      <c r="AK488" s="190"/>
      <c r="AL488" s="190"/>
      <c r="AM488" s="190"/>
    </row>
    <row r="489" spans="2:39">
      <c r="B489" s="162"/>
      <c r="C489" s="162"/>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c r="AA489" s="191"/>
      <c r="AB489" s="191"/>
      <c r="AC489" s="190"/>
      <c r="AD489" s="190"/>
      <c r="AE489" s="190"/>
      <c r="AF489" s="190"/>
      <c r="AG489" s="190"/>
      <c r="AH489" s="190"/>
      <c r="AI489" s="190"/>
      <c r="AJ489" s="190"/>
      <c r="AK489" s="190"/>
      <c r="AL489" s="190"/>
      <c r="AM489" s="190"/>
    </row>
    <row r="490" spans="2:39">
      <c r="B490" s="162"/>
      <c r="C490" s="162"/>
      <c r="D490" s="191"/>
      <c r="E490" s="191"/>
      <c r="F490" s="191"/>
      <c r="G490" s="191"/>
      <c r="H490" s="191"/>
      <c r="I490" s="191"/>
      <c r="J490" s="191"/>
      <c r="K490" s="191"/>
      <c r="L490" s="191"/>
      <c r="M490" s="191"/>
      <c r="N490" s="191"/>
      <c r="O490" s="191"/>
      <c r="P490" s="191"/>
      <c r="Q490" s="191"/>
      <c r="R490" s="191"/>
      <c r="S490" s="191"/>
      <c r="T490" s="191"/>
      <c r="U490" s="191"/>
      <c r="V490" s="191"/>
      <c r="W490" s="191"/>
      <c r="X490" s="191"/>
      <c r="Y490" s="191"/>
      <c r="Z490" s="191"/>
      <c r="AA490" s="191"/>
      <c r="AB490" s="191"/>
      <c r="AC490" s="190"/>
      <c r="AD490" s="190"/>
      <c r="AE490" s="190"/>
      <c r="AF490" s="190"/>
      <c r="AG490" s="190"/>
      <c r="AH490" s="190"/>
      <c r="AI490" s="190"/>
      <c r="AJ490" s="190"/>
      <c r="AK490" s="190"/>
      <c r="AL490" s="190"/>
      <c r="AM490" s="190"/>
    </row>
    <row r="491" spans="2:39">
      <c r="B491" s="162"/>
      <c r="C491" s="162"/>
      <c r="D491" s="191"/>
      <c r="E491" s="191"/>
      <c r="F491" s="191"/>
      <c r="G491" s="191"/>
      <c r="H491" s="191"/>
      <c r="I491" s="191"/>
      <c r="J491" s="191"/>
      <c r="K491" s="191"/>
      <c r="L491" s="191"/>
      <c r="M491" s="191"/>
      <c r="N491" s="191"/>
      <c r="O491" s="191"/>
      <c r="P491" s="191"/>
      <c r="Q491" s="191"/>
      <c r="R491" s="191"/>
      <c r="S491" s="191"/>
      <c r="T491" s="191"/>
      <c r="U491" s="191"/>
      <c r="V491" s="191"/>
      <c r="W491" s="191"/>
      <c r="X491" s="191"/>
      <c r="Y491" s="191"/>
      <c r="Z491" s="191"/>
      <c r="AA491" s="191"/>
      <c r="AB491" s="191"/>
      <c r="AC491" s="190"/>
      <c r="AD491" s="190"/>
      <c r="AE491" s="190"/>
      <c r="AF491" s="190"/>
      <c r="AG491" s="190"/>
      <c r="AH491" s="190"/>
      <c r="AI491" s="190"/>
      <c r="AJ491" s="190"/>
      <c r="AK491" s="190"/>
      <c r="AL491" s="190"/>
      <c r="AM491" s="190"/>
    </row>
    <row r="492" spans="2:39">
      <c r="B492" s="162"/>
      <c r="C492" s="162"/>
      <c r="D492" s="191"/>
      <c r="E492" s="191"/>
      <c r="F492" s="191"/>
      <c r="G492" s="191"/>
      <c r="H492" s="191"/>
      <c r="I492" s="191"/>
      <c r="J492" s="191"/>
      <c r="K492" s="191"/>
      <c r="L492" s="191"/>
      <c r="M492" s="191"/>
      <c r="N492" s="191"/>
      <c r="O492" s="191"/>
      <c r="P492" s="191"/>
      <c r="Q492" s="191"/>
      <c r="R492" s="191"/>
      <c r="S492" s="191"/>
      <c r="T492" s="191"/>
      <c r="U492" s="191"/>
      <c r="V492" s="191"/>
      <c r="W492" s="191"/>
      <c r="X492" s="191"/>
      <c r="Y492" s="191"/>
      <c r="Z492" s="191"/>
      <c r="AA492" s="191"/>
      <c r="AB492" s="191"/>
      <c r="AC492" s="190"/>
      <c r="AD492" s="190"/>
      <c r="AE492" s="190"/>
      <c r="AF492" s="190"/>
      <c r="AG492" s="190"/>
      <c r="AH492" s="190"/>
      <c r="AI492" s="190"/>
      <c r="AJ492" s="190"/>
      <c r="AK492" s="190"/>
      <c r="AL492" s="190"/>
      <c r="AM492" s="190"/>
    </row>
    <row r="493" spans="2:39">
      <c r="B493" s="162"/>
      <c r="C493" s="162"/>
      <c r="D493" s="191"/>
      <c r="E493" s="191"/>
      <c r="F493" s="191"/>
      <c r="G493" s="191"/>
      <c r="H493" s="191"/>
      <c r="I493" s="191"/>
      <c r="J493" s="191"/>
      <c r="K493" s="191"/>
      <c r="L493" s="191"/>
      <c r="M493" s="191"/>
      <c r="N493" s="191"/>
      <c r="O493" s="191"/>
      <c r="P493" s="191"/>
      <c r="Q493" s="191"/>
      <c r="R493" s="191"/>
      <c r="S493" s="191"/>
      <c r="T493" s="191"/>
      <c r="U493" s="191"/>
      <c r="V493" s="191"/>
      <c r="W493" s="191"/>
      <c r="X493" s="191"/>
      <c r="Y493" s="191"/>
      <c r="Z493" s="191"/>
      <c r="AA493" s="191"/>
      <c r="AB493" s="191"/>
      <c r="AC493" s="190"/>
      <c r="AD493" s="190"/>
      <c r="AE493" s="190"/>
      <c r="AF493" s="190"/>
      <c r="AG493" s="190"/>
      <c r="AH493" s="190"/>
      <c r="AI493" s="190"/>
      <c r="AJ493" s="190"/>
      <c r="AK493" s="190"/>
      <c r="AL493" s="190"/>
      <c r="AM493" s="190"/>
    </row>
    <row r="494" spans="2:39">
      <c r="B494" s="162"/>
      <c r="C494" s="162"/>
      <c r="D494" s="191"/>
      <c r="E494" s="191"/>
      <c r="F494" s="191"/>
      <c r="G494" s="191"/>
      <c r="H494" s="191"/>
      <c r="I494" s="191"/>
      <c r="J494" s="191"/>
      <c r="K494" s="191"/>
      <c r="L494" s="191"/>
      <c r="M494" s="191"/>
      <c r="N494" s="191"/>
      <c r="O494" s="191"/>
      <c r="P494" s="191"/>
      <c r="Q494" s="191"/>
      <c r="R494" s="191"/>
      <c r="S494" s="191"/>
      <c r="T494" s="191"/>
      <c r="U494" s="191"/>
      <c r="V494" s="191"/>
      <c r="W494" s="191"/>
      <c r="X494" s="191"/>
      <c r="Y494" s="191"/>
      <c r="Z494" s="191"/>
      <c r="AA494" s="191"/>
      <c r="AB494" s="191"/>
      <c r="AC494" s="190"/>
      <c r="AD494" s="190"/>
      <c r="AE494" s="190"/>
      <c r="AF494" s="190"/>
      <c r="AG494" s="190"/>
      <c r="AH494" s="190"/>
      <c r="AI494" s="190"/>
      <c r="AJ494" s="190"/>
      <c r="AK494" s="190"/>
      <c r="AL494" s="190"/>
      <c r="AM494" s="190"/>
    </row>
    <row r="495" spans="2:39">
      <c r="B495" s="162"/>
      <c r="C495" s="162"/>
      <c r="D495" s="191"/>
      <c r="E495" s="191"/>
      <c r="F495" s="191"/>
      <c r="G495" s="191"/>
      <c r="H495" s="191"/>
      <c r="I495" s="191"/>
      <c r="J495" s="191"/>
      <c r="K495" s="191"/>
      <c r="L495" s="191"/>
      <c r="M495" s="191"/>
      <c r="N495" s="191"/>
      <c r="O495" s="191"/>
      <c r="P495" s="191"/>
      <c r="Q495" s="191"/>
      <c r="R495" s="191"/>
      <c r="S495" s="191"/>
      <c r="T495" s="191"/>
      <c r="U495" s="191"/>
      <c r="V495" s="191"/>
      <c r="W495" s="191"/>
      <c r="X495" s="191"/>
      <c r="Y495" s="191"/>
      <c r="Z495" s="191"/>
      <c r="AA495" s="191"/>
      <c r="AB495" s="191"/>
      <c r="AC495" s="190"/>
      <c r="AD495" s="190"/>
      <c r="AE495" s="190"/>
      <c r="AF495" s="190"/>
      <c r="AG495" s="190"/>
      <c r="AH495" s="190"/>
      <c r="AI495" s="190"/>
      <c r="AJ495" s="190"/>
      <c r="AK495" s="190"/>
      <c r="AL495" s="190"/>
      <c r="AM495" s="190"/>
    </row>
    <row r="496" spans="2:39">
      <c r="B496" s="162"/>
      <c r="C496" s="162"/>
      <c r="D496" s="191"/>
      <c r="E496" s="191"/>
      <c r="F496" s="191"/>
      <c r="G496" s="191"/>
      <c r="H496" s="191"/>
      <c r="I496" s="191"/>
      <c r="J496" s="191"/>
      <c r="K496" s="191"/>
      <c r="L496" s="191"/>
      <c r="M496" s="191"/>
      <c r="N496" s="191"/>
      <c r="O496" s="191"/>
      <c r="P496" s="191"/>
      <c r="Q496" s="191"/>
      <c r="R496" s="191"/>
      <c r="S496" s="191"/>
      <c r="T496" s="191"/>
      <c r="U496" s="191"/>
      <c r="V496" s="191"/>
      <c r="W496" s="191"/>
      <c r="X496" s="191"/>
      <c r="Y496" s="191"/>
      <c r="Z496" s="191"/>
      <c r="AA496" s="191"/>
      <c r="AB496" s="191"/>
      <c r="AC496" s="190"/>
      <c r="AD496" s="190"/>
      <c r="AE496" s="190"/>
      <c r="AF496" s="190"/>
      <c r="AG496" s="190"/>
      <c r="AH496" s="190"/>
      <c r="AI496" s="190"/>
      <c r="AJ496" s="190"/>
      <c r="AK496" s="190"/>
      <c r="AL496" s="190"/>
      <c r="AM496" s="190"/>
    </row>
    <row r="497" spans="2:39">
      <c r="B497" s="162"/>
      <c r="C497" s="162"/>
      <c r="D497" s="191"/>
      <c r="E497" s="191"/>
      <c r="F497" s="191"/>
      <c r="G497" s="191"/>
      <c r="H497" s="191"/>
      <c r="I497" s="191"/>
      <c r="J497" s="191"/>
      <c r="K497" s="191"/>
      <c r="L497" s="191"/>
      <c r="M497" s="191"/>
      <c r="N497" s="191"/>
      <c r="O497" s="191"/>
      <c r="P497" s="191"/>
      <c r="Q497" s="191"/>
      <c r="R497" s="191"/>
      <c r="S497" s="191"/>
      <c r="T497" s="191"/>
      <c r="U497" s="191"/>
      <c r="V497" s="191"/>
      <c r="W497" s="191"/>
      <c r="X497" s="191"/>
      <c r="Y497" s="191"/>
      <c r="Z497" s="191"/>
      <c r="AA497" s="191"/>
      <c r="AB497" s="191"/>
      <c r="AC497" s="190"/>
      <c r="AD497" s="190"/>
      <c r="AE497" s="190"/>
      <c r="AF497" s="190"/>
      <c r="AG497" s="190"/>
      <c r="AH497" s="190"/>
      <c r="AI497" s="190"/>
      <c r="AJ497" s="190"/>
      <c r="AK497" s="190"/>
      <c r="AL497" s="190"/>
      <c r="AM497" s="190"/>
    </row>
    <row r="498" spans="2:39">
      <c r="B498" s="162"/>
      <c r="C498" s="162"/>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c r="AA498" s="191"/>
      <c r="AB498" s="191"/>
      <c r="AC498" s="190"/>
      <c r="AD498" s="190"/>
      <c r="AE498" s="190"/>
      <c r="AF498" s="190"/>
      <c r="AG498" s="190"/>
      <c r="AH498" s="190"/>
      <c r="AI498" s="190"/>
      <c r="AJ498" s="190"/>
      <c r="AK498" s="190"/>
      <c r="AL498" s="190"/>
      <c r="AM498" s="190"/>
    </row>
    <row r="499" spans="2:39">
      <c r="B499" s="162"/>
      <c r="C499" s="162"/>
      <c r="D499" s="191"/>
      <c r="E499" s="191"/>
      <c r="F499" s="191"/>
      <c r="G499" s="191"/>
      <c r="H499" s="191"/>
      <c r="I499" s="191"/>
      <c r="J499" s="191"/>
      <c r="K499" s="191"/>
      <c r="L499" s="191"/>
      <c r="M499" s="191"/>
      <c r="N499" s="191"/>
      <c r="O499" s="191"/>
      <c r="P499" s="191"/>
      <c r="Q499" s="191"/>
      <c r="R499" s="191"/>
      <c r="S499" s="191"/>
      <c r="T499" s="191"/>
      <c r="U499" s="191"/>
      <c r="V499" s="191"/>
      <c r="W499" s="191"/>
      <c r="X499" s="191"/>
      <c r="Y499" s="191"/>
      <c r="Z499" s="191"/>
      <c r="AA499" s="191"/>
      <c r="AB499" s="191"/>
      <c r="AC499" s="190"/>
      <c r="AD499" s="190"/>
      <c r="AE499" s="190"/>
      <c r="AF499" s="190"/>
      <c r="AG499" s="190"/>
      <c r="AH499" s="190"/>
      <c r="AI499" s="190"/>
      <c r="AJ499" s="190"/>
      <c r="AK499" s="190"/>
      <c r="AL499" s="190"/>
      <c r="AM499" s="190"/>
    </row>
    <row r="500" spans="2:39">
      <c r="B500" s="162"/>
      <c r="C500" s="162"/>
      <c r="D500" s="191"/>
      <c r="E500" s="191"/>
      <c r="F500" s="191"/>
      <c r="G500" s="191"/>
      <c r="H500" s="191"/>
      <c r="I500" s="191"/>
      <c r="J500" s="191"/>
      <c r="K500" s="191"/>
      <c r="L500" s="191"/>
      <c r="M500" s="191"/>
      <c r="N500" s="191"/>
      <c r="O500" s="191"/>
      <c r="P500" s="191"/>
      <c r="Q500" s="191"/>
      <c r="R500" s="191"/>
      <c r="S500" s="191"/>
      <c r="T500" s="191"/>
      <c r="U500" s="191"/>
      <c r="V500" s="191"/>
      <c r="W500" s="191"/>
      <c r="X500" s="191"/>
      <c r="Y500" s="191"/>
      <c r="Z500" s="191"/>
      <c r="AA500" s="191"/>
      <c r="AB500" s="191"/>
      <c r="AC500" s="190"/>
      <c r="AD500" s="190"/>
      <c r="AE500" s="190"/>
      <c r="AF500" s="190"/>
      <c r="AG500" s="190"/>
      <c r="AH500" s="190"/>
      <c r="AI500" s="190"/>
      <c r="AJ500" s="190"/>
      <c r="AK500" s="190"/>
      <c r="AL500" s="190"/>
      <c r="AM500" s="190"/>
    </row>
    <row r="501" spans="2:39">
      <c r="B501" s="162"/>
      <c r="C501" s="162"/>
      <c r="D501" s="191"/>
      <c r="E501" s="191"/>
      <c r="F501" s="191"/>
      <c r="G501" s="191"/>
      <c r="H501" s="191"/>
      <c r="I501" s="191"/>
      <c r="J501" s="191"/>
      <c r="K501" s="191"/>
      <c r="L501" s="191"/>
      <c r="M501" s="191"/>
      <c r="N501" s="191"/>
      <c r="O501" s="191"/>
      <c r="P501" s="191"/>
      <c r="Q501" s="191"/>
      <c r="R501" s="191"/>
      <c r="S501" s="191"/>
      <c r="T501" s="191"/>
      <c r="U501" s="191"/>
      <c r="V501" s="191"/>
      <c r="W501" s="191"/>
      <c r="X501" s="191"/>
      <c r="Y501" s="191"/>
      <c r="Z501" s="191"/>
      <c r="AA501" s="191"/>
      <c r="AB501" s="191"/>
      <c r="AC501" s="190"/>
      <c r="AD501" s="190"/>
      <c r="AE501" s="190"/>
      <c r="AF501" s="190"/>
      <c r="AG501" s="190"/>
      <c r="AH501" s="190"/>
      <c r="AI501" s="190"/>
      <c r="AJ501" s="190"/>
      <c r="AK501" s="190"/>
      <c r="AL501" s="190"/>
      <c r="AM501" s="190"/>
    </row>
    <row r="502" spans="2:39">
      <c r="B502" s="162"/>
      <c r="C502" s="162"/>
      <c r="D502" s="191"/>
      <c r="E502" s="191"/>
      <c r="F502" s="191"/>
      <c r="G502" s="191"/>
      <c r="H502" s="191"/>
      <c r="I502" s="191"/>
      <c r="J502" s="191"/>
      <c r="K502" s="191"/>
      <c r="L502" s="191"/>
      <c r="M502" s="191"/>
      <c r="N502" s="191"/>
      <c r="O502" s="191"/>
      <c r="P502" s="191"/>
      <c r="Q502" s="191"/>
      <c r="R502" s="191"/>
      <c r="S502" s="191"/>
      <c r="T502" s="191"/>
      <c r="U502" s="191"/>
      <c r="V502" s="191"/>
      <c r="W502" s="191"/>
      <c r="X502" s="191"/>
      <c r="Y502" s="191"/>
      <c r="Z502" s="191"/>
      <c r="AA502" s="191"/>
      <c r="AB502" s="191"/>
      <c r="AC502" s="190"/>
      <c r="AD502" s="190"/>
      <c r="AE502" s="190"/>
      <c r="AF502" s="190"/>
      <c r="AG502" s="190"/>
      <c r="AH502" s="190"/>
      <c r="AI502" s="190"/>
      <c r="AJ502" s="190"/>
      <c r="AK502" s="190"/>
      <c r="AL502" s="190"/>
      <c r="AM502" s="190"/>
    </row>
    <row r="503" spans="2:39">
      <c r="B503" s="162"/>
      <c r="C503" s="162"/>
      <c r="D503" s="191"/>
      <c r="E503" s="191"/>
      <c r="F503" s="191"/>
      <c r="G503" s="191"/>
      <c r="H503" s="191"/>
      <c r="I503" s="191"/>
      <c r="J503" s="191"/>
      <c r="K503" s="191"/>
      <c r="L503" s="191"/>
      <c r="M503" s="191"/>
      <c r="N503" s="191"/>
      <c r="O503" s="191"/>
      <c r="P503" s="191"/>
      <c r="Q503" s="191"/>
      <c r="R503" s="191"/>
      <c r="S503" s="191"/>
      <c r="T503" s="191"/>
      <c r="U503" s="191"/>
      <c r="V503" s="191"/>
      <c r="W503" s="191"/>
      <c r="X503" s="191"/>
      <c r="Y503" s="191"/>
      <c r="Z503" s="191"/>
      <c r="AA503" s="191"/>
      <c r="AB503" s="191"/>
      <c r="AC503" s="190"/>
      <c r="AD503" s="190"/>
      <c r="AE503" s="190"/>
      <c r="AF503" s="190"/>
      <c r="AG503" s="190"/>
      <c r="AH503" s="190"/>
      <c r="AI503" s="190"/>
      <c r="AJ503" s="190"/>
      <c r="AK503" s="190"/>
      <c r="AL503" s="190"/>
      <c r="AM503" s="190"/>
    </row>
    <row r="504" spans="2:39">
      <c r="B504" s="162"/>
      <c r="C504" s="162"/>
      <c r="D504" s="191"/>
      <c r="E504" s="191"/>
      <c r="F504" s="191"/>
      <c r="G504" s="191"/>
      <c r="H504" s="191"/>
      <c r="I504" s="191"/>
      <c r="J504" s="191"/>
      <c r="K504" s="191"/>
      <c r="L504" s="191"/>
      <c r="M504" s="191"/>
      <c r="N504" s="191"/>
      <c r="O504" s="191"/>
      <c r="P504" s="191"/>
      <c r="Q504" s="191"/>
      <c r="R504" s="191"/>
      <c r="S504" s="191"/>
      <c r="T504" s="191"/>
      <c r="U504" s="191"/>
      <c r="V504" s="191"/>
      <c r="W504" s="191"/>
      <c r="X504" s="191"/>
      <c r="Y504" s="191"/>
      <c r="Z504" s="191"/>
      <c r="AA504" s="191"/>
      <c r="AB504" s="191"/>
      <c r="AC504" s="190"/>
      <c r="AD504" s="190"/>
      <c r="AE504" s="190"/>
      <c r="AF504" s="190"/>
      <c r="AG504" s="190"/>
      <c r="AH504" s="190"/>
      <c r="AI504" s="190"/>
      <c r="AJ504" s="190"/>
      <c r="AK504" s="190"/>
      <c r="AL504" s="190"/>
      <c r="AM504" s="190"/>
    </row>
    <row r="505" spans="2:39">
      <c r="B505" s="162"/>
      <c r="C505" s="162"/>
      <c r="D505" s="191"/>
      <c r="E505" s="191"/>
      <c r="F505" s="191"/>
      <c r="G505" s="191"/>
      <c r="H505" s="191"/>
      <c r="I505" s="191"/>
      <c r="J505" s="191"/>
      <c r="K505" s="191"/>
      <c r="L505" s="191"/>
      <c r="M505" s="191"/>
      <c r="N505" s="191"/>
      <c r="O505" s="191"/>
      <c r="P505" s="191"/>
      <c r="Q505" s="191"/>
      <c r="R505" s="191"/>
      <c r="S505" s="191"/>
      <c r="T505" s="191"/>
      <c r="U505" s="191"/>
      <c r="V505" s="191"/>
      <c r="W505" s="191"/>
      <c r="X505" s="191"/>
      <c r="Y505" s="191"/>
      <c r="Z505" s="191"/>
      <c r="AA505" s="191"/>
      <c r="AB505" s="191"/>
      <c r="AC505" s="190"/>
      <c r="AD505" s="190"/>
      <c r="AE505" s="190"/>
      <c r="AF505" s="190"/>
      <c r="AG505" s="190"/>
      <c r="AH505" s="190"/>
      <c r="AI505" s="190"/>
      <c r="AJ505" s="190"/>
      <c r="AK505" s="190"/>
      <c r="AL505" s="190"/>
      <c r="AM505" s="190"/>
    </row>
    <row r="506" spans="2:39">
      <c r="B506" s="162"/>
      <c r="C506" s="162"/>
      <c r="D506" s="191"/>
      <c r="E506" s="191"/>
      <c r="F506" s="191"/>
      <c r="G506" s="191"/>
      <c r="H506" s="191"/>
      <c r="I506" s="191"/>
      <c r="J506" s="191"/>
      <c r="K506" s="191"/>
      <c r="L506" s="191"/>
      <c r="M506" s="191"/>
      <c r="N506" s="191"/>
      <c r="O506" s="191"/>
      <c r="P506" s="191"/>
      <c r="Q506" s="191"/>
      <c r="R506" s="191"/>
      <c r="S506" s="191"/>
      <c r="T506" s="191"/>
      <c r="U506" s="191"/>
      <c r="V506" s="191"/>
      <c r="W506" s="191"/>
      <c r="X506" s="191"/>
      <c r="Y506" s="191"/>
      <c r="Z506" s="191"/>
      <c r="AA506" s="191"/>
      <c r="AB506" s="191"/>
      <c r="AC506" s="190"/>
      <c r="AD506" s="190"/>
      <c r="AE506" s="190"/>
      <c r="AF506" s="190"/>
      <c r="AG506" s="190"/>
      <c r="AH506" s="190"/>
      <c r="AI506" s="190"/>
      <c r="AJ506" s="190"/>
      <c r="AK506" s="190"/>
      <c r="AL506" s="190"/>
      <c r="AM506" s="190"/>
    </row>
    <row r="507" spans="2:39">
      <c r="B507" s="162"/>
      <c r="C507" s="162"/>
      <c r="D507" s="191"/>
      <c r="E507" s="191"/>
      <c r="F507" s="191"/>
      <c r="G507" s="191"/>
      <c r="H507" s="191"/>
      <c r="I507" s="191"/>
      <c r="J507" s="191"/>
      <c r="K507" s="191"/>
      <c r="L507" s="191"/>
      <c r="M507" s="191"/>
      <c r="N507" s="191"/>
      <c r="O507" s="191"/>
      <c r="P507" s="191"/>
      <c r="Q507" s="191"/>
      <c r="R507" s="191"/>
      <c r="S507" s="191"/>
      <c r="T507" s="191"/>
      <c r="U507" s="191"/>
      <c r="V507" s="191"/>
      <c r="W507" s="191"/>
      <c r="X507" s="191"/>
      <c r="Y507" s="191"/>
      <c r="Z507" s="191"/>
      <c r="AA507" s="191"/>
      <c r="AB507" s="191"/>
      <c r="AC507" s="190"/>
      <c r="AD507" s="190"/>
      <c r="AE507" s="190"/>
      <c r="AF507" s="190"/>
      <c r="AG507" s="190"/>
      <c r="AH507" s="190"/>
      <c r="AI507" s="190"/>
      <c r="AJ507" s="190"/>
      <c r="AK507" s="190"/>
      <c r="AL507" s="190"/>
      <c r="AM507" s="190"/>
    </row>
    <row r="508" spans="2:39">
      <c r="B508" s="162"/>
      <c r="C508" s="162"/>
      <c r="D508" s="191"/>
      <c r="E508" s="191"/>
      <c r="F508" s="191"/>
      <c r="G508" s="191"/>
      <c r="H508" s="191"/>
      <c r="I508" s="191"/>
      <c r="J508" s="191"/>
      <c r="K508" s="191"/>
      <c r="L508" s="191"/>
      <c r="M508" s="191"/>
      <c r="N508" s="191"/>
      <c r="O508" s="191"/>
      <c r="P508" s="191"/>
      <c r="Q508" s="191"/>
      <c r="R508" s="191"/>
      <c r="S508" s="191"/>
      <c r="T508" s="191"/>
      <c r="U508" s="191"/>
      <c r="V508" s="191"/>
      <c r="W508" s="191"/>
      <c r="X508" s="191"/>
      <c r="Y508" s="191"/>
      <c r="Z508" s="191"/>
      <c r="AA508" s="191"/>
      <c r="AB508" s="191"/>
      <c r="AC508" s="190"/>
      <c r="AD508" s="190"/>
      <c r="AE508" s="190"/>
      <c r="AF508" s="190"/>
      <c r="AG508" s="190"/>
      <c r="AH508" s="190"/>
      <c r="AI508" s="190"/>
      <c r="AJ508" s="190"/>
      <c r="AK508" s="190"/>
      <c r="AL508" s="190"/>
      <c r="AM508" s="190"/>
    </row>
    <row r="509" spans="2:39">
      <c r="B509" s="162"/>
      <c r="C509" s="162"/>
      <c r="D509" s="191"/>
      <c r="E509" s="191"/>
      <c r="F509" s="191"/>
      <c r="G509" s="191"/>
      <c r="H509" s="191"/>
      <c r="I509" s="191"/>
      <c r="J509" s="191"/>
      <c r="K509" s="191"/>
      <c r="L509" s="191"/>
      <c r="M509" s="191"/>
      <c r="N509" s="191"/>
      <c r="O509" s="191"/>
      <c r="P509" s="191"/>
      <c r="Q509" s="191"/>
      <c r="R509" s="191"/>
      <c r="S509" s="191"/>
      <c r="T509" s="191"/>
      <c r="U509" s="191"/>
      <c r="V509" s="191"/>
      <c r="W509" s="191"/>
      <c r="X509" s="191"/>
      <c r="Y509" s="191"/>
      <c r="Z509" s="191"/>
      <c r="AA509" s="191"/>
      <c r="AB509" s="191"/>
      <c r="AC509" s="190"/>
      <c r="AD509" s="190"/>
      <c r="AE509" s="190"/>
      <c r="AF509" s="190"/>
      <c r="AG509" s="190"/>
      <c r="AH509" s="190"/>
      <c r="AI509" s="190"/>
      <c r="AJ509" s="190"/>
      <c r="AK509" s="190"/>
      <c r="AL509" s="190"/>
      <c r="AM509" s="190"/>
    </row>
    <row r="510" spans="2:39">
      <c r="B510" s="162"/>
      <c r="C510" s="162"/>
      <c r="D510" s="191"/>
      <c r="E510" s="191"/>
      <c r="F510" s="191"/>
      <c r="G510" s="191"/>
      <c r="H510" s="191"/>
      <c r="I510" s="191"/>
      <c r="J510" s="191"/>
      <c r="K510" s="191"/>
      <c r="L510" s="191"/>
      <c r="M510" s="191"/>
      <c r="N510" s="191"/>
      <c r="O510" s="191"/>
      <c r="P510" s="191"/>
      <c r="Q510" s="191"/>
      <c r="R510" s="191"/>
      <c r="S510" s="191"/>
      <c r="T510" s="191"/>
      <c r="U510" s="191"/>
      <c r="V510" s="191"/>
      <c r="W510" s="191"/>
      <c r="X510" s="191"/>
      <c r="Y510" s="191"/>
      <c r="Z510" s="191"/>
      <c r="AA510" s="191"/>
      <c r="AB510" s="191"/>
      <c r="AC510" s="190"/>
      <c r="AD510" s="190"/>
      <c r="AE510" s="190"/>
      <c r="AF510" s="190"/>
      <c r="AG510" s="190"/>
      <c r="AH510" s="190"/>
      <c r="AI510" s="190"/>
      <c r="AJ510" s="190"/>
      <c r="AK510" s="190"/>
      <c r="AL510" s="190"/>
      <c r="AM510" s="190"/>
    </row>
    <row r="511" spans="2:39">
      <c r="B511" s="162"/>
      <c r="C511" s="162"/>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c r="AA511" s="191"/>
      <c r="AB511" s="191"/>
      <c r="AC511" s="190"/>
      <c r="AD511" s="190"/>
      <c r="AE511" s="190"/>
      <c r="AF511" s="190"/>
      <c r="AG511" s="190"/>
      <c r="AH511" s="190"/>
      <c r="AI511" s="190"/>
      <c r="AJ511" s="190"/>
      <c r="AK511" s="190"/>
      <c r="AL511" s="190"/>
      <c r="AM511" s="190"/>
    </row>
    <row r="512" spans="2:39">
      <c r="B512" s="162"/>
      <c r="C512" s="162"/>
      <c r="D512" s="191"/>
      <c r="E512" s="191"/>
      <c r="F512" s="191"/>
      <c r="G512" s="191"/>
      <c r="H512" s="191"/>
      <c r="I512" s="191"/>
      <c r="J512" s="191"/>
      <c r="K512" s="191"/>
      <c r="L512" s="191"/>
      <c r="M512" s="191"/>
      <c r="N512" s="191"/>
      <c r="O512" s="191"/>
      <c r="P512" s="191"/>
      <c r="Q512" s="191"/>
      <c r="R512" s="191"/>
      <c r="S512" s="191"/>
      <c r="T512" s="191"/>
      <c r="U512" s="191"/>
      <c r="V512" s="191"/>
      <c r="W512" s="191"/>
      <c r="X512" s="191"/>
      <c r="Y512" s="191"/>
      <c r="Z512" s="191"/>
      <c r="AA512" s="191"/>
      <c r="AB512" s="191"/>
      <c r="AC512" s="190"/>
      <c r="AD512" s="190"/>
      <c r="AE512" s="190"/>
      <c r="AF512" s="190"/>
      <c r="AG512" s="190"/>
      <c r="AH512" s="190"/>
      <c r="AI512" s="190"/>
      <c r="AJ512" s="190"/>
      <c r="AK512" s="190"/>
      <c r="AL512" s="190"/>
      <c r="AM512" s="190"/>
    </row>
    <row r="513" spans="2:39">
      <c r="B513" s="162"/>
      <c r="C513" s="162"/>
      <c r="D513" s="191"/>
      <c r="E513" s="191"/>
      <c r="F513" s="191"/>
      <c r="G513" s="191"/>
      <c r="H513" s="191"/>
      <c r="I513" s="191"/>
      <c r="J513" s="191"/>
      <c r="K513" s="191"/>
      <c r="L513" s="191"/>
      <c r="M513" s="191"/>
      <c r="N513" s="191"/>
      <c r="O513" s="191"/>
      <c r="P513" s="191"/>
      <c r="Q513" s="191"/>
      <c r="R513" s="191"/>
      <c r="S513" s="191"/>
      <c r="T513" s="191"/>
      <c r="U513" s="191"/>
      <c r="V513" s="191"/>
      <c r="W513" s="191"/>
      <c r="X513" s="191"/>
      <c r="Y513" s="191"/>
      <c r="Z513" s="191"/>
      <c r="AA513" s="191"/>
      <c r="AB513" s="191"/>
      <c r="AC513" s="190"/>
      <c r="AD513" s="190"/>
      <c r="AE513" s="190"/>
      <c r="AF513" s="190"/>
      <c r="AG513" s="190"/>
      <c r="AH513" s="190"/>
      <c r="AI513" s="190"/>
      <c r="AJ513" s="190"/>
      <c r="AK513" s="190"/>
      <c r="AL513" s="190"/>
      <c r="AM513" s="190"/>
    </row>
    <row r="514" spans="2:39">
      <c r="B514" s="162"/>
      <c r="C514" s="162"/>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c r="AA514" s="191"/>
      <c r="AB514" s="191"/>
      <c r="AC514" s="190"/>
      <c r="AD514" s="190"/>
      <c r="AE514" s="190"/>
      <c r="AF514" s="190"/>
      <c r="AG514" s="190"/>
      <c r="AH514" s="190"/>
      <c r="AI514" s="190"/>
      <c r="AJ514" s="190"/>
      <c r="AK514" s="190"/>
      <c r="AL514" s="190"/>
      <c r="AM514" s="190"/>
    </row>
    <row r="515" spans="2:39">
      <c r="B515" s="162"/>
      <c r="C515" s="162"/>
      <c r="D515" s="191"/>
      <c r="E515" s="191"/>
      <c r="F515" s="191"/>
      <c r="G515" s="191"/>
      <c r="H515" s="191"/>
      <c r="I515" s="191"/>
      <c r="J515" s="191"/>
      <c r="K515" s="191"/>
      <c r="L515" s="191"/>
      <c r="M515" s="191"/>
      <c r="N515" s="191"/>
      <c r="O515" s="191"/>
      <c r="P515" s="191"/>
      <c r="Q515" s="191"/>
      <c r="R515" s="191"/>
      <c r="S515" s="191"/>
      <c r="T515" s="191"/>
      <c r="U515" s="191"/>
      <c r="V515" s="191"/>
      <c r="W515" s="191"/>
      <c r="X515" s="191"/>
      <c r="Y515" s="191"/>
      <c r="Z515" s="191"/>
      <c r="AA515" s="191"/>
      <c r="AB515" s="191"/>
      <c r="AC515" s="190"/>
      <c r="AD515" s="190"/>
      <c r="AE515" s="190"/>
      <c r="AF515" s="190"/>
      <c r="AG515" s="190"/>
      <c r="AH515" s="190"/>
      <c r="AI515" s="190"/>
      <c r="AJ515" s="190"/>
      <c r="AK515" s="190"/>
      <c r="AL515" s="190"/>
      <c r="AM515" s="190"/>
    </row>
    <row r="516" spans="2:39">
      <c r="B516" s="162"/>
      <c r="C516" s="162"/>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c r="AA516" s="191"/>
      <c r="AB516" s="191"/>
      <c r="AC516" s="190"/>
      <c r="AD516" s="190"/>
      <c r="AE516" s="190"/>
      <c r="AF516" s="190"/>
      <c r="AG516" s="190"/>
      <c r="AH516" s="190"/>
      <c r="AI516" s="190"/>
      <c r="AJ516" s="190"/>
      <c r="AK516" s="190"/>
      <c r="AL516" s="190"/>
      <c r="AM516" s="190"/>
    </row>
    <row r="517" spans="2:39">
      <c r="B517" s="162"/>
      <c r="C517" s="162"/>
      <c r="D517" s="191"/>
      <c r="E517" s="191"/>
      <c r="F517" s="191"/>
      <c r="G517" s="191"/>
      <c r="H517" s="191"/>
      <c r="I517" s="191"/>
      <c r="J517" s="191"/>
      <c r="K517" s="191"/>
      <c r="L517" s="191"/>
      <c r="M517" s="191"/>
      <c r="N517" s="191"/>
      <c r="O517" s="191"/>
      <c r="P517" s="191"/>
      <c r="Q517" s="191"/>
      <c r="R517" s="191"/>
      <c r="S517" s="191"/>
      <c r="T517" s="191"/>
      <c r="U517" s="191"/>
      <c r="V517" s="191"/>
      <c r="W517" s="191"/>
      <c r="X517" s="191"/>
      <c r="Y517" s="191"/>
      <c r="Z517" s="191"/>
      <c r="AA517" s="191"/>
      <c r="AB517" s="191"/>
      <c r="AC517" s="190"/>
      <c r="AD517" s="190"/>
      <c r="AE517" s="190"/>
      <c r="AF517" s="190"/>
      <c r="AG517" s="190"/>
      <c r="AH517" s="190"/>
      <c r="AI517" s="190"/>
      <c r="AJ517" s="190"/>
      <c r="AK517" s="190"/>
      <c r="AL517" s="190"/>
      <c r="AM517" s="190"/>
    </row>
    <row r="518" spans="2:39">
      <c r="B518" s="162"/>
      <c r="C518" s="162"/>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c r="AA518" s="191"/>
      <c r="AB518" s="191"/>
      <c r="AC518" s="190"/>
      <c r="AD518" s="190"/>
      <c r="AE518" s="190"/>
      <c r="AF518" s="190"/>
      <c r="AG518" s="190"/>
      <c r="AH518" s="190"/>
      <c r="AI518" s="190"/>
      <c r="AJ518" s="190"/>
      <c r="AK518" s="190"/>
      <c r="AL518" s="190"/>
      <c r="AM518" s="190"/>
    </row>
    <row r="519" spans="2:39">
      <c r="B519" s="162"/>
      <c r="C519" s="162"/>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c r="AA519" s="191"/>
      <c r="AB519" s="191"/>
      <c r="AC519" s="190"/>
      <c r="AD519" s="190"/>
      <c r="AE519" s="190"/>
      <c r="AF519" s="190"/>
      <c r="AG519" s="190"/>
      <c r="AH519" s="190"/>
      <c r="AI519" s="190"/>
      <c r="AJ519" s="190"/>
      <c r="AK519" s="190"/>
      <c r="AL519" s="190"/>
      <c r="AM519" s="190"/>
    </row>
    <row r="520" spans="2:39">
      <c r="B520" s="162"/>
      <c r="C520" s="162"/>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c r="AA520" s="191"/>
      <c r="AB520" s="191"/>
      <c r="AC520" s="190"/>
      <c r="AD520" s="190"/>
      <c r="AE520" s="190"/>
      <c r="AF520" s="190"/>
      <c r="AG520" s="190"/>
      <c r="AH520" s="190"/>
      <c r="AI520" s="190"/>
      <c r="AJ520" s="190"/>
      <c r="AK520" s="190"/>
      <c r="AL520" s="190"/>
      <c r="AM520" s="190"/>
    </row>
    <row r="521" spans="2:39">
      <c r="B521" s="162"/>
      <c r="C521" s="162"/>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c r="AA521" s="191"/>
      <c r="AB521" s="191"/>
      <c r="AC521" s="190"/>
      <c r="AD521" s="190"/>
      <c r="AE521" s="190"/>
      <c r="AF521" s="190"/>
      <c r="AG521" s="190"/>
      <c r="AH521" s="190"/>
      <c r="AI521" s="190"/>
      <c r="AJ521" s="190"/>
      <c r="AK521" s="190"/>
      <c r="AL521" s="190"/>
      <c r="AM521" s="190"/>
    </row>
    <row r="522" spans="2:39">
      <c r="B522" s="162"/>
      <c r="C522" s="162"/>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c r="AA522" s="191"/>
      <c r="AB522" s="191"/>
      <c r="AC522" s="190"/>
      <c r="AD522" s="190"/>
      <c r="AE522" s="190"/>
      <c r="AF522" s="190"/>
      <c r="AG522" s="190"/>
      <c r="AH522" s="190"/>
      <c r="AI522" s="190"/>
      <c r="AJ522" s="190"/>
      <c r="AK522" s="190"/>
      <c r="AL522" s="190"/>
      <c r="AM522" s="190"/>
    </row>
    <row r="523" spans="2:39">
      <c r="B523" s="162"/>
      <c r="C523" s="162"/>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c r="AA523" s="191"/>
      <c r="AB523" s="191"/>
      <c r="AC523" s="190"/>
      <c r="AD523" s="190"/>
      <c r="AE523" s="190"/>
      <c r="AF523" s="190"/>
      <c r="AG523" s="190"/>
      <c r="AH523" s="190"/>
      <c r="AI523" s="190"/>
      <c r="AJ523" s="190"/>
      <c r="AK523" s="190"/>
      <c r="AL523" s="190"/>
      <c r="AM523" s="190"/>
    </row>
    <row r="524" spans="2:39">
      <c r="B524" s="162"/>
      <c r="C524" s="162"/>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c r="AA524" s="191"/>
      <c r="AB524" s="191"/>
      <c r="AC524" s="190"/>
      <c r="AD524" s="190"/>
      <c r="AE524" s="190"/>
      <c r="AF524" s="190"/>
      <c r="AG524" s="190"/>
      <c r="AH524" s="190"/>
      <c r="AI524" s="190"/>
      <c r="AJ524" s="190"/>
      <c r="AK524" s="190"/>
      <c r="AL524" s="190"/>
      <c r="AM524" s="190"/>
    </row>
    <row r="525" spans="2:39">
      <c r="B525" s="162"/>
      <c r="C525" s="162"/>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c r="AA525" s="191"/>
      <c r="AB525" s="191"/>
      <c r="AC525" s="190"/>
      <c r="AD525" s="190"/>
      <c r="AE525" s="190"/>
      <c r="AF525" s="190"/>
      <c r="AG525" s="190"/>
      <c r="AH525" s="190"/>
      <c r="AI525" s="190"/>
      <c r="AJ525" s="190"/>
      <c r="AK525" s="190"/>
      <c r="AL525" s="190"/>
      <c r="AM525" s="190"/>
    </row>
    <row r="526" spans="2:39">
      <c r="B526" s="162"/>
      <c r="C526" s="162"/>
      <c r="D526" s="191"/>
      <c r="E526" s="191"/>
      <c r="F526" s="191"/>
      <c r="G526" s="191"/>
      <c r="H526" s="191"/>
      <c r="I526" s="191"/>
      <c r="J526" s="191"/>
      <c r="K526" s="191"/>
      <c r="L526" s="191"/>
      <c r="M526" s="191"/>
      <c r="N526" s="191"/>
      <c r="O526" s="191"/>
      <c r="P526" s="191"/>
      <c r="Q526" s="191"/>
      <c r="R526" s="191"/>
      <c r="S526" s="191"/>
      <c r="T526" s="191"/>
      <c r="U526" s="191"/>
      <c r="V526" s="191"/>
      <c r="W526" s="191"/>
      <c r="X526" s="191"/>
      <c r="Y526" s="191"/>
      <c r="Z526" s="191"/>
      <c r="AA526" s="191"/>
      <c r="AB526" s="191"/>
      <c r="AC526" s="190"/>
      <c r="AD526" s="190"/>
      <c r="AE526" s="190"/>
      <c r="AF526" s="190"/>
      <c r="AG526" s="190"/>
      <c r="AH526" s="190"/>
      <c r="AI526" s="190"/>
      <c r="AJ526" s="190"/>
      <c r="AK526" s="190"/>
      <c r="AL526" s="190"/>
      <c r="AM526" s="190"/>
    </row>
    <row r="527" spans="2:39">
      <c r="B527" s="162"/>
      <c r="C527" s="162"/>
      <c r="D527" s="191"/>
      <c r="E527" s="191"/>
      <c r="F527" s="191"/>
      <c r="G527" s="191"/>
      <c r="H527" s="191"/>
      <c r="I527" s="191"/>
      <c r="J527" s="191"/>
      <c r="K527" s="191"/>
      <c r="L527" s="191"/>
      <c r="M527" s="191"/>
      <c r="N527" s="191"/>
      <c r="O527" s="191"/>
      <c r="P527" s="191"/>
      <c r="Q527" s="191"/>
      <c r="R527" s="191"/>
      <c r="S527" s="191"/>
      <c r="T527" s="191"/>
      <c r="U527" s="191"/>
      <c r="V527" s="191"/>
      <c r="W527" s="191"/>
      <c r="X527" s="191"/>
      <c r="Y527" s="191"/>
      <c r="Z527" s="191"/>
      <c r="AA527" s="191"/>
      <c r="AB527" s="191"/>
      <c r="AC527" s="190"/>
      <c r="AD527" s="190"/>
      <c r="AE527" s="190"/>
      <c r="AF527" s="190"/>
      <c r="AG527" s="190"/>
      <c r="AH527" s="190"/>
      <c r="AI527" s="190"/>
      <c r="AJ527" s="190"/>
      <c r="AK527" s="190"/>
      <c r="AL527" s="190"/>
      <c r="AM527" s="190"/>
    </row>
    <row r="528" spans="2:39">
      <c r="B528" s="162"/>
      <c r="C528" s="162"/>
      <c r="D528" s="191"/>
      <c r="E528" s="191"/>
      <c r="F528" s="191"/>
      <c r="G528" s="191"/>
      <c r="H528" s="191"/>
      <c r="I528" s="191"/>
      <c r="J528" s="191"/>
      <c r="K528" s="191"/>
      <c r="L528" s="191"/>
      <c r="M528" s="191"/>
      <c r="N528" s="191"/>
      <c r="O528" s="191"/>
      <c r="P528" s="191"/>
      <c r="Q528" s="191"/>
      <c r="R528" s="191"/>
      <c r="S528" s="191"/>
      <c r="T528" s="191"/>
      <c r="U528" s="191"/>
      <c r="V528" s="191"/>
      <c r="W528" s="191"/>
      <c r="X528" s="191"/>
      <c r="Y528" s="191"/>
      <c r="Z528" s="191"/>
      <c r="AA528" s="191"/>
      <c r="AB528" s="191"/>
      <c r="AC528" s="190"/>
      <c r="AD528" s="190"/>
      <c r="AE528" s="190"/>
      <c r="AF528" s="190"/>
      <c r="AG528" s="190"/>
      <c r="AH528" s="190"/>
      <c r="AI528" s="190"/>
      <c r="AJ528" s="190"/>
      <c r="AK528" s="190"/>
      <c r="AL528" s="190"/>
      <c r="AM528" s="190"/>
    </row>
    <row r="529" spans="2:39">
      <c r="B529" s="162"/>
      <c r="C529" s="162"/>
      <c r="D529" s="191"/>
      <c r="E529" s="191"/>
      <c r="F529" s="191"/>
      <c r="G529" s="191"/>
      <c r="H529" s="191"/>
      <c r="I529" s="191"/>
      <c r="J529" s="191"/>
      <c r="K529" s="191"/>
      <c r="L529" s="191"/>
      <c r="M529" s="191"/>
      <c r="N529" s="191"/>
      <c r="O529" s="191"/>
      <c r="P529" s="191"/>
      <c r="Q529" s="191"/>
      <c r="R529" s="191"/>
      <c r="S529" s="191"/>
      <c r="T529" s="191"/>
      <c r="U529" s="191"/>
      <c r="V529" s="191"/>
      <c r="W529" s="191"/>
      <c r="X529" s="191"/>
      <c r="Y529" s="191"/>
      <c r="Z529" s="191"/>
      <c r="AA529" s="191"/>
      <c r="AB529" s="191"/>
      <c r="AC529" s="190"/>
      <c r="AD529" s="190"/>
      <c r="AE529" s="190"/>
      <c r="AF529" s="190"/>
      <c r="AG529" s="190"/>
      <c r="AH529" s="190"/>
      <c r="AI529" s="190"/>
      <c r="AJ529" s="190"/>
      <c r="AK529" s="190"/>
      <c r="AL529" s="190"/>
      <c r="AM529" s="190"/>
    </row>
    <row r="530" spans="2:39">
      <c r="B530" s="162"/>
      <c r="C530" s="162"/>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c r="AA530" s="191"/>
      <c r="AB530" s="191"/>
      <c r="AC530" s="190"/>
      <c r="AD530" s="190"/>
      <c r="AE530" s="190"/>
      <c r="AF530" s="190"/>
      <c r="AG530" s="190"/>
      <c r="AH530" s="190"/>
      <c r="AI530" s="190"/>
      <c r="AJ530" s="190"/>
      <c r="AK530" s="190"/>
      <c r="AL530" s="190"/>
      <c r="AM530" s="190"/>
    </row>
    <row r="531" spans="2:39">
      <c r="B531" s="162"/>
      <c r="C531" s="162"/>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c r="AA531" s="191"/>
      <c r="AB531" s="191"/>
      <c r="AC531" s="190"/>
      <c r="AD531" s="190"/>
      <c r="AE531" s="190"/>
      <c r="AF531" s="190"/>
      <c r="AG531" s="190"/>
      <c r="AH531" s="190"/>
      <c r="AI531" s="190"/>
      <c r="AJ531" s="190"/>
      <c r="AK531" s="190"/>
      <c r="AL531" s="190"/>
      <c r="AM531" s="190"/>
    </row>
    <row r="532" spans="2:39">
      <c r="B532" s="162"/>
      <c r="C532" s="162"/>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c r="AA532" s="191"/>
      <c r="AB532" s="191"/>
      <c r="AC532" s="190"/>
      <c r="AD532" s="190"/>
      <c r="AE532" s="190"/>
      <c r="AF532" s="190"/>
      <c r="AG532" s="190"/>
      <c r="AH532" s="190"/>
      <c r="AI532" s="190"/>
      <c r="AJ532" s="190"/>
      <c r="AK532" s="190"/>
      <c r="AL532" s="190"/>
      <c r="AM532" s="190"/>
    </row>
    <row r="533" spans="2:39">
      <c r="B533" s="162"/>
      <c r="C533" s="162"/>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c r="AA533" s="191"/>
      <c r="AB533" s="191"/>
      <c r="AC533" s="190"/>
      <c r="AD533" s="190"/>
      <c r="AE533" s="190"/>
      <c r="AF533" s="190"/>
      <c r="AG533" s="190"/>
      <c r="AH533" s="190"/>
      <c r="AI533" s="190"/>
      <c r="AJ533" s="190"/>
      <c r="AK533" s="190"/>
      <c r="AL533" s="190"/>
      <c r="AM533" s="190"/>
    </row>
    <row r="534" spans="2:39">
      <c r="B534" s="162"/>
      <c r="C534" s="162"/>
      <c r="D534" s="191"/>
      <c r="E534" s="191"/>
      <c r="F534" s="191"/>
      <c r="G534" s="191"/>
      <c r="H534" s="191"/>
      <c r="I534" s="191"/>
      <c r="J534" s="191"/>
      <c r="K534" s="191"/>
      <c r="L534" s="191"/>
      <c r="M534" s="191"/>
      <c r="N534" s="191"/>
      <c r="O534" s="191"/>
      <c r="P534" s="191"/>
      <c r="Q534" s="191"/>
      <c r="R534" s="191"/>
      <c r="S534" s="191"/>
      <c r="T534" s="191"/>
      <c r="U534" s="191"/>
      <c r="V534" s="191"/>
      <c r="W534" s="191"/>
      <c r="X534" s="191"/>
      <c r="Y534" s="191"/>
      <c r="Z534" s="191"/>
      <c r="AA534" s="191"/>
      <c r="AB534" s="191"/>
      <c r="AC534" s="190"/>
      <c r="AD534" s="190"/>
      <c r="AE534" s="190"/>
      <c r="AF534" s="190"/>
      <c r="AG534" s="190"/>
      <c r="AH534" s="190"/>
      <c r="AI534" s="190"/>
      <c r="AJ534" s="190"/>
      <c r="AK534" s="190"/>
      <c r="AL534" s="190"/>
      <c r="AM534" s="190"/>
    </row>
    <row r="535" spans="2:39">
      <c r="B535" s="162"/>
      <c r="C535" s="162"/>
      <c r="D535" s="191"/>
      <c r="E535" s="191"/>
      <c r="F535" s="191"/>
      <c r="G535" s="191"/>
      <c r="H535" s="191"/>
      <c r="I535" s="191"/>
      <c r="J535" s="191"/>
      <c r="K535" s="191"/>
      <c r="L535" s="191"/>
      <c r="M535" s="191"/>
      <c r="N535" s="191"/>
      <c r="O535" s="191"/>
      <c r="P535" s="191"/>
      <c r="Q535" s="191"/>
      <c r="R535" s="191"/>
      <c r="S535" s="191"/>
      <c r="T535" s="191"/>
      <c r="U535" s="191"/>
      <c r="V535" s="191"/>
      <c r="W535" s="191"/>
      <c r="X535" s="191"/>
      <c r="Y535" s="191"/>
      <c r="Z535" s="191"/>
      <c r="AA535" s="191"/>
      <c r="AB535" s="191"/>
      <c r="AC535" s="190"/>
      <c r="AD535" s="190"/>
      <c r="AE535" s="190"/>
      <c r="AF535" s="190"/>
      <c r="AG535" s="190"/>
      <c r="AH535" s="190"/>
      <c r="AI535" s="190"/>
      <c r="AJ535" s="190"/>
      <c r="AK535" s="190"/>
      <c r="AL535" s="190"/>
      <c r="AM535" s="190"/>
    </row>
    <row r="536" spans="2:39">
      <c r="B536" s="162"/>
      <c r="C536" s="162"/>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c r="AA536" s="191"/>
      <c r="AB536" s="191"/>
      <c r="AC536" s="190"/>
      <c r="AD536" s="190"/>
      <c r="AE536" s="190"/>
      <c r="AF536" s="190"/>
      <c r="AG536" s="190"/>
      <c r="AH536" s="190"/>
      <c r="AI536" s="190"/>
      <c r="AJ536" s="190"/>
      <c r="AK536" s="190"/>
      <c r="AL536" s="190"/>
      <c r="AM536" s="190"/>
    </row>
    <row r="537" spans="2:39">
      <c r="B537" s="162"/>
      <c r="C537" s="162"/>
      <c r="D537" s="191"/>
      <c r="E537" s="191"/>
      <c r="F537" s="191"/>
      <c r="G537" s="191"/>
      <c r="H537" s="191"/>
      <c r="I537" s="191"/>
      <c r="J537" s="191"/>
      <c r="K537" s="191"/>
      <c r="L537" s="191"/>
      <c r="M537" s="191"/>
      <c r="N537" s="191"/>
      <c r="O537" s="191"/>
      <c r="P537" s="191"/>
      <c r="Q537" s="191"/>
      <c r="R537" s="191"/>
      <c r="S537" s="191"/>
      <c r="T537" s="191"/>
      <c r="U537" s="191"/>
      <c r="V537" s="191"/>
      <c r="W537" s="191"/>
      <c r="X537" s="191"/>
      <c r="Y537" s="191"/>
      <c r="Z537" s="191"/>
      <c r="AA537" s="191"/>
      <c r="AB537" s="191"/>
      <c r="AC537" s="190"/>
      <c r="AD537" s="190"/>
      <c r="AE537" s="190"/>
      <c r="AF537" s="190"/>
      <c r="AG537" s="190"/>
      <c r="AH537" s="190"/>
      <c r="AI537" s="190"/>
      <c r="AJ537" s="190"/>
      <c r="AK537" s="190"/>
      <c r="AL537" s="190"/>
      <c r="AM537" s="190"/>
    </row>
    <row r="538" spans="2:39">
      <c r="B538" s="162"/>
      <c r="C538" s="162"/>
      <c r="D538" s="191"/>
      <c r="E538" s="191"/>
      <c r="F538" s="191"/>
      <c r="G538" s="191"/>
      <c r="H538" s="191"/>
      <c r="I538" s="191"/>
      <c r="J538" s="191"/>
      <c r="K538" s="191"/>
      <c r="L538" s="191"/>
      <c r="M538" s="191"/>
      <c r="N538" s="191"/>
      <c r="O538" s="191"/>
      <c r="P538" s="191"/>
      <c r="Q538" s="191"/>
      <c r="R538" s="191"/>
      <c r="S538" s="191"/>
      <c r="T538" s="191"/>
      <c r="U538" s="191"/>
      <c r="V538" s="191"/>
      <c r="W538" s="191"/>
      <c r="X538" s="191"/>
      <c r="Y538" s="191"/>
      <c r="Z538" s="191"/>
      <c r="AA538" s="191"/>
      <c r="AB538" s="191"/>
      <c r="AC538" s="190"/>
      <c r="AD538" s="190"/>
      <c r="AE538" s="190"/>
      <c r="AF538" s="190"/>
      <c r="AG538" s="190"/>
      <c r="AH538" s="190"/>
      <c r="AI538" s="190"/>
      <c r="AJ538" s="190"/>
      <c r="AK538" s="190"/>
      <c r="AL538" s="190"/>
      <c r="AM538" s="190"/>
    </row>
    <row r="539" spans="2:39">
      <c r="B539" s="162"/>
      <c r="C539" s="162"/>
      <c r="D539" s="191"/>
      <c r="E539" s="191"/>
      <c r="F539" s="191"/>
      <c r="G539" s="191"/>
      <c r="H539" s="191"/>
      <c r="I539" s="191"/>
      <c r="J539" s="191"/>
      <c r="K539" s="191"/>
      <c r="L539" s="191"/>
      <c r="M539" s="191"/>
      <c r="N539" s="191"/>
      <c r="O539" s="191"/>
      <c r="P539" s="191"/>
      <c r="Q539" s="191"/>
      <c r="R539" s="191"/>
      <c r="S539" s="191"/>
      <c r="T539" s="191"/>
      <c r="U539" s="191"/>
      <c r="V539" s="191"/>
      <c r="W539" s="191"/>
      <c r="X539" s="191"/>
      <c r="Y539" s="191"/>
      <c r="Z539" s="191"/>
      <c r="AA539" s="191"/>
      <c r="AB539" s="191"/>
      <c r="AC539" s="190"/>
      <c r="AD539" s="190"/>
      <c r="AE539" s="190"/>
      <c r="AF539" s="190"/>
      <c r="AG539" s="190"/>
      <c r="AH539" s="190"/>
      <c r="AI539" s="190"/>
      <c r="AJ539" s="190"/>
      <c r="AK539" s="190"/>
      <c r="AL539" s="190"/>
      <c r="AM539" s="190"/>
    </row>
    <row r="540" spans="2:39">
      <c r="B540" s="162"/>
      <c r="C540" s="162"/>
      <c r="D540" s="191"/>
      <c r="E540" s="191"/>
      <c r="F540" s="191"/>
      <c r="G540" s="191"/>
      <c r="H540" s="191"/>
      <c r="I540" s="191"/>
      <c r="J540" s="191"/>
      <c r="K540" s="191"/>
      <c r="L540" s="191"/>
      <c r="M540" s="191"/>
      <c r="N540" s="191"/>
      <c r="O540" s="191"/>
      <c r="P540" s="191"/>
      <c r="Q540" s="191"/>
      <c r="R540" s="191"/>
      <c r="S540" s="191"/>
      <c r="T540" s="191"/>
      <c r="U540" s="191"/>
      <c r="V540" s="191"/>
      <c r="W540" s="191"/>
      <c r="X540" s="191"/>
      <c r="Y540" s="191"/>
      <c r="Z540" s="191"/>
      <c r="AA540" s="191"/>
      <c r="AB540" s="191"/>
      <c r="AC540" s="190"/>
      <c r="AD540" s="190"/>
      <c r="AE540" s="190"/>
      <c r="AF540" s="190"/>
      <c r="AG540" s="190"/>
      <c r="AH540" s="190"/>
      <c r="AI540" s="190"/>
      <c r="AJ540" s="190"/>
      <c r="AK540" s="190"/>
      <c r="AL540" s="190"/>
      <c r="AM540" s="190"/>
    </row>
    <row r="541" spans="2:39">
      <c r="B541" s="162"/>
      <c r="C541" s="162"/>
      <c r="D541" s="191"/>
      <c r="E541" s="191"/>
      <c r="F541" s="191"/>
      <c r="G541" s="191"/>
      <c r="H541" s="191"/>
      <c r="I541" s="191"/>
      <c r="J541" s="191"/>
      <c r="K541" s="191"/>
      <c r="L541" s="191"/>
      <c r="M541" s="191"/>
      <c r="N541" s="191"/>
      <c r="O541" s="191"/>
      <c r="P541" s="191"/>
      <c r="Q541" s="191"/>
      <c r="R541" s="191"/>
      <c r="S541" s="191"/>
      <c r="T541" s="191"/>
      <c r="U541" s="191"/>
      <c r="V541" s="191"/>
      <c r="W541" s="191"/>
      <c r="X541" s="191"/>
      <c r="Y541" s="191"/>
      <c r="Z541" s="191"/>
      <c r="AA541" s="191"/>
      <c r="AB541" s="191"/>
      <c r="AC541" s="190"/>
      <c r="AD541" s="190"/>
      <c r="AE541" s="190"/>
      <c r="AF541" s="190"/>
      <c r="AG541" s="190"/>
      <c r="AH541" s="190"/>
      <c r="AI541" s="190"/>
      <c r="AJ541" s="190"/>
      <c r="AK541" s="190"/>
      <c r="AL541" s="190"/>
      <c r="AM541" s="190"/>
    </row>
    <row r="542" spans="2:39">
      <c r="B542" s="162"/>
      <c r="C542" s="162"/>
      <c r="D542" s="191"/>
      <c r="E542" s="191"/>
      <c r="F542" s="191"/>
      <c r="G542" s="191"/>
      <c r="H542" s="191"/>
      <c r="I542" s="191"/>
      <c r="J542" s="191"/>
      <c r="K542" s="191"/>
      <c r="L542" s="191"/>
      <c r="M542" s="191"/>
      <c r="N542" s="191"/>
      <c r="O542" s="191"/>
      <c r="P542" s="191"/>
      <c r="Q542" s="191"/>
      <c r="R542" s="191"/>
      <c r="S542" s="191"/>
      <c r="T542" s="191"/>
      <c r="U542" s="191"/>
      <c r="V542" s="191"/>
      <c r="W542" s="191"/>
      <c r="X542" s="191"/>
      <c r="Y542" s="191"/>
      <c r="Z542" s="191"/>
      <c r="AA542" s="191"/>
      <c r="AB542" s="191"/>
      <c r="AC542" s="190"/>
      <c r="AD542" s="190"/>
      <c r="AE542" s="190"/>
      <c r="AF542" s="190"/>
      <c r="AG542" s="190"/>
      <c r="AH542" s="190"/>
      <c r="AI542" s="190"/>
      <c r="AJ542" s="190"/>
      <c r="AK542" s="190"/>
      <c r="AL542" s="190"/>
      <c r="AM542" s="190"/>
    </row>
    <row r="543" spans="2:39">
      <c r="B543" s="162"/>
      <c r="C543" s="162"/>
      <c r="D543" s="191"/>
      <c r="E543" s="191"/>
      <c r="F543" s="191"/>
      <c r="G543" s="191"/>
      <c r="H543" s="191"/>
      <c r="I543" s="191"/>
      <c r="J543" s="191"/>
      <c r="K543" s="191"/>
      <c r="L543" s="191"/>
      <c r="M543" s="191"/>
      <c r="N543" s="191"/>
      <c r="O543" s="191"/>
      <c r="P543" s="191"/>
      <c r="Q543" s="191"/>
      <c r="R543" s="191"/>
      <c r="S543" s="191"/>
      <c r="T543" s="191"/>
      <c r="U543" s="191"/>
      <c r="V543" s="191"/>
      <c r="W543" s="191"/>
      <c r="X543" s="191"/>
      <c r="Y543" s="191"/>
      <c r="Z543" s="191"/>
      <c r="AA543" s="191"/>
      <c r="AB543" s="191"/>
      <c r="AC543" s="190"/>
      <c r="AD543" s="190"/>
      <c r="AE543" s="190"/>
      <c r="AF543" s="190"/>
      <c r="AG543" s="190"/>
      <c r="AH543" s="190"/>
      <c r="AI543" s="190"/>
      <c r="AJ543" s="190"/>
      <c r="AK543" s="190"/>
      <c r="AL543" s="190"/>
      <c r="AM543" s="190"/>
    </row>
    <row r="544" spans="2:39">
      <c r="B544" s="162"/>
      <c r="C544" s="162"/>
      <c r="D544" s="191"/>
      <c r="E544" s="191"/>
      <c r="F544" s="191"/>
      <c r="G544" s="191"/>
      <c r="H544" s="191"/>
      <c r="I544" s="191"/>
      <c r="J544" s="191"/>
      <c r="K544" s="191"/>
      <c r="L544" s="191"/>
      <c r="M544" s="191"/>
      <c r="N544" s="191"/>
      <c r="O544" s="191"/>
      <c r="P544" s="191"/>
      <c r="Q544" s="191"/>
      <c r="R544" s="191"/>
      <c r="S544" s="191"/>
      <c r="T544" s="191"/>
      <c r="U544" s="191"/>
      <c r="V544" s="191"/>
      <c r="W544" s="191"/>
      <c r="X544" s="191"/>
      <c r="Y544" s="191"/>
      <c r="Z544" s="191"/>
      <c r="AA544" s="191"/>
      <c r="AB544" s="191"/>
      <c r="AC544" s="190"/>
      <c r="AD544" s="190"/>
      <c r="AE544" s="190"/>
      <c r="AF544" s="190"/>
      <c r="AG544" s="190"/>
      <c r="AH544" s="190"/>
      <c r="AI544" s="190"/>
      <c r="AJ544" s="190"/>
      <c r="AK544" s="190"/>
      <c r="AL544" s="190"/>
      <c r="AM544" s="190"/>
    </row>
    <row r="545" spans="2:39">
      <c r="B545" s="162"/>
      <c r="C545" s="162"/>
      <c r="D545" s="191"/>
      <c r="E545" s="191"/>
      <c r="F545" s="191"/>
      <c r="G545" s="191"/>
      <c r="H545" s="191"/>
      <c r="I545" s="191"/>
      <c r="J545" s="191"/>
      <c r="K545" s="191"/>
      <c r="L545" s="191"/>
      <c r="M545" s="191"/>
      <c r="N545" s="191"/>
      <c r="O545" s="191"/>
      <c r="P545" s="191"/>
      <c r="Q545" s="191"/>
      <c r="R545" s="191"/>
      <c r="S545" s="191"/>
      <c r="T545" s="191"/>
      <c r="U545" s="191"/>
      <c r="V545" s="191"/>
      <c r="W545" s="191"/>
      <c r="X545" s="191"/>
      <c r="Y545" s="191"/>
      <c r="Z545" s="191"/>
      <c r="AA545" s="191"/>
      <c r="AB545" s="191"/>
      <c r="AC545" s="190"/>
      <c r="AD545" s="190"/>
      <c r="AE545" s="190"/>
      <c r="AF545" s="190"/>
      <c r="AG545" s="190"/>
      <c r="AH545" s="190"/>
      <c r="AI545" s="190"/>
      <c r="AJ545" s="190"/>
      <c r="AK545" s="190"/>
      <c r="AL545" s="190"/>
      <c r="AM545" s="190"/>
    </row>
    <row r="546" spans="2:39">
      <c r="B546" s="162"/>
      <c r="C546" s="162"/>
      <c r="D546" s="191"/>
      <c r="E546" s="191"/>
      <c r="F546" s="191"/>
      <c r="G546" s="191"/>
      <c r="H546" s="191"/>
      <c r="I546" s="191"/>
      <c r="J546" s="191"/>
      <c r="K546" s="191"/>
      <c r="L546" s="191"/>
      <c r="M546" s="191"/>
      <c r="N546" s="191"/>
      <c r="O546" s="191"/>
      <c r="P546" s="191"/>
      <c r="Q546" s="191"/>
      <c r="R546" s="191"/>
      <c r="S546" s="191"/>
      <c r="T546" s="191"/>
      <c r="U546" s="191"/>
      <c r="V546" s="191"/>
      <c r="W546" s="191"/>
      <c r="X546" s="191"/>
      <c r="Y546" s="191"/>
      <c r="Z546" s="191"/>
      <c r="AA546" s="191"/>
      <c r="AB546" s="191"/>
      <c r="AC546" s="190"/>
      <c r="AD546" s="190"/>
      <c r="AE546" s="190"/>
      <c r="AF546" s="190"/>
      <c r="AG546" s="190"/>
      <c r="AH546" s="190"/>
      <c r="AI546" s="190"/>
      <c r="AJ546" s="190"/>
      <c r="AK546" s="190"/>
      <c r="AL546" s="190"/>
      <c r="AM546" s="190"/>
    </row>
    <row r="547" spans="2:39">
      <c r="B547" s="162"/>
      <c r="C547" s="162"/>
      <c r="D547" s="191"/>
      <c r="E547" s="191"/>
      <c r="F547" s="191"/>
      <c r="G547" s="191"/>
      <c r="H547" s="191"/>
      <c r="I547" s="191"/>
      <c r="J547" s="191"/>
      <c r="K547" s="191"/>
      <c r="L547" s="191"/>
      <c r="M547" s="191"/>
      <c r="N547" s="191"/>
      <c r="O547" s="191"/>
      <c r="P547" s="191"/>
      <c r="Q547" s="191"/>
      <c r="R547" s="191"/>
      <c r="S547" s="191"/>
      <c r="T547" s="191"/>
      <c r="U547" s="191"/>
      <c r="V547" s="191"/>
      <c r="W547" s="191"/>
      <c r="X547" s="191"/>
      <c r="Y547" s="191"/>
      <c r="Z547" s="191"/>
      <c r="AA547" s="191"/>
      <c r="AB547" s="191"/>
      <c r="AC547" s="190"/>
      <c r="AD547" s="190"/>
      <c r="AE547" s="190"/>
      <c r="AF547" s="190"/>
      <c r="AG547" s="190"/>
      <c r="AH547" s="190"/>
      <c r="AI547" s="190"/>
      <c r="AJ547" s="190"/>
      <c r="AK547" s="190"/>
      <c r="AL547" s="190"/>
      <c r="AM547" s="190"/>
    </row>
    <row r="548" spans="2:39">
      <c r="B548" s="162"/>
      <c r="C548" s="162"/>
      <c r="D548" s="191"/>
      <c r="E548" s="191"/>
      <c r="F548" s="191"/>
      <c r="G548" s="191"/>
      <c r="H548" s="191"/>
      <c r="I548" s="191"/>
      <c r="J548" s="191"/>
      <c r="K548" s="191"/>
      <c r="L548" s="191"/>
      <c r="M548" s="191"/>
      <c r="N548" s="191"/>
      <c r="O548" s="191"/>
      <c r="P548" s="191"/>
      <c r="Q548" s="191"/>
      <c r="R548" s="191"/>
      <c r="S548" s="191"/>
      <c r="T548" s="191"/>
      <c r="U548" s="191"/>
      <c r="V548" s="191"/>
      <c r="W548" s="191"/>
      <c r="X548" s="191"/>
      <c r="Y548" s="191"/>
      <c r="Z548" s="191"/>
      <c r="AA548" s="191"/>
      <c r="AB548" s="191"/>
      <c r="AC548" s="190"/>
      <c r="AD548" s="190"/>
      <c r="AE548" s="190"/>
      <c r="AF548" s="190"/>
      <c r="AG548" s="190"/>
      <c r="AH548" s="190"/>
      <c r="AI548" s="190"/>
      <c r="AJ548" s="190"/>
      <c r="AK548" s="190"/>
      <c r="AL548" s="190"/>
      <c r="AM548" s="190"/>
    </row>
    <row r="549" spans="2:39">
      <c r="B549" s="162"/>
      <c r="C549" s="162"/>
      <c r="D549" s="191"/>
      <c r="E549" s="191"/>
      <c r="F549" s="191"/>
      <c r="G549" s="191"/>
      <c r="H549" s="191"/>
      <c r="I549" s="191"/>
      <c r="J549" s="191"/>
      <c r="K549" s="191"/>
      <c r="L549" s="191"/>
      <c r="M549" s="191"/>
      <c r="N549" s="191"/>
      <c r="O549" s="191"/>
      <c r="P549" s="191"/>
      <c r="Q549" s="191"/>
      <c r="R549" s="191"/>
      <c r="S549" s="191"/>
      <c r="T549" s="191"/>
      <c r="U549" s="191"/>
      <c r="V549" s="191"/>
      <c r="W549" s="191"/>
      <c r="X549" s="191"/>
      <c r="Y549" s="191"/>
      <c r="Z549" s="191"/>
      <c r="AA549" s="191"/>
      <c r="AB549" s="191"/>
      <c r="AC549" s="190"/>
      <c r="AD549" s="190"/>
      <c r="AE549" s="190"/>
      <c r="AF549" s="190"/>
      <c r="AG549" s="190"/>
      <c r="AH549" s="190"/>
      <c r="AI549" s="190"/>
      <c r="AJ549" s="190"/>
      <c r="AK549" s="190"/>
      <c r="AL549" s="190"/>
      <c r="AM549" s="190"/>
    </row>
    <row r="550" spans="2:39">
      <c r="B550" s="162"/>
      <c r="C550" s="162"/>
      <c r="D550" s="191"/>
      <c r="E550" s="191"/>
      <c r="F550" s="191"/>
      <c r="G550" s="191"/>
      <c r="H550" s="191"/>
      <c r="I550" s="191"/>
      <c r="J550" s="191"/>
      <c r="K550" s="191"/>
      <c r="L550" s="191"/>
      <c r="M550" s="191"/>
      <c r="N550" s="191"/>
      <c r="O550" s="191"/>
      <c r="P550" s="191"/>
      <c r="Q550" s="191"/>
      <c r="R550" s="191"/>
      <c r="S550" s="191"/>
      <c r="T550" s="191"/>
      <c r="U550" s="191"/>
      <c r="V550" s="191"/>
      <c r="W550" s="191"/>
      <c r="X550" s="191"/>
      <c r="Y550" s="191"/>
      <c r="Z550" s="191"/>
      <c r="AA550" s="191"/>
      <c r="AB550" s="191"/>
      <c r="AC550" s="190"/>
      <c r="AD550" s="190"/>
      <c r="AE550" s="190"/>
      <c r="AF550" s="190"/>
      <c r="AG550" s="190"/>
      <c r="AH550" s="190"/>
      <c r="AI550" s="190"/>
      <c r="AJ550" s="190"/>
      <c r="AK550" s="190"/>
      <c r="AL550" s="190"/>
      <c r="AM550" s="190"/>
    </row>
    <row r="551" spans="2:39">
      <c r="B551" s="162"/>
      <c r="C551" s="162"/>
      <c r="D551" s="191"/>
      <c r="E551" s="191"/>
      <c r="F551" s="191"/>
      <c r="G551" s="191"/>
      <c r="H551" s="191"/>
      <c r="I551" s="191"/>
      <c r="J551" s="191"/>
      <c r="K551" s="191"/>
      <c r="L551" s="191"/>
      <c r="M551" s="191"/>
      <c r="N551" s="191"/>
      <c r="O551" s="191"/>
      <c r="P551" s="191"/>
      <c r="Q551" s="191"/>
      <c r="R551" s="191"/>
      <c r="S551" s="191"/>
      <c r="T551" s="191"/>
      <c r="U551" s="191"/>
      <c r="V551" s="191"/>
      <c r="W551" s="191"/>
      <c r="X551" s="191"/>
      <c r="Y551" s="191"/>
      <c r="Z551" s="191"/>
      <c r="AA551" s="191"/>
      <c r="AB551" s="191"/>
      <c r="AC551" s="190"/>
      <c r="AD551" s="190"/>
      <c r="AE551" s="190"/>
      <c r="AF551" s="190"/>
      <c r="AG551" s="190"/>
      <c r="AH551" s="190"/>
      <c r="AI551" s="190"/>
      <c r="AJ551" s="190"/>
      <c r="AK551" s="190"/>
      <c r="AL551" s="190"/>
      <c r="AM551" s="190"/>
    </row>
    <row r="552" spans="2:39">
      <c r="B552" s="162"/>
      <c r="C552" s="162"/>
      <c r="D552" s="191"/>
      <c r="E552" s="191"/>
      <c r="F552" s="191"/>
      <c r="G552" s="191"/>
      <c r="H552" s="191"/>
      <c r="I552" s="191"/>
      <c r="J552" s="191"/>
      <c r="K552" s="191"/>
      <c r="L552" s="191"/>
      <c r="M552" s="191"/>
      <c r="N552" s="191"/>
      <c r="O552" s="191"/>
      <c r="P552" s="191"/>
      <c r="Q552" s="191"/>
      <c r="R552" s="191"/>
      <c r="S552" s="191"/>
      <c r="T552" s="191"/>
      <c r="U552" s="191"/>
      <c r="V552" s="191"/>
      <c r="W552" s="191"/>
      <c r="X552" s="191"/>
      <c r="Y552" s="191"/>
      <c r="Z552" s="191"/>
      <c r="AA552" s="191"/>
      <c r="AB552" s="191"/>
      <c r="AC552" s="190"/>
      <c r="AD552" s="190"/>
      <c r="AE552" s="190"/>
      <c r="AF552" s="190"/>
      <c r="AG552" s="190"/>
      <c r="AH552" s="190"/>
      <c r="AI552" s="190"/>
      <c r="AJ552" s="190"/>
      <c r="AK552" s="190"/>
      <c r="AL552" s="190"/>
      <c r="AM552" s="190"/>
    </row>
    <row r="553" spans="2:39">
      <c r="B553" s="162"/>
      <c r="C553" s="162"/>
      <c r="D553" s="191"/>
      <c r="E553" s="191"/>
      <c r="F553" s="191"/>
      <c r="G553" s="191"/>
      <c r="H553" s="191"/>
      <c r="I553" s="191"/>
      <c r="J553" s="191"/>
      <c r="K553" s="191"/>
      <c r="L553" s="191"/>
      <c r="M553" s="191"/>
      <c r="N553" s="191"/>
      <c r="O553" s="191"/>
      <c r="P553" s="191"/>
      <c r="Q553" s="191"/>
      <c r="R553" s="191"/>
      <c r="S553" s="191"/>
      <c r="T553" s="191"/>
      <c r="U553" s="191"/>
      <c r="V553" s="191"/>
      <c r="W553" s="191"/>
      <c r="X553" s="191"/>
      <c r="Y553" s="191"/>
      <c r="Z553" s="191"/>
      <c r="AA553" s="191"/>
      <c r="AB553" s="191"/>
      <c r="AC553" s="190"/>
      <c r="AD553" s="190"/>
      <c r="AE553" s="190"/>
      <c r="AF553" s="190"/>
      <c r="AG553" s="190"/>
      <c r="AH553" s="190"/>
      <c r="AI553" s="190"/>
      <c r="AJ553" s="190"/>
      <c r="AK553" s="190"/>
      <c r="AL553" s="190"/>
      <c r="AM553" s="190"/>
    </row>
    <row r="554" spans="2:39">
      <c r="B554" s="162"/>
      <c r="C554" s="162"/>
      <c r="D554" s="191"/>
      <c r="E554" s="191"/>
      <c r="F554" s="191"/>
      <c r="G554" s="191"/>
      <c r="H554" s="191"/>
      <c r="I554" s="191"/>
      <c r="J554" s="191"/>
      <c r="K554" s="191"/>
      <c r="L554" s="191"/>
      <c r="M554" s="191"/>
      <c r="N554" s="191"/>
      <c r="O554" s="191"/>
      <c r="P554" s="191"/>
      <c r="Q554" s="191"/>
      <c r="R554" s="191"/>
      <c r="S554" s="191"/>
      <c r="T554" s="191"/>
      <c r="U554" s="191"/>
      <c r="V554" s="191"/>
      <c r="W554" s="191"/>
      <c r="X554" s="191"/>
      <c r="Y554" s="191"/>
      <c r="Z554" s="191"/>
      <c r="AA554" s="191"/>
      <c r="AB554" s="191"/>
      <c r="AC554" s="190"/>
      <c r="AD554" s="190"/>
      <c r="AE554" s="190"/>
      <c r="AF554" s="190"/>
      <c r="AG554" s="190"/>
      <c r="AH554" s="190"/>
      <c r="AI554" s="190"/>
      <c r="AJ554" s="190"/>
      <c r="AK554" s="190"/>
      <c r="AL554" s="190"/>
      <c r="AM554" s="190"/>
    </row>
    <row r="555" spans="2:39">
      <c r="B555" s="162"/>
      <c r="C555" s="162"/>
      <c r="D555" s="191"/>
      <c r="E555" s="191"/>
      <c r="F555" s="191"/>
      <c r="G555" s="191"/>
      <c r="H555" s="191"/>
      <c r="I555" s="191"/>
      <c r="J555" s="191"/>
      <c r="K555" s="191"/>
      <c r="L555" s="191"/>
      <c r="M555" s="191"/>
      <c r="N555" s="191"/>
      <c r="O555" s="191"/>
      <c r="P555" s="191"/>
      <c r="Q555" s="191"/>
      <c r="R555" s="191"/>
      <c r="S555" s="191"/>
      <c r="T555" s="191"/>
      <c r="U555" s="191"/>
      <c r="V555" s="191"/>
      <c r="W555" s="191"/>
      <c r="X555" s="191"/>
      <c r="Y555" s="191"/>
      <c r="Z555" s="191"/>
      <c r="AA555" s="191"/>
      <c r="AB555" s="191"/>
      <c r="AC555" s="190"/>
      <c r="AD555" s="190"/>
      <c r="AE555" s="190"/>
      <c r="AF555" s="190"/>
      <c r="AG555" s="190"/>
      <c r="AH555" s="190"/>
      <c r="AI555" s="190"/>
      <c r="AJ555" s="190"/>
      <c r="AK555" s="190"/>
      <c r="AL555" s="190"/>
      <c r="AM555" s="190"/>
    </row>
    <row r="556" spans="2:39">
      <c r="B556" s="162"/>
      <c r="C556" s="162"/>
      <c r="D556" s="191"/>
      <c r="E556" s="191"/>
      <c r="F556" s="191"/>
      <c r="G556" s="191"/>
      <c r="H556" s="191"/>
      <c r="I556" s="191"/>
      <c r="J556" s="191"/>
      <c r="K556" s="191"/>
      <c r="L556" s="191"/>
      <c r="M556" s="191"/>
      <c r="N556" s="191"/>
      <c r="O556" s="191"/>
      <c r="P556" s="191"/>
      <c r="Q556" s="191"/>
      <c r="R556" s="191"/>
      <c r="S556" s="191"/>
      <c r="T556" s="191"/>
      <c r="U556" s="191"/>
      <c r="V556" s="191"/>
      <c r="W556" s="191"/>
      <c r="X556" s="191"/>
      <c r="Y556" s="191"/>
      <c r="Z556" s="191"/>
      <c r="AA556" s="191"/>
      <c r="AB556" s="191"/>
      <c r="AC556" s="190"/>
      <c r="AD556" s="190"/>
      <c r="AE556" s="190"/>
      <c r="AF556" s="190"/>
      <c r="AG556" s="190"/>
      <c r="AH556" s="190"/>
      <c r="AI556" s="190"/>
      <c r="AJ556" s="190"/>
      <c r="AK556" s="190"/>
      <c r="AL556" s="190"/>
      <c r="AM556" s="190"/>
    </row>
    <row r="557" spans="2:39">
      <c r="B557" s="162"/>
      <c r="C557" s="162"/>
      <c r="D557" s="191"/>
      <c r="E557" s="191"/>
      <c r="F557" s="191"/>
      <c r="G557" s="191"/>
      <c r="H557" s="191"/>
      <c r="I557" s="191"/>
      <c r="J557" s="191"/>
      <c r="K557" s="191"/>
      <c r="L557" s="191"/>
      <c r="M557" s="191"/>
      <c r="N557" s="191"/>
      <c r="O557" s="191"/>
      <c r="P557" s="191"/>
      <c r="Q557" s="191"/>
      <c r="R557" s="191"/>
      <c r="S557" s="191"/>
      <c r="T557" s="191"/>
      <c r="U557" s="191"/>
      <c r="V557" s="191"/>
      <c r="W557" s="191"/>
      <c r="X557" s="191"/>
      <c r="Y557" s="191"/>
      <c r="Z557" s="191"/>
      <c r="AA557" s="191"/>
      <c r="AB557" s="191"/>
      <c r="AC557" s="190"/>
      <c r="AD557" s="190"/>
      <c r="AE557" s="190"/>
      <c r="AF557" s="190"/>
      <c r="AG557" s="190"/>
      <c r="AH557" s="190"/>
      <c r="AI557" s="190"/>
      <c r="AJ557" s="190"/>
      <c r="AK557" s="190"/>
      <c r="AL557" s="190"/>
      <c r="AM557" s="190"/>
    </row>
    <row r="558" spans="2:39">
      <c r="B558" s="162"/>
      <c r="C558" s="162"/>
      <c r="D558" s="191"/>
      <c r="E558" s="191"/>
      <c r="F558" s="191"/>
      <c r="G558" s="191"/>
      <c r="H558" s="191"/>
      <c r="I558" s="191"/>
      <c r="J558" s="191"/>
      <c r="K558" s="191"/>
      <c r="L558" s="191"/>
      <c r="M558" s="191"/>
      <c r="N558" s="191"/>
      <c r="O558" s="191"/>
      <c r="P558" s="191"/>
      <c r="Q558" s="191"/>
      <c r="R558" s="191"/>
      <c r="S558" s="191"/>
      <c r="T558" s="191"/>
      <c r="U558" s="191"/>
      <c r="V558" s="191"/>
      <c r="W558" s="191"/>
      <c r="X558" s="191"/>
      <c r="Y558" s="191"/>
      <c r="Z558" s="191"/>
      <c r="AA558" s="191"/>
      <c r="AB558" s="191"/>
      <c r="AC558" s="190"/>
      <c r="AD558" s="190"/>
      <c r="AE558" s="190"/>
      <c r="AF558" s="190"/>
      <c r="AG558" s="190"/>
      <c r="AH558" s="190"/>
      <c r="AI558" s="190"/>
      <c r="AJ558" s="190"/>
      <c r="AK558" s="190"/>
      <c r="AL558" s="190"/>
      <c r="AM558" s="190"/>
    </row>
    <row r="559" spans="2:39">
      <c r="B559" s="162"/>
      <c r="C559" s="162"/>
      <c r="D559" s="191"/>
      <c r="E559" s="191"/>
      <c r="F559" s="191"/>
      <c r="G559" s="191"/>
      <c r="H559" s="191"/>
      <c r="I559" s="191"/>
      <c r="J559" s="191"/>
      <c r="K559" s="191"/>
      <c r="L559" s="191"/>
      <c r="M559" s="191"/>
      <c r="N559" s="191"/>
      <c r="O559" s="191"/>
      <c r="P559" s="191"/>
      <c r="Q559" s="191"/>
      <c r="R559" s="191"/>
      <c r="S559" s="191"/>
      <c r="T559" s="191"/>
      <c r="U559" s="191"/>
      <c r="V559" s="191"/>
      <c r="W559" s="191"/>
      <c r="X559" s="191"/>
      <c r="Y559" s="191"/>
      <c r="Z559" s="191"/>
      <c r="AA559" s="191"/>
      <c r="AB559" s="191"/>
      <c r="AC559" s="190"/>
      <c r="AD559" s="190"/>
      <c r="AE559" s="190"/>
      <c r="AF559" s="190"/>
      <c r="AG559" s="190"/>
      <c r="AH559" s="190"/>
      <c r="AI559" s="190"/>
      <c r="AJ559" s="190"/>
      <c r="AK559" s="190"/>
      <c r="AL559" s="190"/>
      <c r="AM559" s="190"/>
    </row>
    <row r="560" spans="2:39">
      <c r="B560" s="162"/>
      <c r="C560" s="162"/>
      <c r="D560" s="191"/>
      <c r="E560" s="191"/>
      <c r="F560" s="191"/>
      <c r="G560" s="191"/>
      <c r="H560" s="191"/>
      <c r="I560" s="191"/>
      <c r="J560" s="191"/>
      <c r="K560" s="191"/>
      <c r="L560" s="191"/>
      <c r="M560" s="191"/>
      <c r="N560" s="191"/>
      <c r="O560" s="191"/>
      <c r="P560" s="191"/>
      <c r="Q560" s="191"/>
      <c r="R560" s="191"/>
      <c r="S560" s="191"/>
      <c r="T560" s="191"/>
      <c r="U560" s="191"/>
      <c r="V560" s="191"/>
      <c r="W560" s="191"/>
      <c r="X560" s="191"/>
      <c r="Y560" s="191"/>
      <c r="Z560" s="191"/>
      <c r="AA560" s="191"/>
      <c r="AB560" s="191"/>
      <c r="AC560" s="190"/>
      <c r="AD560" s="190"/>
      <c r="AE560" s="190"/>
      <c r="AF560" s="190"/>
      <c r="AG560" s="190"/>
      <c r="AH560" s="190"/>
      <c r="AI560" s="190"/>
      <c r="AJ560" s="190"/>
      <c r="AK560" s="190"/>
      <c r="AL560" s="190"/>
      <c r="AM560" s="190"/>
    </row>
    <row r="561" spans="2:39">
      <c r="B561" s="162"/>
      <c r="C561" s="162"/>
      <c r="D561" s="191"/>
      <c r="E561" s="191"/>
      <c r="F561" s="191"/>
      <c r="G561" s="191"/>
      <c r="H561" s="191"/>
      <c r="I561" s="191"/>
      <c r="J561" s="191"/>
      <c r="K561" s="191"/>
      <c r="L561" s="191"/>
      <c r="M561" s="191"/>
      <c r="N561" s="191"/>
      <c r="O561" s="191"/>
      <c r="P561" s="191"/>
      <c r="Q561" s="191"/>
      <c r="R561" s="191"/>
      <c r="S561" s="191"/>
      <c r="T561" s="191"/>
      <c r="U561" s="191"/>
      <c r="V561" s="191"/>
      <c r="W561" s="191"/>
      <c r="X561" s="191"/>
      <c r="Y561" s="191"/>
      <c r="Z561" s="191"/>
      <c r="AA561" s="191"/>
      <c r="AB561" s="191"/>
      <c r="AC561" s="190"/>
      <c r="AD561" s="190"/>
      <c r="AE561" s="190"/>
      <c r="AF561" s="190"/>
      <c r="AG561" s="190"/>
      <c r="AH561" s="190"/>
      <c r="AI561" s="190"/>
      <c r="AJ561" s="190"/>
      <c r="AK561" s="190"/>
      <c r="AL561" s="190"/>
      <c r="AM561" s="190"/>
    </row>
    <row r="562" spans="2:39">
      <c r="B562" s="162"/>
      <c r="C562" s="162"/>
      <c r="D562" s="191"/>
      <c r="E562" s="191"/>
      <c r="F562" s="191"/>
      <c r="G562" s="191"/>
      <c r="H562" s="191"/>
      <c r="I562" s="191"/>
      <c r="J562" s="191"/>
      <c r="K562" s="191"/>
      <c r="L562" s="191"/>
      <c r="M562" s="191"/>
      <c r="N562" s="191"/>
      <c r="O562" s="191"/>
      <c r="P562" s="191"/>
      <c r="Q562" s="191"/>
      <c r="R562" s="191"/>
      <c r="S562" s="191"/>
      <c r="T562" s="191"/>
      <c r="U562" s="191"/>
      <c r="V562" s="191"/>
      <c r="W562" s="191"/>
      <c r="X562" s="191"/>
      <c r="Y562" s="191"/>
      <c r="Z562" s="191"/>
      <c r="AA562" s="191"/>
      <c r="AB562" s="191"/>
      <c r="AC562" s="190"/>
      <c r="AD562" s="190"/>
      <c r="AE562" s="190"/>
      <c r="AF562" s="190"/>
      <c r="AG562" s="190"/>
      <c r="AH562" s="190"/>
      <c r="AI562" s="190"/>
      <c r="AJ562" s="190"/>
      <c r="AK562" s="190"/>
      <c r="AL562" s="190"/>
      <c r="AM562" s="190"/>
    </row>
    <row r="563" spans="2:39">
      <c r="B563" s="162"/>
      <c r="C563" s="162"/>
      <c r="D563" s="191"/>
      <c r="E563" s="191"/>
      <c r="F563" s="191"/>
      <c r="G563" s="191"/>
      <c r="H563" s="191"/>
      <c r="I563" s="191"/>
      <c r="J563" s="191"/>
      <c r="K563" s="191"/>
      <c r="L563" s="191"/>
      <c r="M563" s="191"/>
      <c r="N563" s="191"/>
      <c r="O563" s="191"/>
      <c r="P563" s="191"/>
      <c r="Q563" s="191"/>
      <c r="R563" s="191"/>
      <c r="S563" s="191"/>
      <c r="T563" s="191"/>
      <c r="U563" s="191"/>
      <c r="V563" s="191"/>
      <c r="W563" s="191"/>
      <c r="X563" s="191"/>
      <c r="Y563" s="191"/>
      <c r="Z563" s="191"/>
      <c r="AA563" s="191"/>
      <c r="AB563" s="191"/>
      <c r="AC563" s="190"/>
      <c r="AD563" s="190"/>
      <c r="AE563" s="190"/>
      <c r="AF563" s="190"/>
      <c r="AG563" s="190"/>
      <c r="AH563" s="190"/>
      <c r="AI563" s="190"/>
      <c r="AJ563" s="190"/>
      <c r="AK563" s="190"/>
      <c r="AL563" s="190"/>
      <c r="AM563" s="190"/>
    </row>
    <row r="564" spans="2:39">
      <c r="B564" s="162"/>
      <c r="C564" s="162"/>
      <c r="D564" s="191"/>
      <c r="E564" s="191"/>
      <c r="F564" s="191"/>
      <c r="G564" s="191"/>
      <c r="H564" s="191"/>
      <c r="I564" s="191"/>
      <c r="J564" s="191"/>
      <c r="K564" s="191"/>
      <c r="L564" s="191"/>
      <c r="M564" s="191"/>
      <c r="N564" s="191"/>
      <c r="O564" s="191"/>
      <c r="P564" s="191"/>
      <c r="Q564" s="191"/>
      <c r="R564" s="191"/>
      <c r="S564" s="191"/>
      <c r="T564" s="191"/>
      <c r="U564" s="191"/>
      <c r="V564" s="191"/>
      <c r="W564" s="191"/>
      <c r="X564" s="191"/>
      <c r="Y564" s="191"/>
      <c r="Z564" s="191"/>
      <c r="AA564" s="191"/>
      <c r="AB564" s="191"/>
      <c r="AC564" s="190"/>
      <c r="AD564" s="190"/>
      <c r="AE564" s="190"/>
      <c r="AF564" s="190"/>
      <c r="AG564" s="190"/>
      <c r="AH564" s="190"/>
      <c r="AI564" s="190"/>
      <c r="AJ564" s="190"/>
      <c r="AK564" s="190"/>
      <c r="AL564" s="190"/>
      <c r="AM564" s="190"/>
    </row>
    <row r="565" spans="2:39">
      <c r="B565" s="162"/>
      <c r="C565" s="162"/>
      <c r="D565" s="191"/>
      <c r="E565" s="191"/>
      <c r="F565" s="191"/>
      <c r="G565" s="191"/>
      <c r="H565" s="191"/>
      <c r="I565" s="191"/>
      <c r="J565" s="191"/>
      <c r="K565" s="191"/>
      <c r="L565" s="191"/>
      <c r="M565" s="191"/>
      <c r="N565" s="191"/>
      <c r="O565" s="191"/>
      <c r="P565" s="191"/>
      <c r="Q565" s="191"/>
      <c r="R565" s="191"/>
      <c r="S565" s="191"/>
      <c r="T565" s="191"/>
      <c r="U565" s="191"/>
      <c r="V565" s="191"/>
      <c r="W565" s="191"/>
      <c r="X565" s="191"/>
      <c r="Y565" s="191"/>
      <c r="Z565" s="191"/>
      <c r="AA565" s="191"/>
      <c r="AB565" s="191"/>
      <c r="AC565" s="190"/>
      <c r="AD565" s="190"/>
      <c r="AE565" s="190"/>
      <c r="AF565" s="190"/>
      <c r="AG565" s="190"/>
      <c r="AH565" s="190"/>
      <c r="AI565" s="190"/>
      <c r="AJ565" s="190"/>
      <c r="AK565" s="190"/>
      <c r="AL565" s="190"/>
      <c r="AM565" s="190"/>
    </row>
    <row r="566" spans="2:39">
      <c r="B566" s="162"/>
      <c r="C566" s="162"/>
      <c r="D566" s="191"/>
      <c r="E566" s="191"/>
      <c r="F566" s="191"/>
      <c r="G566" s="191"/>
      <c r="H566" s="191"/>
      <c r="I566" s="191"/>
      <c r="J566" s="191"/>
      <c r="K566" s="191"/>
      <c r="L566" s="191"/>
      <c r="M566" s="191"/>
      <c r="N566" s="191"/>
      <c r="O566" s="191"/>
      <c r="P566" s="191"/>
      <c r="Q566" s="191"/>
      <c r="R566" s="191"/>
      <c r="S566" s="191"/>
      <c r="T566" s="191"/>
      <c r="U566" s="191"/>
      <c r="V566" s="191"/>
      <c r="W566" s="191"/>
      <c r="X566" s="191"/>
      <c r="Y566" s="191"/>
      <c r="Z566" s="191"/>
      <c r="AA566" s="191"/>
      <c r="AB566" s="191"/>
      <c r="AC566" s="190"/>
      <c r="AD566" s="190"/>
      <c r="AE566" s="190"/>
      <c r="AF566" s="190"/>
      <c r="AG566" s="190"/>
      <c r="AH566" s="190"/>
      <c r="AI566" s="190"/>
      <c r="AJ566" s="190"/>
      <c r="AK566" s="190"/>
      <c r="AL566" s="190"/>
      <c r="AM566" s="190"/>
    </row>
    <row r="567" spans="2:39">
      <c r="B567" s="162"/>
      <c r="C567" s="162"/>
      <c r="D567" s="191"/>
      <c r="E567" s="191"/>
      <c r="F567" s="191"/>
      <c r="G567" s="191"/>
      <c r="H567" s="191"/>
      <c r="I567" s="191"/>
      <c r="J567" s="191"/>
      <c r="K567" s="191"/>
      <c r="L567" s="191"/>
      <c r="M567" s="191"/>
      <c r="N567" s="191"/>
      <c r="O567" s="191"/>
      <c r="P567" s="191"/>
      <c r="Q567" s="191"/>
      <c r="R567" s="191"/>
      <c r="S567" s="191"/>
      <c r="T567" s="191"/>
      <c r="U567" s="191"/>
      <c r="V567" s="191"/>
      <c r="W567" s="191"/>
      <c r="X567" s="191"/>
      <c r="Y567" s="191"/>
      <c r="Z567" s="191"/>
      <c r="AA567" s="191"/>
      <c r="AB567" s="191"/>
      <c r="AC567" s="190"/>
      <c r="AD567" s="190"/>
      <c r="AE567" s="190"/>
      <c r="AF567" s="190"/>
      <c r="AG567" s="190"/>
      <c r="AH567" s="190"/>
      <c r="AI567" s="190"/>
      <c r="AJ567" s="190"/>
      <c r="AK567" s="190"/>
      <c r="AL567" s="190"/>
      <c r="AM567" s="190"/>
    </row>
    <row r="568" spans="2:39">
      <c r="B568" s="162"/>
      <c r="C568" s="162"/>
      <c r="D568" s="191"/>
      <c r="E568" s="191"/>
      <c r="F568" s="191"/>
      <c r="G568" s="191"/>
      <c r="H568" s="191"/>
      <c r="I568" s="191"/>
      <c r="J568" s="191"/>
      <c r="K568" s="191"/>
      <c r="L568" s="191"/>
      <c r="M568" s="191"/>
      <c r="N568" s="191"/>
      <c r="O568" s="191"/>
      <c r="P568" s="191"/>
      <c r="Q568" s="191"/>
      <c r="R568" s="191"/>
      <c r="S568" s="191"/>
      <c r="T568" s="191"/>
      <c r="U568" s="191"/>
      <c r="V568" s="191"/>
      <c r="W568" s="191"/>
      <c r="X568" s="191"/>
      <c r="Y568" s="191"/>
      <c r="Z568" s="191"/>
      <c r="AA568" s="191"/>
      <c r="AB568" s="191"/>
      <c r="AC568" s="190"/>
      <c r="AD568" s="190"/>
      <c r="AE568" s="190"/>
      <c r="AF568" s="190"/>
      <c r="AG568" s="190"/>
      <c r="AH568" s="190"/>
      <c r="AI568" s="190"/>
      <c r="AJ568" s="190"/>
      <c r="AK568" s="190"/>
      <c r="AL568" s="190"/>
      <c r="AM568" s="190"/>
    </row>
    <row r="569" spans="2:39">
      <c r="B569" s="162"/>
      <c r="C569" s="162"/>
      <c r="D569" s="191"/>
      <c r="E569" s="191"/>
      <c r="F569" s="191"/>
      <c r="G569" s="191"/>
      <c r="H569" s="191"/>
      <c r="I569" s="191"/>
      <c r="J569" s="191"/>
      <c r="K569" s="191"/>
      <c r="L569" s="191"/>
      <c r="M569" s="191"/>
      <c r="N569" s="191"/>
      <c r="O569" s="191"/>
      <c r="P569" s="191"/>
      <c r="Q569" s="191"/>
      <c r="R569" s="191"/>
      <c r="S569" s="191"/>
      <c r="T569" s="191"/>
      <c r="U569" s="191"/>
      <c r="V569" s="191"/>
      <c r="W569" s="191"/>
      <c r="X569" s="191"/>
      <c r="Y569" s="191"/>
      <c r="Z569" s="191"/>
      <c r="AA569" s="191"/>
      <c r="AB569" s="191"/>
      <c r="AC569" s="190"/>
      <c r="AD569" s="190"/>
      <c r="AE569" s="190"/>
      <c r="AF569" s="190"/>
      <c r="AG569" s="190"/>
      <c r="AH569" s="190"/>
      <c r="AI569" s="190"/>
      <c r="AJ569" s="190"/>
      <c r="AK569" s="190"/>
      <c r="AL569" s="190"/>
      <c r="AM569" s="190"/>
    </row>
    <row r="570" spans="2:39">
      <c r="B570" s="162"/>
      <c r="C570" s="162"/>
      <c r="D570" s="191"/>
      <c r="E570" s="191"/>
      <c r="F570" s="191"/>
      <c r="G570" s="191"/>
      <c r="H570" s="191"/>
      <c r="I570" s="191"/>
      <c r="J570" s="191"/>
      <c r="K570" s="191"/>
      <c r="L570" s="191"/>
      <c r="M570" s="191"/>
      <c r="N570" s="191"/>
      <c r="O570" s="191"/>
      <c r="P570" s="191"/>
      <c r="Q570" s="191"/>
      <c r="R570" s="191"/>
      <c r="S570" s="191"/>
      <c r="T570" s="191"/>
      <c r="U570" s="191"/>
      <c r="V570" s="191"/>
      <c r="W570" s="191"/>
      <c r="X570" s="191"/>
      <c r="Y570" s="191"/>
      <c r="Z570" s="191"/>
      <c r="AA570" s="191"/>
      <c r="AB570" s="191"/>
      <c r="AC570" s="190"/>
      <c r="AD570" s="190"/>
      <c r="AE570" s="190"/>
      <c r="AF570" s="190"/>
      <c r="AG570" s="190"/>
      <c r="AH570" s="190"/>
      <c r="AI570" s="190"/>
      <c r="AJ570" s="190"/>
      <c r="AK570" s="190"/>
      <c r="AL570" s="190"/>
      <c r="AM570" s="190"/>
    </row>
    <row r="571" spans="2:39">
      <c r="B571" s="162"/>
      <c r="C571" s="162"/>
      <c r="D571" s="191"/>
      <c r="E571" s="191"/>
      <c r="F571" s="191"/>
      <c r="G571" s="191"/>
      <c r="H571" s="191"/>
      <c r="I571" s="191"/>
      <c r="J571" s="191"/>
      <c r="K571" s="191"/>
      <c r="L571" s="191"/>
      <c r="M571" s="191"/>
      <c r="N571" s="191"/>
      <c r="O571" s="191"/>
      <c r="P571" s="191"/>
      <c r="Q571" s="191"/>
      <c r="R571" s="191"/>
      <c r="S571" s="191"/>
      <c r="T571" s="191"/>
      <c r="U571" s="191"/>
      <c r="V571" s="191"/>
      <c r="W571" s="191"/>
      <c r="X571" s="191"/>
      <c r="Y571" s="191"/>
      <c r="Z571" s="191"/>
      <c r="AA571" s="191"/>
      <c r="AB571" s="191"/>
      <c r="AC571" s="190"/>
      <c r="AD571" s="190"/>
      <c r="AE571" s="190"/>
      <c r="AF571" s="190"/>
      <c r="AG571" s="190"/>
      <c r="AH571" s="190"/>
      <c r="AI571" s="190"/>
      <c r="AJ571" s="190"/>
      <c r="AK571" s="190"/>
      <c r="AL571" s="190"/>
      <c r="AM571" s="190"/>
    </row>
    <row r="572" spans="2:39">
      <c r="B572" s="162"/>
      <c r="C572" s="162"/>
      <c r="D572" s="191"/>
      <c r="E572" s="191"/>
      <c r="F572" s="191"/>
      <c r="G572" s="191"/>
      <c r="H572" s="191"/>
      <c r="I572" s="191"/>
      <c r="J572" s="191"/>
      <c r="K572" s="191"/>
      <c r="L572" s="191"/>
      <c r="M572" s="191"/>
      <c r="N572" s="191"/>
      <c r="O572" s="191"/>
      <c r="P572" s="191"/>
      <c r="Q572" s="191"/>
      <c r="R572" s="191"/>
      <c r="S572" s="191"/>
      <c r="T572" s="191"/>
      <c r="U572" s="191"/>
      <c r="V572" s="191"/>
      <c r="W572" s="191"/>
      <c r="X572" s="191"/>
      <c r="Y572" s="191"/>
      <c r="Z572" s="191"/>
      <c r="AA572" s="191"/>
      <c r="AB572" s="191"/>
      <c r="AC572" s="190"/>
      <c r="AD572" s="190"/>
      <c r="AE572" s="190"/>
      <c r="AF572" s="190"/>
      <c r="AG572" s="190"/>
      <c r="AH572" s="190"/>
      <c r="AI572" s="190"/>
      <c r="AJ572" s="190"/>
      <c r="AK572" s="190"/>
      <c r="AL572" s="190"/>
      <c r="AM572" s="190"/>
    </row>
    <row r="573" spans="2:39">
      <c r="B573" s="162"/>
      <c r="C573" s="162"/>
      <c r="D573" s="191"/>
      <c r="E573" s="191"/>
      <c r="F573" s="191"/>
      <c r="G573" s="191"/>
      <c r="H573" s="191"/>
      <c r="I573" s="191"/>
      <c r="J573" s="191"/>
      <c r="K573" s="191"/>
      <c r="L573" s="191"/>
      <c r="M573" s="191"/>
      <c r="N573" s="191"/>
      <c r="O573" s="191"/>
      <c r="P573" s="191"/>
      <c r="Q573" s="191"/>
      <c r="R573" s="191"/>
      <c r="S573" s="191"/>
      <c r="T573" s="191"/>
      <c r="U573" s="191"/>
      <c r="V573" s="191"/>
      <c r="W573" s="191"/>
      <c r="X573" s="191"/>
      <c r="Y573" s="191"/>
      <c r="Z573" s="191"/>
      <c r="AA573" s="191"/>
      <c r="AB573" s="191"/>
      <c r="AC573" s="190"/>
      <c r="AD573" s="190"/>
      <c r="AE573" s="190"/>
      <c r="AF573" s="190"/>
      <c r="AG573" s="190"/>
      <c r="AH573" s="190"/>
      <c r="AI573" s="190"/>
      <c r="AJ573" s="190"/>
      <c r="AK573" s="190"/>
      <c r="AL573" s="190"/>
      <c r="AM573" s="190"/>
    </row>
    <row r="574" spans="2:39">
      <c r="B574" s="162"/>
      <c r="C574" s="162"/>
      <c r="D574" s="191"/>
      <c r="E574" s="191"/>
      <c r="F574" s="191"/>
      <c r="G574" s="191"/>
      <c r="H574" s="191"/>
      <c r="I574" s="191"/>
      <c r="J574" s="191"/>
      <c r="K574" s="191"/>
      <c r="L574" s="191"/>
      <c r="M574" s="191"/>
      <c r="N574" s="191"/>
      <c r="O574" s="191"/>
      <c r="P574" s="191"/>
      <c r="Q574" s="191"/>
      <c r="R574" s="191"/>
      <c r="S574" s="191"/>
      <c r="T574" s="191"/>
      <c r="U574" s="191"/>
      <c r="V574" s="191"/>
      <c r="W574" s="191"/>
      <c r="X574" s="191"/>
      <c r="Y574" s="191"/>
      <c r="Z574" s="191"/>
      <c r="AA574" s="191"/>
      <c r="AB574" s="191"/>
      <c r="AC574" s="190"/>
      <c r="AD574" s="190"/>
      <c r="AE574" s="190"/>
      <c r="AF574" s="190"/>
      <c r="AG574" s="190"/>
      <c r="AH574" s="190"/>
      <c r="AI574" s="190"/>
      <c r="AJ574" s="190"/>
      <c r="AK574" s="190"/>
      <c r="AL574" s="190"/>
      <c r="AM574" s="190"/>
    </row>
    <row r="575" spans="2:39">
      <c r="B575" s="162"/>
      <c r="C575" s="162"/>
      <c r="D575" s="191"/>
      <c r="E575" s="191"/>
      <c r="F575" s="191"/>
      <c r="G575" s="191"/>
      <c r="H575" s="191"/>
      <c r="I575" s="191"/>
      <c r="J575" s="191"/>
      <c r="K575" s="191"/>
      <c r="L575" s="191"/>
      <c r="M575" s="191"/>
      <c r="N575" s="191"/>
      <c r="O575" s="191"/>
      <c r="P575" s="191"/>
      <c r="Q575" s="191"/>
      <c r="R575" s="191"/>
      <c r="S575" s="191"/>
      <c r="T575" s="191"/>
      <c r="U575" s="191"/>
      <c r="V575" s="191"/>
      <c r="W575" s="191"/>
      <c r="X575" s="191"/>
      <c r="Y575" s="191"/>
      <c r="Z575" s="191"/>
      <c r="AA575" s="191"/>
      <c r="AB575" s="191"/>
      <c r="AC575" s="190"/>
      <c r="AD575" s="190"/>
      <c r="AE575" s="190"/>
      <c r="AF575" s="190"/>
      <c r="AG575" s="190"/>
      <c r="AH575" s="190"/>
      <c r="AI575" s="190"/>
      <c r="AJ575" s="190"/>
      <c r="AK575" s="190"/>
      <c r="AL575" s="190"/>
      <c r="AM575" s="190"/>
    </row>
    <row r="576" spans="2:39">
      <c r="B576" s="162"/>
      <c r="C576" s="162"/>
      <c r="D576" s="191"/>
      <c r="E576" s="191"/>
      <c r="F576" s="191"/>
      <c r="G576" s="191"/>
      <c r="H576" s="191"/>
      <c r="I576" s="191"/>
      <c r="J576" s="191"/>
      <c r="K576" s="191"/>
      <c r="L576" s="191"/>
      <c r="M576" s="191"/>
      <c r="N576" s="191"/>
      <c r="O576" s="191"/>
      <c r="P576" s="191"/>
      <c r="Q576" s="191"/>
      <c r="R576" s="191"/>
      <c r="S576" s="191"/>
      <c r="T576" s="191"/>
      <c r="U576" s="191"/>
      <c r="V576" s="191"/>
      <c r="W576" s="191"/>
      <c r="X576" s="191"/>
      <c r="Y576" s="191"/>
      <c r="Z576" s="191"/>
      <c r="AA576" s="191"/>
      <c r="AB576" s="191"/>
      <c r="AC576" s="190"/>
      <c r="AD576" s="190"/>
      <c r="AE576" s="190"/>
      <c r="AF576" s="190"/>
      <c r="AG576" s="190"/>
      <c r="AH576" s="190"/>
      <c r="AI576" s="190"/>
      <c r="AJ576" s="190"/>
      <c r="AK576" s="190"/>
      <c r="AL576" s="190"/>
      <c r="AM576" s="190"/>
    </row>
    <row r="577" spans="2:39">
      <c r="B577" s="162"/>
      <c r="C577" s="162"/>
      <c r="D577" s="191"/>
      <c r="E577" s="191"/>
      <c r="F577" s="191"/>
      <c r="G577" s="191"/>
      <c r="H577" s="191"/>
      <c r="I577" s="191"/>
      <c r="J577" s="191"/>
      <c r="K577" s="191"/>
      <c r="L577" s="191"/>
      <c r="M577" s="191"/>
      <c r="N577" s="191"/>
      <c r="O577" s="191"/>
      <c r="P577" s="191"/>
      <c r="Q577" s="191"/>
      <c r="R577" s="191"/>
      <c r="S577" s="191"/>
      <c r="T577" s="191"/>
      <c r="U577" s="191"/>
      <c r="V577" s="191"/>
      <c r="W577" s="191"/>
      <c r="X577" s="191"/>
      <c r="Y577" s="191"/>
      <c r="Z577" s="191"/>
      <c r="AA577" s="191"/>
      <c r="AB577" s="191"/>
      <c r="AC577" s="190"/>
      <c r="AD577" s="190"/>
      <c r="AE577" s="190"/>
      <c r="AF577" s="190"/>
      <c r="AG577" s="190"/>
      <c r="AH577" s="190"/>
      <c r="AI577" s="190"/>
      <c r="AJ577" s="190"/>
      <c r="AK577" s="190"/>
      <c r="AL577" s="190"/>
      <c r="AM577" s="190"/>
    </row>
    <row r="578" spans="2:39">
      <c r="B578" s="162"/>
      <c r="C578" s="162"/>
      <c r="D578" s="191"/>
      <c r="E578" s="191"/>
      <c r="F578" s="191"/>
      <c r="G578" s="191"/>
      <c r="H578" s="191"/>
      <c r="I578" s="191"/>
      <c r="J578" s="191"/>
      <c r="K578" s="191"/>
      <c r="L578" s="191"/>
      <c r="M578" s="191"/>
      <c r="N578" s="191"/>
      <c r="O578" s="191"/>
      <c r="P578" s="191"/>
      <c r="Q578" s="191"/>
      <c r="R578" s="191"/>
      <c r="S578" s="191"/>
      <c r="T578" s="191"/>
      <c r="U578" s="191"/>
      <c r="V578" s="191"/>
      <c r="W578" s="191"/>
      <c r="X578" s="191"/>
      <c r="Y578" s="191"/>
      <c r="Z578" s="191"/>
      <c r="AA578" s="191"/>
      <c r="AB578" s="191"/>
      <c r="AC578" s="190"/>
      <c r="AD578" s="190"/>
      <c r="AE578" s="190"/>
      <c r="AF578" s="190"/>
      <c r="AG578" s="190"/>
      <c r="AH578" s="190"/>
      <c r="AI578" s="190"/>
      <c r="AJ578" s="190"/>
      <c r="AK578" s="190"/>
      <c r="AL578" s="190"/>
      <c r="AM578" s="190"/>
    </row>
    <row r="579" spans="2:39">
      <c r="B579" s="162"/>
      <c r="C579" s="162"/>
      <c r="D579" s="191"/>
      <c r="E579" s="191"/>
      <c r="F579" s="191"/>
      <c r="G579" s="191"/>
      <c r="H579" s="191"/>
      <c r="I579" s="191"/>
      <c r="J579" s="191"/>
      <c r="K579" s="191"/>
      <c r="L579" s="191"/>
      <c r="M579" s="191"/>
      <c r="N579" s="191"/>
      <c r="O579" s="191"/>
      <c r="P579" s="191"/>
      <c r="Q579" s="191"/>
      <c r="R579" s="191"/>
      <c r="S579" s="191"/>
      <c r="T579" s="191"/>
      <c r="U579" s="191"/>
      <c r="V579" s="191"/>
      <c r="W579" s="191"/>
      <c r="X579" s="191"/>
      <c r="Y579" s="191"/>
      <c r="Z579" s="191"/>
      <c r="AA579" s="191"/>
      <c r="AB579" s="191"/>
      <c r="AC579" s="190"/>
      <c r="AD579" s="190"/>
      <c r="AE579" s="190"/>
      <c r="AF579" s="190"/>
      <c r="AG579" s="190"/>
      <c r="AH579" s="190"/>
      <c r="AI579" s="190"/>
      <c r="AJ579" s="190"/>
      <c r="AK579" s="190"/>
      <c r="AL579" s="190"/>
      <c r="AM579" s="190"/>
    </row>
    <row r="580" spans="2:39">
      <c r="B580" s="162"/>
      <c r="C580" s="162"/>
      <c r="D580" s="191"/>
      <c r="E580" s="191"/>
      <c r="F580" s="191"/>
      <c r="G580" s="191"/>
      <c r="H580" s="191"/>
      <c r="I580" s="191"/>
      <c r="J580" s="191"/>
      <c r="K580" s="191"/>
      <c r="L580" s="191"/>
      <c r="M580" s="191"/>
      <c r="N580" s="191"/>
      <c r="O580" s="191"/>
      <c r="P580" s="191"/>
      <c r="Q580" s="191"/>
      <c r="R580" s="191"/>
      <c r="S580" s="191"/>
      <c r="T580" s="191"/>
      <c r="U580" s="191"/>
      <c r="V580" s="191"/>
      <c r="W580" s="191"/>
      <c r="X580" s="191"/>
      <c r="Y580" s="191"/>
      <c r="Z580" s="191"/>
      <c r="AA580" s="191"/>
      <c r="AB580" s="191"/>
      <c r="AC580" s="190"/>
      <c r="AD580" s="190"/>
      <c r="AE580" s="190"/>
      <c r="AF580" s="190"/>
      <c r="AG580" s="190"/>
      <c r="AH580" s="190"/>
      <c r="AI580" s="190"/>
      <c r="AJ580" s="190"/>
      <c r="AK580" s="190"/>
      <c r="AL580" s="190"/>
      <c r="AM580" s="190"/>
    </row>
    <row r="581" spans="2:39">
      <c r="B581" s="162"/>
      <c r="C581" s="162"/>
      <c r="D581" s="191"/>
      <c r="E581" s="191"/>
      <c r="F581" s="191"/>
      <c r="G581" s="191"/>
      <c r="H581" s="191"/>
      <c r="I581" s="191"/>
      <c r="J581" s="191"/>
      <c r="K581" s="191"/>
      <c r="L581" s="191"/>
      <c r="M581" s="191"/>
      <c r="N581" s="191"/>
      <c r="O581" s="191"/>
      <c r="P581" s="191"/>
      <c r="Q581" s="191"/>
      <c r="R581" s="191"/>
      <c r="S581" s="191"/>
      <c r="T581" s="191"/>
      <c r="U581" s="191"/>
      <c r="V581" s="191"/>
      <c r="W581" s="191"/>
      <c r="X581" s="191"/>
      <c r="Y581" s="191"/>
      <c r="Z581" s="191"/>
      <c r="AA581" s="191"/>
      <c r="AB581" s="191"/>
      <c r="AC581" s="190"/>
      <c r="AD581" s="190"/>
      <c r="AE581" s="190"/>
      <c r="AF581" s="190"/>
      <c r="AG581" s="190"/>
      <c r="AH581" s="190"/>
      <c r="AI581" s="190"/>
      <c r="AJ581" s="190"/>
      <c r="AK581" s="190"/>
      <c r="AL581" s="190"/>
      <c r="AM581" s="190"/>
    </row>
    <row r="582" spans="2:39">
      <c r="B582" s="162"/>
      <c r="C582" s="162"/>
      <c r="D582" s="191"/>
      <c r="E582" s="191"/>
      <c r="F582" s="191"/>
      <c r="G582" s="191"/>
      <c r="H582" s="191"/>
      <c r="I582" s="191"/>
      <c r="J582" s="191"/>
      <c r="K582" s="191"/>
      <c r="L582" s="191"/>
      <c r="M582" s="191"/>
      <c r="N582" s="191"/>
      <c r="O582" s="191"/>
      <c r="P582" s="191"/>
      <c r="Q582" s="191"/>
      <c r="R582" s="191"/>
      <c r="S582" s="191"/>
      <c r="T582" s="191"/>
      <c r="U582" s="191"/>
      <c r="V582" s="191"/>
      <c r="W582" s="191"/>
      <c r="X582" s="191"/>
      <c r="Y582" s="191"/>
      <c r="Z582" s="191"/>
      <c r="AA582" s="191"/>
      <c r="AB582" s="191"/>
      <c r="AC582" s="190"/>
      <c r="AD582" s="190"/>
      <c r="AE582" s="190"/>
      <c r="AF582" s="190"/>
      <c r="AG582" s="190"/>
      <c r="AH582" s="190"/>
      <c r="AI582" s="190"/>
      <c r="AJ582" s="190"/>
      <c r="AK582" s="190"/>
      <c r="AL582" s="190"/>
      <c r="AM582" s="190"/>
    </row>
    <row r="583" spans="2:39">
      <c r="B583" s="162"/>
      <c r="C583" s="162"/>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0"/>
      <c r="AD583" s="190"/>
      <c r="AE583" s="190"/>
      <c r="AF583" s="190"/>
      <c r="AG583" s="190"/>
      <c r="AH583" s="190"/>
      <c r="AI583" s="190"/>
      <c r="AJ583" s="190"/>
      <c r="AK583" s="190"/>
      <c r="AL583" s="190"/>
      <c r="AM583" s="190"/>
    </row>
    <row r="584" spans="2:39">
      <c r="B584" s="162"/>
      <c r="C584" s="162"/>
      <c r="D584" s="191"/>
      <c r="E584" s="191"/>
      <c r="F584" s="191"/>
      <c r="G584" s="191"/>
      <c r="H584" s="191"/>
      <c r="I584" s="191"/>
      <c r="J584" s="191"/>
      <c r="K584" s="191"/>
      <c r="L584" s="191"/>
      <c r="M584" s="191"/>
      <c r="N584" s="191"/>
      <c r="O584" s="191"/>
      <c r="P584" s="191"/>
      <c r="Q584" s="191"/>
      <c r="R584" s="191"/>
      <c r="S584" s="191"/>
      <c r="T584" s="191"/>
      <c r="U584" s="191"/>
      <c r="V584" s="191"/>
      <c r="W584" s="191"/>
      <c r="X584" s="191"/>
      <c r="Y584" s="191"/>
      <c r="Z584" s="191"/>
      <c r="AA584" s="191"/>
      <c r="AB584" s="191"/>
      <c r="AC584" s="190"/>
      <c r="AD584" s="190"/>
      <c r="AE584" s="190"/>
      <c r="AF584" s="190"/>
      <c r="AG584" s="190"/>
      <c r="AH584" s="190"/>
      <c r="AI584" s="190"/>
      <c r="AJ584" s="190"/>
      <c r="AK584" s="190"/>
      <c r="AL584" s="190"/>
      <c r="AM584" s="190"/>
    </row>
    <row r="585" spans="2:39">
      <c r="B585" s="162"/>
      <c r="C585" s="162"/>
      <c r="D585" s="191"/>
      <c r="E585" s="191"/>
      <c r="F585" s="191"/>
      <c r="G585" s="191"/>
      <c r="H585" s="191"/>
      <c r="I585" s="191"/>
      <c r="J585" s="191"/>
      <c r="K585" s="191"/>
      <c r="L585" s="191"/>
      <c r="M585" s="191"/>
      <c r="N585" s="191"/>
      <c r="O585" s="191"/>
      <c r="P585" s="191"/>
      <c r="Q585" s="191"/>
      <c r="R585" s="191"/>
      <c r="S585" s="191"/>
      <c r="T585" s="191"/>
      <c r="U585" s="191"/>
      <c r="V585" s="191"/>
      <c r="W585" s="191"/>
      <c r="X585" s="191"/>
      <c r="Y585" s="191"/>
      <c r="Z585" s="191"/>
      <c r="AA585" s="191"/>
      <c r="AB585" s="191"/>
      <c r="AC585" s="190"/>
      <c r="AD585" s="190"/>
      <c r="AE585" s="190"/>
      <c r="AF585" s="190"/>
      <c r="AG585" s="190"/>
      <c r="AH585" s="190"/>
      <c r="AI585" s="190"/>
      <c r="AJ585" s="190"/>
      <c r="AK585" s="190"/>
      <c r="AL585" s="190"/>
      <c r="AM585" s="190"/>
    </row>
    <row r="586" spans="2:39">
      <c r="B586" s="162"/>
      <c r="C586" s="162"/>
      <c r="D586" s="191"/>
      <c r="E586" s="191"/>
      <c r="F586" s="191"/>
      <c r="G586" s="191"/>
      <c r="H586" s="191"/>
      <c r="I586" s="191"/>
      <c r="J586" s="191"/>
      <c r="K586" s="191"/>
      <c r="L586" s="191"/>
      <c r="M586" s="191"/>
      <c r="N586" s="191"/>
      <c r="O586" s="191"/>
      <c r="P586" s="191"/>
      <c r="Q586" s="191"/>
      <c r="R586" s="191"/>
      <c r="S586" s="191"/>
      <c r="T586" s="191"/>
      <c r="U586" s="191"/>
      <c r="V586" s="191"/>
      <c r="W586" s="191"/>
      <c r="X586" s="191"/>
      <c r="Y586" s="191"/>
      <c r="Z586" s="191"/>
      <c r="AA586" s="191"/>
      <c r="AB586" s="191"/>
      <c r="AC586" s="190"/>
      <c r="AD586" s="190"/>
      <c r="AE586" s="190"/>
      <c r="AF586" s="190"/>
      <c r="AG586" s="190"/>
      <c r="AH586" s="190"/>
      <c r="AI586" s="190"/>
      <c r="AJ586" s="190"/>
      <c r="AK586" s="190"/>
      <c r="AL586" s="190"/>
      <c r="AM586" s="190"/>
    </row>
    <row r="587" spans="2:39">
      <c r="B587" s="162"/>
      <c r="C587" s="162"/>
      <c r="D587" s="191"/>
      <c r="E587" s="191"/>
      <c r="F587" s="191"/>
      <c r="G587" s="191"/>
      <c r="H587" s="191"/>
      <c r="I587" s="191"/>
      <c r="J587" s="191"/>
      <c r="K587" s="191"/>
      <c r="L587" s="191"/>
      <c r="M587" s="191"/>
      <c r="N587" s="191"/>
      <c r="O587" s="191"/>
      <c r="P587" s="191"/>
      <c r="Q587" s="191"/>
      <c r="R587" s="191"/>
      <c r="S587" s="191"/>
      <c r="T587" s="191"/>
      <c r="U587" s="191"/>
      <c r="V587" s="191"/>
      <c r="W587" s="191"/>
      <c r="X587" s="191"/>
      <c r="Y587" s="191"/>
      <c r="Z587" s="191"/>
      <c r="AA587" s="191"/>
      <c r="AB587" s="191"/>
      <c r="AC587" s="190"/>
      <c r="AD587" s="190"/>
      <c r="AE587" s="190"/>
      <c r="AF587" s="190"/>
      <c r="AG587" s="190"/>
      <c r="AH587" s="190"/>
      <c r="AI587" s="190"/>
      <c r="AJ587" s="190"/>
      <c r="AK587" s="190"/>
      <c r="AL587" s="190"/>
      <c r="AM587" s="190"/>
    </row>
    <row r="588" spans="2:39">
      <c r="B588" s="162"/>
      <c r="C588" s="162"/>
      <c r="D588" s="191"/>
      <c r="E588" s="191"/>
      <c r="F588" s="191"/>
      <c r="G588" s="191"/>
      <c r="H588" s="191"/>
      <c r="I588" s="191"/>
      <c r="J588" s="191"/>
      <c r="K588" s="191"/>
      <c r="L588" s="191"/>
      <c r="M588" s="191"/>
      <c r="N588" s="191"/>
      <c r="O588" s="191"/>
      <c r="P588" s="191"/>
      <c r="Q588" s="191"/>
      <c r="R588" s="191"/>
      <c r="S588" s="191"/>
      <c r="T588" s="191"/>
      <c r="U588" s="191"/>
      <c r="V588" s="191"/>
      <c r="W588" s="191"/>
      <c r="X588" s="191"/>
      <c r="Y588" s="191"/>
      <c r="Z588" s="191"/>
      <c r="AA588" s="191"/>
      <c r="AB588" s="191"/>
      <c r="AC588" s="190"/>
      <c r="AD588" s="190"/>
      <c r="AE588" s="190"/>
      <c r="AF588" s="190"/>
      <c r="AG588" s="190"/>
      <c r="AH588" s="190"/>
      <c r="AI588" s="190"/>
      <c r="AJ588" s="190"/>
      <c r="AK588" s="190"/>
      <c r="AL588" s="190"/>
      <c r="AM588" s="190"/>
    </row>
    <row r="589" spans="2:39">
      <c r="B589" s="162"/>
      <c r="C589" s="162"/>
      <c r="D589" s="191"/>
      <c r="E589" s="191"/>
      <c r="F589" s="191"/>
      <c r="G589" s="191"/>
      <c r="H589" s="191"/>
      <c r="I589" s="191"/>
      <c r="J589" s="191"/>
      <c r="K589" s="191"/>
      <c r="L589" s="191"/>
      <c r="M589" s="191"/>
      <c r="N589" s="191"/>
      <c r="O589" s="191"/>
      <c r="P589" s="191"/>
      <c r="Q589" s="191"/>
      <c r="R589" s="191"/>
      <c r="S589" s="191"/>
      <c r="T589" s="191"/>
      <c r="U589" s="191"/>
      <c r="V589" s="191"/>
      <c r="W589" s="191"/>
      <c r="X589" s="191"/>
      <c r="Y589" s="191"/>
      <c r="Z589" s="191"/>
      <c r="AA589" s="191"/>
      <c r="AB589" s="191"/>
      <c r="AC589" s="190"/>
      <c r="AD589" s="190"/>
      <c r="AE589" s="190"/>
      <c r="AF589" s="190"/>
      <c r="AG589" s="190"/>
      <c r="AH589" s="190"/>
      <c r="AI589" s="190"/>
      <c r="AJ589" s="190"/>
      <c r="AK589" s="190"/>
      <c r="AL589" s="190"/>
      <c r="AM589" s="190"/>
    </row>
    <row r="590" spans="2:39">
      <c r="B590" s="162"/>
      <c r="C590" s="162"/>
      <c r="D590" s="191"/>
      <c r="E590" s="191"/>
      <c r="F590" s="191"/>
      <c r="G590" s="191"/>
      <c r="H590" s="191"/>
      <c r="I590" s="191"/>
      <c r="J590" s="191"/>
      <c r="K590" s="191"/>
      <c r="L590" s="191"/>
      <c r="M590" s="191"/>
      <c r="N590" s="191"/>
      <c r="O590" s="191"/>
      <c r="P590" s="191"/>
      <c r="Q590" s="191"/>
      <c r="R590" s="191"/>
      <c r="S590" s="191"/>
      <c r="T590" s="191"/>
      <c r="U590" s="191"/>
      <c r="V590" s="191"/>
      <c r="W590" s="191"/>
      <c r="X590" s="191"/>
      <c r="Y590" s="191"/>
      <c r="Z590" s="191"/>
      <c r="AA590" s="191"/>
      <c r="AB590" s="191"/>
      <c r="AC590" s="190"/>
      <c r="AD590" s="190"/>
      <c r="AE590" s="190"/>
      <c r="AF590" s="190"/>
      <c r="AG590" s="190"/>
      <c r="AH590" s="190"/>
      <c r="AI590" s="190"/>
      <c r="AJ590" s="190"/>
      <c r="AK590" s="190"/>
      <c r="AL590" s="190"/>
      <c r="AM590" s="190"/>
    </row>
    <row r="591" spans="2:39">
      <c r="B591" s="162"/>
      <c r="C591" s="162"/>
      <c r="D591" s="191"/>
      <c r="E591" s="191"/>
      <c r="F591" s="191"/>
      <c r="G591" s="191"/>
      <c r="H591" s="191"/>
      <c r="I591" s="191"/>
      <c r="J591" s="191"/>
      <c r="K591" s="191"/>
      <c r="L591" s="191"/>
      <c r="M591" s="191"/>
      <c r="N591" s="191"/>
      <c r="O591" s="191"/>
      <c r="P591" s="191"/>
      <c r="Q591" s="191"/>
      <c r="R591" s="191"/>
      <c r="S591" s="191"/>
      <c r="T591" s="191"/>
      <c r="U591" s="191"/>
      <c r="V591" s="191"/>
      <c r="W591" s="191"/>
      <c r="X591" s="191"/>
      <c r="Y591" s="191"/>
      <c r="Z591" s="191"/>
      <c r="AA591" s="191"/>
      <c r="AB591" s="191"/>
      <c r="AC591" s="190"/>
      <c r="AD591" s="190"/>
      <c r="AE591" s="190"/>
      <c r="AF591" s="190"/>
      <c r="AG591" s="190"/>
      <c r="AH591" s="190"/>
      <c r="AI591" s="190"/>
      <c r="AJ591" s="190"/>
      <c r="AK591" s="190"/>
      <c r="AL591" s="190"/>
      <c r="AM591" s="190"/>
    </row>
    <row r="592" spans="2:39">
      <c r="B592" s="162"/>
      <c r="C592" s="162"/>
      <c r="D592" s="191"/>
      <c r="E592" s="191"/>
      <c r="F592" s="191"/>
      <c r="G592" s="191"/>
      <c r="H592" s="191"/>
      <c r="I592" s="191"/>
      <c r="J592" s="191"/>
      <c r="K592" s="191"/>
      <c r="L592" s="191"/>
      <c r="M592" s="191"/>
      <c r="N592" s="191"/>
      <c r="O592" s="191"/>
      <c r="P592" s="191"/>
      <c r="Q592" s="191"/>
      <c r="R592" s="191"/>
      <c r="S592" s="191"/>
      <c r="T592" s="191"/>
      <c r="U592" s="191"/>
      <c r="V592" s="191"/>
      <c r="W592" s="191"/>
      <c r="X592" s="191"/>
      <c r="Y592" s="191"/>
      <c r="Z592" s="191"/>
      <c r="AA592" s="191"/>
      <c r="AB592" s="191"/>
      <c r="AC592" s="190"/>
      <c r="AD592" s="190"/>
      <c r="AE592" s="190"/>
      <c r="AF592" s="190"/>
      <c r="AG592" s="190"/>
      <c r="AH592" s="190"/>
      <c r="AI592" s="190"/>
      <c r="AJ592" s="190"/>
      <c r="AK592" s="190"/>
      <c r="AL592" s="190"/>
      <c r="AM592" s="190"/>
    </row>
    <row r="593" spans="2:39">
      <c r="B593" s="162"/>
      <c r="C593" s="162"/>
      <c r="D593" s="191"/>
      <c r="E593" s="191"/>
      <c r="F593" s="191"/>
      <c r="G593" s="191"/>
      <c r="H593" s="191"/>
      <c r="I593" s="191"/>
      <c r="J593" s="191"/>
      <c r="K593" s="191"/>
      <c r="L593" s="191"/>
      <c r="M593" s="191"/>
      <c r="N593" s="191"/>
      <c r="O593" s="191"/>
      <c r="P593" s="191"/>
      <c r="Q593" s="191"/>
      <c r="R593" s="191"/>
      <c r="S593" s="191"/>
      <c r="T593" s="191"/>
      <c r="U593" s="191"/>
      <c r="V593" s="191"/>
      <c r="W593" s="191"/>
      <c r="X593" s="191"/>
      <c r="Y593" s="191"/>
      <c r="Z593" s="191"/>
      <c r="AA593" s="191"/>
      <c r="AB593" s="191"/>
      <c r="AC593" s="190"/>
      <c r="AD593" s="190"/>
      <c r="AE593" s="190"/>
      <c r="AF593" s="190"/>
      <c r="AG593" s="190"/>
      <c r="AH593" s="190"/>
      <c r="AI593" s="190"/>
      <c r="AJ593" s="190"/>
      <c r="AK593" s="190"/>
      <c r="AL593" s="190"/>
      <c r="AM593" s="190"/>
    </row>
    <row r="594" spans="2:39">
      <c r="B594" s="162"/>
      <c r="C594" s="162"/>
      <c r="D594" s="191"/>
      <c r="E594" s="191"/>
      <c r="F594" s="191"/>
      <c r="G594" s="191"/>
      <c r="H594" s="191"/>
      <c r="I594" s="191"/>
      <c r="J594" s="191"/>
      <c r="K594" s="191"/>
      <c r="L594" s="191"/>
      <c r="M594" s="191"/>
      <c r="N594" s="191"/>
      <c r="O594" s="191"/>
      <c r="P594" s="191"/>
      <c r="Q594" s="191"/>
      <c r="R594" s="191"/>
      <c r="S594" s="191"/>
      <c r="T594" s="191"/>
      <c r="U594" s="191"/>
      <c r="V594" s="191"/>
      <c r="W594" s="191"/>
      <c r="X594" s="191"/>
      <c r="Y594" s="191"/>
      <c r="Z594" s="191"/>
      <c r="AA594" s="191"/>
      <c r="AB594" s="191"/>
      <c r="AC594" s="190"/>
      <c r="AD594" s="190"/>
      <c r="AE594" s="190"/>
      <c r="AF594" s="190"/>
      <c r="AG594" s="190"/>
      <c r="AH594" s="190"/>
      <c r="AI594" s="190"/>
      <c r="AJ594" s="190"/>
      <c r="AK594" s="190"/>
      <c r="AL594" s="190"/>
      <c r="AM594" s="190"/>
    </row>
    <row r="595" spans="2:39">
      <c r="B595" s="162"/>
      <c r="C595" s="162"/>
      <c r="D595" s="191"/>
      <c r="E595" s="191"/>
      <c r="F595" s="191"/>
      <c r="G595" s="191"/>
      <c r="H595" s="191"/>
      <c r="I595" s="191"/>
      <c r="J595" s="191"/>
      <c r="K595" s="191"/>
      <c r="L595" s="191"/>
      <c r="M595" s="191"/>
      <c r="N595" s="191"/>
      <c r="O595" s="191"/>
      <c r="P595" s="191"/>
      <c r="Q595" s="191"/>
      <c r="R595" s="191"/>
      <c r="S595" s="191"/>
      <c r="T595" s="191"/>
      <c r="U595" s="191"/>
      <c r="V595" s="191"/>
      <c r="W595" s="191"/>
      <c r="X595" s="191"/>
      <c r="Y595" s="191"/>
      <c r="Z595" s="191"/>
      <c r="AA595" s="191"/>
      <c r="AB595" s="191"/>
      <c r="AC595" s="190"/>
      <c r="AD595" s="190"/>
      <c r="AE595" s="190"/>
      <c r="AF595" s="190"/>
      <c r="AG595" s="190"/>
      <c r="AH595" s="190"/>
      <c r="AI595" s="190"/>
      <c r="AJ595" s="190"/>
      <c r="AK595" s="190"/>
      <c r="AL595" s="190"/>
      <c r="AM595" s="190"/>
    </row>
    <row r="596" spans="2:39">
      <c r="B596" s="162"/>
      <c r="C596" s="162"/>
      <c r="D596" s="191"/>
      <c r="E596" s="191"/>
      <c r="F596" s="191"/>
      <c r="G596" s="191"/>
      <c r="H596" s="191"/>
      <c r="I596" s="191"/>
      <c r="J596" s="191"/>
      <c r="K596" s="191"/>
      <c r="L596" s="191"/>
      <c r="M596" s="191"/>
      <c r="N596" s="191"/>
      <c r="O596" s="191"/>
      <c r="P596" s="191"/>
      <c r="Q596" s="191"/>
      <c r="R596" s="191"/>
      <c r="S596" s="191"/>
      <c r="T596" s="191"/>
      <c r="U596" s="191"/>
      <c r="V596" s="191"/>
      <c r="W596" s="191"/>
      <c r="X596" s="191"/>
      <c r="Y596" s="191"/>
      <c r="Z596" s="191"/>
      <c r="AA596" s="191"/>
      <c r="AB596" s="191"/>
      <c r="AC596" s="190"/>
      <c r="AD596" s="190"/>
      <c r="AE596" s="190"/>
      <c r="AF596" s="190"/>
      <c r="AG596" s="190"/>
      <c r="AH596" s="190"/>
      <c r="AI596" s="190"/>
      <c r="AJ596" s="190"/>
      <c r="AK596" s="190"/>
      <c r="AL596" s="190"/>
      <c r="AM596" s="190"/>
    </row>
    <row r="597" spans="2:39">
      <c r="B597" s="162"/>
      <c r="C597" s="162"/>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0"/>
      <c r="AD597" s="190"/>
      <c r="AE597" s="190"/>
      <c r="AF597" s="190"/>
      <c r="AG597" s="190"/>
      <c r="AH597" s="190"/>
      <c r="AI597" s="190"/>
      <c r="AJ597" s="190"/>
      <c r="AK597" s="190"/>
      <c r="AL597" s="190"/>
      <c r="AM597" s="190"/>
    </row>
    <row r="598" spans="2:39">
      <c r="B598" s="162"/>
      <c r="C598" s="162"/>
      <c r="D598" s="191"/>
      <c r="E598" s="191"/>
      <c r="F598" s="191"/>
      <c r="G598" s="191"/>
      <c r="H598" s="191"/>
      <c r="I598" s="191"/>
      <c r="J598" s="191"/>
      <c r="K598" s="191"/>
      <c r="L598" s="191"/>
      <c r="M598" s="191"/>
      <c r="N598" s="191"/>
      <c r="O598" s="191"/>
      <c r="P598" s="191"/>
      <c r="Q598" s="191"/>
      <c r="R598" s="191"/>
      <c r="S598" s="191"/>
      <c r="T598" s="191"/>
      <c r="U598" s="191"/>
      <c r="V598" s="191"/>
      <c r="W598" s="191"/>
      <c r="X598" s="191"/>
      <c r="Y598" s="191"/>
      <c r="Z598" s="191"/>
      <c r="AA598" s="191"/>
      <c r="AB598" s="191"/>
      <c r="AC598" s="190"/>
      <c r="AD598" s="190"/>
      <c r="AE598" s="190"/>
      <c r="AF598" s="190"/>
      <c r="AG598" s="190"/>
      <c r="AH598" s="190"/>
      <c r="AI598" s="190"/>
      <c r="AJ598" s="190"/>
      <c r="AK598" s="190"/>
      <c r="AL598" s="190"/>
      <c r="AM598" s="190"/>
    </row>
    <row r="599" spans="2:39">
      <c r="B599" s="162"/>
      <c r="C599" s="162"/>
      <c r="D599" s="191"/>
      <c r="E599" s="191"/>
      <c r="F599" s="191"/>
      <c r="G599" s="191"/>
      <c r="H599" s="191"/>
      <c r="I599" s="191"/>
      <c r="J599" s="191"/>
      <c r="K599" s="191"/>
      <c r="L599" s="191"/>
      <c r="M599" s="191"/>
      <c r="N599" s="191"/>
      <c r="O599" s="191"/>
      <c r="P599" s="191"/>
      <c r="Q599" s="191"/>
      <c r="R599" s="191"/>
      <c r="S599" s="191"/>
      <c r="T599" s="191"/>
      <c r="U599" s="191"/>
      <c r="V599" s="191"/>
      <c r="W599" s="191"/>
      <c r="X599" s="191"/>
      <c r="Y599" s="191"/>
      <c r="Z599" s="191"/>
      <c r="AA599" s="191"/>
      <c r="AB599" s="191"/>
      <c r="AC599" s="190"/>
      <c r="AD599" s="190"/>
      <c r="AE599" s="190"/>
      <c r="AF599" s="190"/>
      <c r="AG599" s="190"/>
      <c r="AH599" s="190"/>
      <c r="AI599" s="190"/>
      <c r="AJ599" s="190"/>
      <c r="AK599" s="190"/>
      <c r="AL599" s="190"/>
      <c r="AM599" s="190"/>
    </row>
    <row r="600" spans="2:39">
      <c r="B600" s="162"/>
      <c r="C600" s="162"/>
      <c r="D600" s="191"/>
      <c r="E600" s="191"/>
      <c r="F600" s="191"/>
      <c r="G600" s="191"/>
      <c r="H600" s="191"/>
      <c r="I600" s="191"/>
      <c r="J600" s="191"/>
      <c r="K600" s="191"/>
      <c r="L600" s="191"/>
      <c r="M600" s="191"/>
      <c r="N600" s="191"/>
      <c r="O600" s="191"/>
      <c r="P600" s="191"/>
      <c r="Q600" s="191"/>
      <c r="R600" s="191"/>
      <c r="S600" s="191"/>
      <c r="T600" s="191"/>
      <c r="U600" s="191"/>
      <c r="V600" s="191"/>
      <c r="W600" s="191"/>
      <c r="X600" s="191"/>
      <c r="Y600" s="191"/>
      <c r="Z600" s="191"/>
      <c r="AA600" s="191"/>
      <c r="AB600" s="191"/>
      <c r="AC600" s="190"/>
      <c r="AD600" s="190"/>
      <c r="AE600" s="190"/>
      <c r="AF600" s="190"/>
      <c r="AG600" s="190"/>
      <c r="AH600" s="190"/>
      <c r="AI600" s="190"/>
      <c r="AJ600" s="190"/>
      <c r="AK600" s="190"/>
      <c r="AL600" s="190"/>
      <c r="AM600" s="190"/>
    </row>
    <row r="601" spans="2:39">
      <c r="B601" s="162"/>
      <c r="C601" s="162"/>
      <c r="D601" s="191"/>
      <c r="E601" s="191"/>
      <c r="F601" s="191"/>
      <c r="G601" s="191"/>
      <c r="H601" s="191"/>
      <c r="I601" s="191"/>
      <c r="J601" s="191"/>
      <c r="K601" s="191"/>
      <c r="L601" s="191"/>
      <c r="M601" s="191"/>
      <c r="N601" s="191"/>
      <c r="O601" s="191"/>
      <c r="P601" s="191"/>
      <c r="Q601" s="191"/>
      <c r="R601" s="191"/>
      <c r="S601" s="191"/>
      <c r="T601" s="191"/>
      <c r="U601" s="191"/>
      <c r="V601" s="191"/>
      <c r="W601" s="191"/>
      <c r="X601" s="191"/>
      <c r="Y601" s="191"/>
      <c r="Z601" s="191"/>
      <c r="AA601" s="191"/>
      <c r="AB601" s="191"/>
      <c r="AC601" s="190"/>
      <c r="AD601" s="190"/>
      <c r="AE601" s="190"/>
      <c r="AF601" s="190"/>
      <c r="AG601" s="190"/>
      <c r="AH601" s="190"/>
      <c r="AI601" s="190"/>
      <c r="AJ601" s="190"/>
      <c r="AK601" s="190"/>
      <c r="AL601" s="190"/>
      <c r="AM601" s="190"/>
    </row>
    <row r="602" spans="2:39">
      <c r="B602" s="162"/>
      <c r="C602" s="162"/>
      <c r="D602" s="191"/>
      <c r="E602" s="191"/>
      <c r="F602" s="191"/>
      <c r="G602" s="191"/>
      <c r="H602" s="191"/>
      <c r="I602" s="191"/>
      <c r="J602" s="191"/>
      <c r="K602" s="191"/>
      <c r="L602" s="191"/>
      <c r="M602" s="191"/>
      <c r="N602" s="191"/>
      <c r="O602" s="191"/>
      <c r="P602" s="191"/>
      <c r="Q602" s="191"/>
      <c r="R602" s="191"/>
      <c r="S602" s="191"/>
      <c r="T602" s="191"/>
      <c r="U602" s="191"/>
      <c r="V602" s="191"/>
      <c r="W602" s="191"/>
      <c r="X602" s="191"/>
      <c r="Y602" s="191"/>
      <c r="Z602" s="191"/>
      <c r="AA602" s="191"/>
      <c r="AB602" s="191"/>
      <c r="AC602" s="190"/>
      <c r="AD602" s="190"/>
      <c r="AE602" s="190"/>
      <c r="AF602" s="190"/>
      <c r="AG602" s="190"/>
      <c r="AH602" s="190"/>
      <c r="AI602" s="190"/>
      <c r="AJ602" s="190"/>
      <c r="AK602" s="190"/>
      <c r="AL602" s="190"/>
      <c r="AM602" s="190"/>
    </row>
    <row r="603" spans="2:39">
      <c r="B603" s="162"/>
      <c r="C603" s="162"/>
      <c r="D603" s="191"/>
      <c r="E603" s="191"/>
      <c r="F603" s="191"/>
      <c r="G603" s="191"/>
      <c r="H603" s="191"/>
      <c r="I603" s="191"/>
      <c r="J603" s="191"/>
      <c r="K603" s="191"/>
      <c r="L603" s="191"/>
      <c r="M603" s="191"/>
      <c r="N603" s="191"/>
      <c r="O603" s="191"/>
      <c r="P603" s="191"/>
      <c r="Q603" s="191"/>
      <c r="R603" s="191"/>
      <c r="S603" s="191"/>
      <c r="T603" s="191"/>
      <c r="U603" s="191"/>
      <c r="V603" s="191"/>
      <c r="W603" s="191"/>
      <c r="X603" s="191"/>
      <c r="Y603" s="191"/>
      <c r="Z603" s="191"/>
      <c r="AA603" s="191"/>
      <c r="AB603" s="191"/>
      <c r="AC603" s="190"/>
      <c r="AD603" s="190"/>
      <c r="AE603" s="190"/>
      <c r="AF603" s="190"/>
      <c r="AG603" s="190"/>
      <c r="AH603" s="190"/>
      <c r="AI603" s="190"/>
      <c r="AJ603" s="190"/>
      <c r="AK603" s="190"/>
      <c r="AL603" s="190"/>
      <c r="AM603" s="190"/>
    </row>
    <row r="604" spans="2:39">
      <c r="B604" s="162"/>
      <c r="C604" s="162"/>
      <c r="D604" s="191"/>
      <c r="E604" s="191"/>
      <c r="F604" s="191"/>
      <c r="G604" s="191"/>
      <c r="H604" s="191"/>
      <c r="I604" s="191"/>
      <c r="J604" s="191"/>
      <c r="K604" s="191"/>
      <c r="L604" s="191"/>
      <c r="M604" s="191"/>
      <c r="N604" s="191"/>
      <c r="O604" s="191"/>
      <c r="P604" s="191"/>
      <c r="Q604" s="191"/>
      <c r="R604" s="191"/>
      <c r="S604" s="191"/>
      <c r="T604" s="191"/>
      <c r="U604" s="191"/>
      <c r="V604" s="191"/>
      <c r="W604" s="191"/>
      <c r="X604" s="191"/>
      <c r="Y604" s="191"/>
      <c r="Z604" s="191"/>
      <c r="AA604" s="191"/>
      <c r="AB604" s="191"/>
      <c r="AC604" s="190"/>
      <c r="AD604" s="190"/>
      <c r="AE604" s="190"/>
      <c r="AF604" s="190"/>
      <c r="AG604" s="190"/>
      <c r="AH604" s="190"/>
      <c r="AI604" s="190"/>
      <c r="AJ604" s="190"/>
      <c r="AK604" s="190"/>
      <c r="AL604" s="190"/>
      <c r="AM604" s="190"/>
    </row>
    <row r="605" spans="2:39">
      <c r="B605" s="162"/>
      <c r="C605" s="162"/>
      <c r="D605" s="191"/>
      <c r="E605" s="191"/>
      <c r="F605" s="191"/>
      <c r="G605" s="191"/>
      <c r="H605" s="191"/>
      <c r="I605" s="191"/>
      <c r="J605" s="191"/>
      <c r="K605" s="191"/>
      <c r="L605" s="191"/>
      <c r="M605" s="191"/>
      <c r="N605" s="191"/>
      <c r="O605" s="191"/>
      <c r="P605" s="191"/>
      <c r="Q605" s="191"/>
      <c r="R605" s="191"/>
      <c r="S605" s="191"/>
      <c r="T605" s="191"/>
      <c r="U605" s="191"/>
      <c r="V605" s="191"/>
      <c r="W605" s="191"/>
      <c r="X605" s="191"/>
      <c r="Y605" s="191"/>
      <c r="Z605" s="191"/>
      <c r="AA605" s="191"/>
      <c r="AB605" s="191"/>
      <c r="AC605" s="190"/>
      <c r="AD605" s="190"/>
      <c r="AE605" s="190"/>
      <c r="AF605" s="190"/>
      <c r="AG605" s="190"/>
      <c r="AH605" s="190"/>
      <c r="AI605" s="190"/>
      <c r="AJ605" s="190"/>
      <c r="AK605" s="190"/>
      <c r="AL605" s="190"/>
      <c r="AM605" s="190"/>
    </row>
    <row r="606" spans="2:39">
      <c r="B606" s="162"/>
      <c r="C606" s="162"/>
      <c r="D606" s="191"/>
      <c r="E606" s="191"/>
      <c r="F606" s="191"/>
      <c r="G606" s="191"/>
      <c r="H606" s="191"/>
      <c r="I606" s="191"/>
      <c r="J606" s="191"/>
      <c r="K606" s="191"/>
      <c r="L606" s="191"/>
      <c r="M606" s="191"/>
      <c r="N606" s="191"/>
      <c r="O606" s="191"/>
      <c r="P606" s="191"/>
      <c r="Q606" s="191"/>
      <c r="R606" s="191"/>
      <c r="S606" s="191"/>
      <c r="T606" s="191"/>
      <c r="U606" s="191"/>
      <c r="V606" s="191"/>
      <c r="W606" s="191"/>
      <c r="X606" s="191"/>
      <c r="Y606" s="191"/>
      <c r="Z606" s="191"/>
      <c r="AA606" s="191"/>
      <c r="AB606" s="191"/>
      <c r="AC606" s="190"/>
      <c r="AD606" s="190"/>
      <c r="AE606" s="190"/>
      <c r="AF606" s="190"/>
      <c r="AG606" s="190"/>
      <c r="AH606" s="190"/>
      <c r="AI606" s="190"/>
      <c r="AJ606" s="190"/>
      <c r="AK606" s="190"/>
      <c r="AL606" s="190"/>
      <c r="AM606" s="190"/>
    </row>
    <row r="607" spans="2:39">
      <c r="B607" s="162"/>
      <c r="C607" s="162"/>
      <c r="D607" s="191"/>
      <c r="E607" s="191"/>
      <c r="F607" s="191"/>
      <c r="G607" s="191"/>
      <c r="H607" s="191"/>
      <c r="I607" s="191"/>
      <c r="J607" s="191"/>
      <c r="K607" s="191"/>
      <c r="L607" s="191"/>
      <c r="M607" s="191"/>
      <c r="N607" s="191"/>
      <c r="O607" s="191"/>
      <c r="P607" s="191"/>
      <c r="Q607" s="191"/>
      <c r="R607" s="191"/>
      <c r="S607" s="191"/>
      <c r="T607" s="191"/>
      <c r="U607" s="191"/>
      <c r="V607" s="191"/>
      <c r="W607" s="191"/>
      <c r="X607" s="191"/>
      <c r="Y607" s="191"/>
      <c r="Z607" s="191"/>
      <c r="AA607" s="191"/>
      <c r="AB607" s="191"/>
      <c r="AC607" s="190"/>
      <c r="AD607" s="190"/>
      <c r="AE607" s="190"/>
      <c r="AF607" s="190"/>
      <c r="AG607" s="190"/>
      <c r="AH607" s="190"/>
      <c r="AI607" s="190"/>
      <c r="AJ607" s="190"/>
      <c r="AK607" s="190"/>
      <c r="AL607" s="190"/>
      <c r="AM607" s="190"/>
    </row>
    <row r="608" spans="2:39">
      <c r="B608" s="162"/>
      <c r="C608" s="162"/>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0"/>
      <c r="AD608" s="190"/>
      <c r="AE608" s="190"/>
      <c r="AF608" s="190"/>
      <c r="AG608" s="190"/>
      <c r="AH608" s="190"/>
      <c r="AI608" s="190"/>
      <c r="AJ608" s="190"/>
      <c r="AK608" s="190"/>
      <c r="AL608" s="190"/>
      <c r="AM608" s="190"/>
    </row>
    <row r="609" spans="2:39">
      <c r="B609" s="162"/>
      <c r="C609" s="162"/>
      <c r="D609" s="191"/>
      <c r="E609" s="191"/>
      <c r="F609" s="191"/>
      <c r="G609" s="191"/>
      <c r="H609" s="191"/>
      <c r="I609" s="191"/>
      <c r="J609" s="191"/>
      <c r="K609" s="191"/>
      <c r="L609" s="191"/>
      <c r="M609" s="191"/>
      <c r="N609" s="191"/>
      <c r="O609" s="191"/>
      <c r="P609" s="191"/>
      <c r="Q609" s="191"/>
      <c r="R609" s="191"/>
      <c r="S609" s="191"/>
      <c r="T609" s="191"/>
      <c r="U609" s="191"/>
      <c r="V609" s="191"/>
      <c r="W609" s="191"/>
      <c r="X609" s="191"/>
      <c r="Y609" s="191"/>
      <c r="Z609" s="191"/>
      <c r="AA609" s="191"/>
      <c r="AB609" s="191"/>
      <c r="AC609" s="190"/>
      <c r="AD609" s="190"/>
      <c r="AE609" s="190"/>
      <c r="AF609" s="190"/>
      <c r="AG609" s="190"/>
      <c r="AH609" s="190"/>
      <c r="AI609" s="190"/>
      <c r="AJ609" s="190"/>
      <c r="AK609" s="190"/>
      <c r="AL609" s="190"/>
      <c r="AM609" s="190"/>
    </row>
    <row r="610" spans="2:39">
      <c r="B610" s="162"/>
      <c r="C610" s="162"/>
      <c r="D610" s="191"/>
      <c r="E610" s="191"/>
      <c r="F610" s="191"/>
      <c r="G610" s="191"/>
      <c r="H610" s="191"/>
      <c r="I610" s="191"/>
      <c r="J610" s="191"/>
      <c r="K610" s="191"/>
      <c r="L610" s="191"/>
      <c r="M610" s="191"/>
      <c r="N610" s="191"/>
      <c r="O610" s="191"/>
      <c r="P610" s="191"/>
      <c r="Q610" s="191"/>
      <c r="R610" s="191"/>
      <c r="S610" s="191"/>
      <c r="T610" s="191"/>
      <c r="U610" s="191"/>
      <c r="V610" s="191"/>
      <c r="W610" s="191"/>
      <c r="X610" s="191"/>
      <c r="Y610" s="191"/>
      <c r="Z610" s="191"/>
      <c r="AA610" s="191"/>
      <c r="AB610" s="191"/>
      <c r="AC610" s="190"/>
      <c r="AD610" s="190"/>
      <c r="AE610" s="190"/>
      <c r="AF610" s="190"/>
      <c r="AG610" s="190"/>
      <c r="AH610" s="190"/>
      <c r="AI610" s="190"/>
      <c r="AJ610" s="190"/>
      <c r="AK610" s="190"/>
      <c r="AL610" s="190"/>
      <c r="AM610" s="190"/>
    </row>
    <row r="611" spans="2:39">
      <c r="B611" s="162"/>
      <c r="C611" s="162"/>
      <c r="D611" s="191"/>
      <c r="E611" s="191"/>
      <c r="F611" s="191"/>
      <c r="G611" s="191"/>
      <c r="H611" s="191"/>
      <c r="I611" s="191"/>
      <c r="J611" s="191"/>
      <c r="K611" s="191"/>
      <c r="L611" s="191"/>
      <c r="M611" s="191"/>
      <c r="N611" s="191"/>
      <c r="O611" s="191"/>
      <c r="P611" s="191"/>
      <c r="Q611" s="191"/>
      <c r="R611" s="191"/>
      <c r="S611" s="191"/>
      <c r="T611" s="191"/>
      <c r="U611" s="191"/>
      <c r="V611" s="191"/>
      <c r="W611" s="191"/>
      <c r="X611" s="191"/>
      <c r="Y611" s="191"/>
      <c r="Z611" s="191"/>
      <c r="AA611" s="191"/>
      <c r="AB611" s="191"/>
      <c r="AC611" s="190"/>
      <c r="AD611" s="190"/>
      <c r="AE611" s="190"/>
      <c r="AF611" s="190"/>
      <c r="AG611" s="190"/>
      <c r="AH611" s="190"/>
      <c r="AI611" s="190"/>
      <c r="AJ611" s="190"/>
      <c r="AK611" s="190"/>
      <c r="AL611" s="190"/>
      <c r="AM611" s="190"/>
    </row>
    <row r="612" spans="2:39">
      <c r="B612" s="162"/>
      <c r="C612" s="162"/>
      <c r="D612" s="191"/>
      <c r="E612" s="191"/>
      <c r="F612" s="191"/>
      <c r="G612" s="191"/>
      <c r="H612" s="191"/>
      <c r="I612" s="191"/>
      <c r="J612" s="191"/>
      <c r="K612" s="191"/>
      <c r="L612" s="191"/>
      <c r="M612" s="191"/>
      <c r="N612" s="191"/>
      <c r="O612" s="191"/>
      <c r="P612" s="191"/>
      <c r="Q612" s="191"/>
      <c r="R612" s="191"/>
      <c r="S612" s="191"/>
      <c r="T612" s="191"/>
      <c r="U612" s="191"/>
      <c r="V612" s="191"/>
      <c r="W612" s="191"/>
      <c r="X612" s="191"/>
      <c r="Y612" s="191"/>
      <c r="Z612" s="191"/>
      <c r="AA612" s="191"/>
      <c r="AB612" s="191"/>
      <c r="AC612" s="190"/>
      <c r="AD612" s="190"/>
      <c r="AE612" s="190"/>
      <c r="AF612" s="190"/>
      <c r="AG612" s="190"/>
      <c r="AH612" s="190"/>
      <c r="AI612" s="190"/>
      <c r="AJ612" s="190"/>
      <c r="AK612" s="190"/>
      <c r="AL612" s="190"/>
      <c r="AM612" s="190"/>
    </row>
    <row r="613" spans="2:39">
      <c r="B613" s="162"/>
      <c r="C613" s="162"/>
      <c r="D613" s="191"/>
      <c r="E613" s="191"/>
      <c r="F613" s="191"/>
      <c r="G613" s="191"/>
      <c r="H613" s="191"/>
      <c r="I613" s="191"/>
      <c r="J613" s="191"/>
      <c r="K613" s="191"/>
      <c r="L613" s="191"/>
      <c r="M613" s="191"/>
      <c r="N613" s="191"/>
      <c r="O613" s="191"/>
      <c r="P613" s="191"/>
      <c r="Q613" s="191"/>
      <c r="R613" s="191"/>
      <c r="S613" s="191"/>
      <c r="T613" s="191"/>
      <c r="U613" s="191"/>
      <c r="V613" s="191"/>
      <c r="W613" s="191"/>
      <c r="X613" s="191"/>
      <c r="Y613" s="191"/>
      <c r="Z613" s="191"/>
      <c r="AA613" s="191"/>
      <c r="AB613" s="191"/>
      <c r="AC613" s="190"/>
      <c r="AD613" s="190"/>
      <c r="AE613" s="190"/>
      <c r="AF613" s="190"/>
      <c r="AG613" s="190"/>
      <c r="AH613" s="190"/>
      <c r="AI613" s="190"/>
      <c r="AJ613" s="190"/>
      <c r="AK613" s="190"/>
      <c r="AL613" s="190"/>
      <c r="AM613" s="190"/>
    </row>
    <row r="614" spans="2:39">
      <c r="B614" s="162"/>
      <c r="C614" s="162"/>
      <c r="D614" s="191"/>
      <c r="E614" s="191"/>
      <c r="F614" s="191"/>
      <c r="G614" s="191"/>
      <c r="H614" s="191"/>
      <c r="I614" s="191"/>
      <c r="J614" s="191"/>
      <c r="K614" s="191"/>
      <c r="L614" s="191"/>
      <c r="M614" s="191"/>
      <c r="N614" s="191"/>
      <c r="O614" s="191"/>
      <c r="P614" s="191"/>
      <c r="Q614" s="191"/>
      <c r="R614" s="191"/>
      <c r="S614" s="191"/>
      <c r="T614" s="191"/>
      <c r="U614" s="191"/>
      <c r="V614" s="191"/>
      <c r="W614" s="191"/>
      <c r="X614" s="191"/>
      <c r="Y614" s="191"/>
      <c r="Z614" s="191"/>
      <c r="AA614" s="191"/>
      <c r="AB614" s="191"/>
      <c r="AC614" s="190"/>
      <c r="AD614" s="190"/>
      <c r="AE614" s="190"/>
      <c r="AF614" s="190"/>
      <c r="AG614" s="190"/>
      <c r="AH614" s="190"/>
      <c r="AI614" s="190"/>
      <c r="AJ614" s="190"/>
      <c r="AK614" s="190"/>
      <c r="AL614" s="190"/>
      <c r="AM614" s="190"/>
    </row>
    <row r="615" spans="2:39">
      <c r="B615" s="162"/>
      <c r="C615" s="162"/>
      <c r="D615" s="191"/>
      <c r="E615" s="191"/>
      <c r="F615" s="191"/>
      <c r="G615" s="191"/>
      <c r="H615" s="191"/>
      <c r="I615" s="191"/>
      <c r="J615" s="191"/>
      <c r="K615" s="191"/>
      <c r="L615" s="191"/>
      <c r="M615" s="191"/>
      <c r="N615" s="191"/>
      <c r="O615" s="191"/>
      <c r="P615" s="191"/>
      <c r="Q615" s="191"/>
      <c r="R615" s="191"/>
      <c r="S615" s="191"/>
      <c r="T615" s="191"/>
      <c r="U615" s="191"/>
      <c r="V615" s="191"/>
      <c r="W615" s="191"/>
      <c r="X615" s="191"/>
      <c r="Y615" s="191"/>
      <c r="Z615" s="191"/>
      <c r="AA615" s="191"/>
      <c r="AB615" s="191"/>
      <c r="AC615" s="190"/>
      <c r="AD615" s="190"/>
      <c r="AE615" s="190"/>
      <c r="AF615" s="190"/>
      <c r="AG615" s="190"/>
      <c r="AH615" s="190"/>
      <c r="AI615" s="190"/>
      <c r="AJ615" s="190"/>
      <c r="AK615" s="190"/>
      <c r="AL615" s="190"/>
      <c r="AM615" s="190"/>
    </row>
    <row r="616" spans="2:39">
      <c r="B616" s="162"/>
      <c r="C616" s="162"/>
      <c r="D616" s="191"/>
      <c r="E616" s="191"/>
      <c r="F616" s="191"/>
      <c r="G616" s="191"/>
      <c r="H616" s="191"/>
      <c r="I616" s="191"/>
      <c r="J616" s="191"/>
      <c r="K616" s="191"/>
      <c r="L616" s="191"/>
      <c r="M616" s="191"/>
      <c r="N616" s="191"/>
      <c r="O616" s="191"/>
      <c r="P616" s="191"/>
      <c r="Q616" s="191"/>
      <c r="R616" s="191"/>
      <c r="S616" s="191"/>
      <c r="T616" s="191"/>
      <c r="U616" s="191"/>
      <c r="V616" s="191"/>
      <c r="W616" s="191"/>
      <c r="X616" s="191"/>
      <c r="Y616" s="191"/>
      <c r="Z616" s="191"/>
      <c r="AA616" s="191"/>
      <c r="AB616" s="191"/>
      <c r="AC616" s="190"/>
      <c r="AD616" s="190"/>
      <c r="AE616" s="190"/>
      <c r="AF616" s="190"/>
      <c r="AG616" s="190"/>
      <c r="AH616" s="190"/>
      <c r="AI616" s="190"/>
      <c r="AJ616" s="190"/>
      <c r="AK616" s="190"/>
      <c r="AL616" s="190"/>
      <c r="AM616" s="190"/>
    </row>
    <row r="617" spans="2:39">
      <c r="B617" s="162"/>
      <c r="C617" s="162"/>
      <c r="D617" s="191"/>
      <c r="E617" s="191"/>
      <c r="F617" s="191"/>
      <c r="G617" s="191"/>
      <c r="H617" s="191"/>
      <c r="I617" s="191"/>
      <c r="J617" s="191"/>
      <c r="K617" s="191"/>
      <c r="L617" s="191"/>
      <c r="M617" s="191"/>
      <c r="N617" s="191"/>
      <c r="O617" s="191"/>
      <c r="P617" s="191"/>
      <c r="Q617" s="191"/>
      <c r="R617" s="191"/>
      <c r="S617" s="191"/>
      <c r="T617" s="191"/>
      <c r="U617" s="191"/>
      <c r="V617" s="191"/>
      <c r="W617" s="191"/>
      <c r="X617" s="191"/>
      <c r="Y617" s="191"/>
      <c r="Z617" s="191"/>
      <c r="AA617" s="191"/>
      <c r="AB617" s="191"/>
      <c r="AC617" s="190"/>
      <c r="AD617" s="190"/>
      <c r="AE617" s="190"/>
      <c r="AF617" s="190"/>
      <c r="AG617" s="190"/>
      <c r="AH617" s="190"/>
      <c r="AI617" s="190"/>
      <c r="AJ617" s="190"/>
      <c r="AK617" s="190"/>
      <c r="AL617" s="190"/>
      <c r="AM617" s="190"/>
    </row>
    <row r="618" spans="2:39">
      <c r="B618" s="162"/>
      <c r="C618" s="162"/>
      <c r="D618" s="191"/>
      <c r="E618" s="191"/>
      <c r="F618" s="191"/>
      <c r="G618" s="191"/>
      <c r="H618" s="191"/>
      <c r="I618" s="191"/>
      <c r="J618" s="191"/>
      <c r="K618" s="191"/>
      <c r="L618" s="191"/>
      <c r="M618" s="191"/>
      <c r="N618" s="191"/>
      <c r="O618" s="191"/>
      <c r="P618" s="191"/>
      <c r="Q618" s="191"/>
      <c r="R618" s="191"/>
      <c r="S618" s="191"/>
      <c r="T618" s="191"/>
      <c r="U618" s="191"/>
      <c r="V618" s="191"/>
      <c r="W618" s="191"/>
      <c r="X618" s="191"/>
      <c r="Y618" s="191"/>
      <c r="Z618" s="191"/>
      <c r="AA618" s="191"/>
      <c r="AB618" s="191"/>
      <c r="AC618" s="190"/>
      <c r="AD618" s="190"/>
      <c r="AE618" s="190"/>
      <c r="AF618" s="190"/>
      <c r="AG618" s="190"/>
      <c r="AH618" s="190"/>
      <c r="AI618" s="190"/>
      <c r="AJ618" s="190"/>
      <c r="AK618" s="190"/>
      <c r="AL618" s="190"/>
      <c r="AM618" s="190"/>
    </row>
    <row r="619" spans="2:39">
      <c r="B619" s="162"/>
      <c r="C619" s="162"/>
      <c r="D619" s="191"/>
      <c r="E619" s="191"/>
      <c r="F619" s="191"/>
      <c r="G619" s="191"/>
      <c r="H619" s="191"/>
      <c r="I619" s="191"/>
      <c r="J619" s="191"/>
      <c r="K619" s="191"/>
      <c r="L619" s="191"/>
      <c r="M619" s="191"/>
      <c r="N619" s="191"/>
      <c r="O619" s="191"/>
      <c r="P619" s="191"/>
      <c r="Q619" s="191"/>
      <c r="R619" s="191"/>
      <c r="S619" s="191"/>
      <c r="T619" s="191"/>
      <c r="U619" s="191"/>
      <c r="V619" s="191"/>
      <c r="W619" s="191"/>
      <c r="X619" s="191"/>
      <c r="Y619" s="191"/>
      <c r="Z619" s="191"/>
      <c r="AA619" s="191"/>
      <c r="AB619" s="191"/>
      <c r="AC619" s="190"/>
      <c r="AD619" s="190"/>
      <c r="AE619" s="190"/>
      <c r="AF619" s="190"/>
      <c r="AG619" s="190"/>
      <c r="AH619" s="190"/>
      <c r="AI619" s="190"/>
      <c r="AJ619" s="190"/>
      <c r="AK619" s="190"/>
      <c r="AL619" s="190"/>
      <c r="AM619" s="190"/>
    </row>
    <row r="620" spans="2:39">
      <c r="B620" s="162"/>
      <c r="C620" s="162"/>
      <c r="D620" s="191"/>
      <c r="E620" s="191"/>
      <c r="F620" s="191"/>
      <c r="G620" s="191"/>
      <c r="H620" s="191"/>
      <c r="I620" s="191"/>
      <c r="J620" s="191"/>
      <c r="K620" s="191"/>
      <c r="L620" s="191"/>
      <c r="M620" s="191"/>
      <c r="N620" s="191"/>
      <c r="O620" s="191"/>
      <c r="P620" s="191"/>
      <c r="Q620" s="191"/>
      <c r="R620" s="191"/>
      <c r="S620" s="191"/>
      <c r="T620" s="191"/>
      <c r="U620" s="191"/>
      <c r="V620" s="191"/>
      <c r="W620" s="191"/>
      <c r="X620" s="191"/>
      <c r="Y620" s="191"/>
      <c r="Z620" s="191"/>
      <c r="AA620" s="191"/>
      <c r="AB620" s="191"/>
      <c r="AC620" s="190"/>
      <c r="AD620" s="190"/>
      <c r="AE620" s="190"/>
      <c r="AF620" s="190"/>
      <c r="AG620" s="190"/>
      <c r="AH620" s="190"/>
      <c r="AI620" s="190"/>
      <c r="AJ620" s="190"/>
      <c r="AK620" s="190"/>
      <c r="AL620" s="190"/>
      <c r="AM620" s="190"/>
    </row>
    <row r="621" spans="2:39">
      <c r="B621" s="162"/>
      <c r="C621" s="162"/>
      <c r="D621" s="191"/>
      <c r="E621" s="191"/>
      <c r="F621" s="191"/>
      <c r="G621" s="191"/>
      <c r="H621" s="191"/>
      <c r="I621" s="191"/>
      <c r="J621" s="191"/>
      <c r="K621" s="191"/>
      <c r="L621" s="191"/>
      <c r="M621" s="191"/>
      <c r="N621" s="191"/>
      <c r="O621" s="191"/>
      <c r="P621" s="191"/>
      <c r="Q621" s="191"/>
      <c r="R621" s="191"/>
      <c r="S621" s="191"/>
      <c r="T621" s="191"/>
      <c r="U621" s="191"/>
      <c r="V621" s="191"/>
      <c r="W621" s="191"/>
      <c r="X621" s="191"/>
      <c r="Y621" s="191"/>
      <c r="Z621" s="191"/>
      <c r="AA621" s="191"/>
      <c r="AB621" s="191"/>
      <c r="AC621" s="190"/>
      <c r="AD621" s="190"/>
      <c r="AE621" s="190"/>
      <c r="AF621" s="190"/>
      <c r="AG621" s="190"/>
      <c r="AH621" s="190"/>
      <c r="AI621" s="190"/>
      <c r="AJ621" s="190"/>
      <c r="AK621" s="190"/>
      <c r="AL621" s="190"/>
      <c r="AM621" s="190"/>
    </row>
    <row r="622" spans="2:39">
      <c r="B622" s="162"/>
      <c r="C622" s="162"/>
      <c r="D622" s="191"/>
      <c r="E622" s="191"/>
      <c r="F622" s="191"/>
      <c r="G622" s="191"/>
      <c r="H622" s="191"/>
      <c r="I622" s="191"/>
      <c r="J622" s="191"/>
      <c r="K622" s="191"/>
      <c r="L622" s="191"/>
      <c r="M622" s="191"/>
      <c r="N622" s="191"/>
      <c r="O622" s="191"/>
      <c r="P622" s="191"/>
      <c r="Q622" s="191"/>
      <c r="R622" s="191"/>
      <c r="S622" s="191"/>
      <c r="T622" s="191"/>
      <c r="U622" s="191"/>
      <c r="V622" s="191"/>
      <c r="W622" s="191"/>
      <c r="X622" s="191"/>
      <c r="Y622" s="191"/>
      <c r="Z622" s="191"/>
      <c r="AA622" s="191"/>
      <c r="AB622" s="191"/>
      <c r="AC622" s="190"/>
      <c r="AD622" s="190"/>
      <c r="AE622" s="190"/>
      <c r="AF622" s="190"/>
      <c r="AG622" s="190"/>
      <c r="AH622" s="190"/>
      <c r="AI622" s="190"/>
      <c r="AJ622" s="190"/>
      <c r="AK622" s="190"/>
      <c r="AL622" s="190"/>
      <c r="AM622" s="190"/>
    </row>
    <row r="623" spans="2:39">
      <c r="B623" s="162"/>
      <c r="C623" s="162"/>
      <c r="D623" s="191"/>
      <c r="E623" s="191"/>
      <c r="F623" s="191"/>
      <c r="G623" s="191"/>
      <c r="H623" s="191"/>
      <c r="I623" s="191"/>
      <c r="J623" s="191"/>
      <c r="K623" s="191"/>
      <c r="L623" s="191"/>
      <c r="M623" s="191"/>
      <c r="N623" s="191"/>
      <c r="O623" s="191"/>
      <c r="P623" s="191"/>
      <c r="Q623" s="191"/>
      <c r="R623" s="191"/>
      <c r="S623" s="191"/>
      <c r="T623" s="191"/>
      <c r="U623" s="191"/>
      <c r="V623" s="191"/>
      <c r="W623" s="191"/>
      <c r="X623" s="191"/>
      <c r="Y623" s="191"/>
      <c r="Z623" s="191"/>
      <c r="AA623" s="191"/>
      <c r="AB623" s="191"/>
      <c r="AC623" s="190"/>
      <c r="AD623" s="190"/>
      <c r="AE623" s="190"/>
      <c r="AF623" s="190"/>
      <c r="AG623" s="190"/>
      <c r="AH623" s="190"/>
      <c r="AI623" s="190"/>
      <c r="AJ623" s="190"/>
      <c r="AK623" s="190"/>
      <c r="AL623" s="190"/>
      <c r="AM623" s="190"/>
    </row>
    <row r="624" spans="2:39">
      <c r="B624" s="162"/>
      <c r="C624" s="162"/>
      <c r="D624" s="191"/>
      <c r="E624" s="191"/>
      <c r="F624" s="191"/>
      <c r="G624" s="191"/>
      <c r="H624" s="191"/>
      <c r="I624" s="191"/>
      <c r="J624" s="191"/>
      <c r="K624" s="191"/>
      <c r="L624" s="191"/>
      <c r="M624" s="191"/>
      <c r="N624" s="191"/>
      <c r="O624" s="191"/>
      <c r="P624" s="191"/>
      <c r="Q624" s="191"/>
      <c r="R624" s="191"/>
      <c r="S624" s="191"/>
      <c r="T624" s="191"/>
      <c r="U624" s="191"/>
      <c r="V624" s="191"/>
      <c r="W624" s="191"/>
      <c r="X624" s="191"/>
      <c r="Y624" s="191"/>
      <c r="Z624" s="191"/>
      <c r="AA624" s="191"/>
      <c r="AB624" s="191"/>
      <c r="AC624" s="190"/>
      <c r="AD624" s="190"/>
      <c r="AE624" s="190"/>
      <c r="AF624" s="190"/>
      <c r="AG624" s="190"/>
      <c r="AH624" s="190"/>
      <c r="AI624" s="190"/>
      <c r="AJ624" s="190"/>
      <c r="AK624" s="190"/>
      <c r="AL624" s="190"/>
      <c r="AM624" s="190"/>
    </row>
    <row r="625" spans="2:39">
      <c r="B625" s="162"/>
      <c r="C625" s="162"/>
      <c r="D625" s="191"/>
      <c r="E625" s="191"/>
      <c r="F625" s="191"/>
      <c r="G625" s="191"/>
      <c r="H625" s="191"/>
      <c r="I625" s="191"/>
      <c r="J625" s="191"/>
      <c r="K625" s="191"/>
      <c r="L625" s="191"/>
      <c r="M625" s="191"/>
      <c r="N625" s="191"/>
      <c r="O625" s="191"/>
      <c r="P625" s="191"/>
      <c r="Q625" s="191"/>
      <c r="R625" s="191"/>
      <c r="S625" s="191"/>
      <c r="T625" s="191"/>
      <c r="U625" s="191"/>
      <c r="V625" s="191"/>
      <c r="W625" s="191"/>
      <c r="X625" s="191"/>
      <c r="Y625" s="191"/>
      <c r="Z625" s="191"/>
      <c r="AA625" s="191"/>
      <c r="AB625" s="191"/>
      <c r="AC625" s="190"/>
      <c r="AD625" s="190"/>
      <c r="AE625" s="190"/>
      <c r="AF625" s="190"/>
      <c r="AG625" s="190"/>
      <c r="AH625" s="190"/>
      <c r="AI625" s="190"/>
      <c r="AJ625" s="190"/>
      <c r="AK625" s="190"/>
      <c r="AL625" s="190"/>
      <c r="AM625" s="190"/>
    </row>
    <row r="626" spans="2:39">
      <c r="B626" s="162"/>
      <c r="C626" s="162"/>
      <c r="D626" s="191"/>
      <c r="E626" s="191"/>
      <c r="F626" s="191"/>
      <c r="G626" s="191"/>
      <c r="H626" s="191"/>
      <c r="I626" s="191"/>
      <c r="J626" s="191"/>
      <c r="K626" s="191"/>
      <c r="L626" s="191"/>
      <c r="M626" s="191"/>
      <c r="N626" s="191"/>
      <c r="O626" s="191"/>
      <c r="P626" s="191"/>
      <c r="Q626" s="191"/>
      <c r="R626" s="191"/>
      <c r="S626" s="191"/>
      <c r="T626" s="191"/>
      <c r="U626" s="191"/>
      <c r="V626" s="191"/>
      <c r="W626" s="191"/>
      <c r="X626" s="191"/>
      <c r="Y626" s="191"/>
      <c r="Z626" s="191"/>
      <c r="AA626" s="191"/>
      <c r="AB626" s="191"/>
      <c r="AC626" s="190"/>
      <c r="AD626" s="190"/>
      <c r="AE626" s="190"/>
      <c r="AF626" s="190"/>
      <c r="AG626" s="190"/>
      <c r="AH626" s="190"/>
      <c r="AI626" s="190"/>
      <c r="AJ626" s="190"/>
      <c r="AK626" s="190"/>
      <c r="AL626" s="190"/>
      <c r="AM626" s="190"/>
    </row>
    <row r="627" spans="2:39">
      <c r="B627" s="162"/>
      <c r="C627" s="162"/>
      <c r="D627" s="191"/>
      <c r="E627" s="191"/>
      <c r="F627" s="191"/>
      <c r="G627" s="191"/>
      <c r="H627" s="191"/>
      <c r="I627" s="191"/>
      <c r="J627" s="191"/>
      <c r="K627" s="191"/>
      <c r="L627" s="191"/>
      <c r="M627" s="191"/>
      <c r="N627" s="191"/>
      <c r="O627" s="191"/>
      <c r="P627" s="191"/>
      <c r="Q627" s="191"/>
      <c r="R627" s="191"/>
      <c r="S627" s="191"/>
      <c r="T627" s="191"/>
      <c r="U627" s="191"/>
      <c r="V627" s="191"/>
      <c r="W627" s="191"/>
      <c r="X627" s="191"/>
      <c r="Y627" s="191"/>
      <c r="Z627" s="191"/>
      <c r="AA627" s="191"/>
      <c r="AB627" s="191"/>
      <c r="AC627" s="190"/>
      <c r="AD627" s="190"/>
      <c r="AE627" s="190"/>
      <c r="AF627" s="190"/>
      <c r="AG627" s="190"/>
      <c r="AH627" s="190"/>
      <c r="AI627" s="190"/>
      <c r="AJ627" s="190"/>
      <c r="AK627" s="190"/>
      <c r="AL627" s="190"/>
      <c r="AM627" s="190"/>
    </row>
    <row r="628" spans="2:39">
      <c r="B628" s="162"/>
      <c r="C628" s="162"/>
      <c r="D628" s="191"/>
      <c r="E628" s="191"/>
      <c r="F628" s="191"/>
      <c r="G628" s="191"/>
      <c r="H628" s="191"/>
      <c r="I628" s="191"/>
      <c r="J628" s="191"/>
      <c r="K628" s="191"/>
      <c r="L628" s="191"/>
      <c r="M628" s="191"/>
      <c r="N628" s="191"/>
      <c r="O628" s="191"/>
      <c r="P628" s="191"/>
      <c r="Q628" s="191"/>
      <c r="R628" s="191"/>
      <c r="S628" s="191"/>
      <c r="T628" s="191"/>
      <c r="U628" s="191"/>
      <c r="V628" s="191"/>
      <c r="W628" s="191"/>
      <c r="X628" s="191"/>
      <c r="Y628" s="191"/>
      <c r="Z628" s="191"/>
      <c r="AA628" s="191"/>
      <c r="AB628" s="191"/>
      <c r="AC628" s="190"/>
      <c r="AD628" s="190"/>
      <c r="AE628" s="190"/>
      <c r="AF628" s="190"/>
      <c r="AG628" s="190"/>
      <c r="AH628" s="190"/>
      <c r="AI628" s="190"/>
      <c r="AJ628" s="190"/>
      <c r="AK628" s="190"/>
      <c r="AL628" s="190"/>
      <c r="AM628" s="190"/>
    </row>
    <row r="629" spans="2:39">
      <c r="B629" s="162"/>
      <c r="C629" s="162"/>
      <c r="D629" s="191"/>
      <c r="E629" s="191"/>
      <c r="F629" s="191"/>
      <c r="G629" s="191"/>
      <c r="H629" s="191"/>
      <c r="I629" s="191"/>
      <c r="J629" s="191"/>
      <c r="K629" s="191"/>
      <c r="L629" s="191"/>
      <c r="M629" s="191"/>
      <c r="N629" s="191"/>
      <c r="O629" s="191"/>
      <c r="P629" s="191"/>
      <c r="Q629" s="191"/>
      <c r="R629" s="191"/>
      <c r="S629" s="191"/>
      <c r="T629" s="191"/>
      <c r="U629" s="191"/>
      <c r="V629" s="191"/>
      <c r="W629" s="191"/>
      <c r="X629" s="191"/>
      <c r="Y629" s="191"/>
      <c r="Z629" s="191"/>
      <c r="AA629" s="191"/>
      <c r="AB629" s="191"/>
      <c r="AC629" s="190"/>
      <c r="AD629" s="190"/>
      <c r="AE629" s="190"/>
      <c r="AF629" s="190"/>
      <c r="AG629" s="190"/>
      <c r="AH629" s="190"/>
      <c r="AI629" s="190"/>
      <c r="AJ629" s="190"/>
      <c r="AK629" s="190"/>
      <c r="AL629" s="190"/>
      <c r="AM629" s="190"/>
    </row>
    <row r="630" spans="2:39">
      <c r="B630" s="162"/>
      <c r="C630" s="162"/>
      <c r="D630" s="191"/>
      <c r="E630" s="191"/>
      <c r="F630" s="191"/>
      <c r="G630" s="191"/>
      <c r="H630" s="191"/>
      <c r="I630" s="191"/>
      <c r="J630" s="191"/>
      <c r="K630" s="191"/>
      <c r="L630" s="191"/>
      <c r="M630" s="191"/>
      <c r="N630" s="191"/>
      <c r="O630" s="191"/>
      <c r="P630" s="191"/>
      <c r="Q630" s="191"/>
      <c r="R630" s="191"/>
      <c r="S630" s="191"/>
      <c r="T630" s="191"/>
      <c r="U630" s="191"/>
      <c r="V630" s="191"/>
      <c r="W630" s="191"/>
      <c r="X630" s="191"/>
      <c r="Y630" s="191"/>
      <c r="Z630" s="191"/>
      <c r="AA630" s="191"/>
      <c r="AB630" s="191"/>
      <c r="AC630" s="190"/>
      <c r="AD630" s="190"/>
      <c r="AE630" s="190"/>
      <c r="AF630" s="190"/>
      <c r="AG630" s="190"/>
      <c r="AH630" s="190"/>
      <c r="AI630" s="190"/>
      <c r="AJ630" s="190"/>
      <c r="AK630" s="190"/>
      <c r="AL630" s="190"/>
      <c r="AM630" s="190"/>
    </row>
    <row r="631" spans="2:39">
      <c r="B631" s="162"/>
      <c r="C631" s="162"/>
      <c r="D631" s="191"/>
      <c r="E631" s="191"/>
      <c r="F631" s="191"/>
      <c r="G631" s="191"/>
      <c r="H631" s="191"/>
      <c r="I631" s="191"/>
      <c r="J631" s="191"/>
      <c r="K631" s="191"/>
      <c r="L631" s="191"/>
      <c r="M631" s="191"/>
      <c r="N631" s="191"/>
      <c r="O631" s="191"/>
      <c r="P631" s="191"/>
      <c r="Q631" s="191"/>
      <c r="R631" s="191"/>
      <c r="S631" s="191"/>
      <c r="T631" s="191"/>
      <c r="U631" s="191"/>
      <c r="V631" s="191"/>
      <c r="W631" s="191"/>
      <c r="X631" s="191"/>
      <c r="Y631" s="191"/>
      <c r="Z631" s="191"/>
      <c r="AA631" s="191"/>
      <c r="AB631" s="191"/>
      <c r="AC631" s="190"/>
      <c r="AD631" s="190"/>
      <c r="AE631" s="190"/>
      <c r="AF631" s="190"/>
      <c r="AG631" s="190"/>
      <c r="AH631" s="190"/>
      <c r="AI631" s="190"/>
      <c r="AJ631" s="190"/>
      <c r="AK631" s="190"/>
      <c r="AL631" s="190"/>
      <c r="AM631" s="190"/>
    </row>
    <row r="632" spans="2:39">
      <c r="B632" s="162"/>
      <c r="C632" s="162"/>
      <c r="D632" s="191"/>
      <c r="E632" s="191"/>
      <c r="F632" s="191"/>
      <c r="G632" s="191"/>
      <c r="H632" s="191"/>
      <c r="I632" s="191"/>
      <c r="J632" s="191"/>
      <c r="K632" s="191"/>
      <c r="L632" s="191"/>
      <c r="M632" s="191"/>
      <c r="N632" s="191"/>
      <c r="O632" s="191"/>
      <c r="P632" s="191"/>
      <c r="Q632" s="191"/>
      <c r="R632" s="191"/>
      <c r="S632" s="191"/>
      <c r="T632" s="191"/>
      <c r="U632" s="191"/>
      <c r="V632" s="191"/>
      <c r="W632" s="191"/>
      <c r="X632" s="191"/>
      <c r="Y632" s="191"/>
      <c r="Z632" s="191"/>
      <c r="AA632" s="191"/>
      <c r="AB632" s="191"/>
      <c r="AC632" s="190"/>
      <c r="AD632" s="190"/>
      <c r="AE632" s="190"/>
      <c r="AF632" s="190"/>
      <c r="AG632" s="190"/>
      <c r="AH632" s="190"/>
      <c r="AI632" s="190"/>
      <c r="AJ632" s="190"/>
      <c r="AK632" s="190"/>
      <c r="AL632" s="190"/>
      <c r="AM632" s="190"/>
    </row>
    <row r="633" spans="2:39">
      <c r="B633" s="162"/>
      <c r="C633" s="162"/>
      <c r="D633" s="191"/>
      <c r="E633" s="191"/>
      <c r="F633" s="191"/>
      <c r="G633" s="191"/>
      <c r="H633" s="191"/>
      <c r="I633" s="191"/>
      <c r="J633" s="191"/>
      <c r="K633" s="191"/>
      <c r="L633" s="191"/>
      <c r="M633" s="191"/>
      <c r="N633" s="191"/>
      <c r="O633" s="191"/>
      <c r="P633" s="191"/>
      <c r="Q633" s="191"/>
      <c r="R633" s="191"/>
      <c r="S633" s="191"/>
      <c r="T633" s="191"/>
      <c r="U633" s="191"/>
      <c r="V633" s="191"/>
      <c r="W633" s="191"/>
      <c r="X633" s="191"/>
      <c r="Y633" s="191"/>
      <c r="Z633" s="191"/>
      <c r="AA633" s="191"/>
      <c r="AB633" s="191"/>
      <c r="AC633" s="190"/>
      <c r="AD633" s="190"/>
      <c r="AE633" s="190"/>
      <c r="AF633" s="190"/>
      <c r="AG633" s="190"/>
      <c r="AH633" s="190"/>
      <c r="AI633" s="190"/>
      <c r="AJ633" s="190"/>
      <c r="AK633" s="190"/>
      <c r="AL633" s="190"/>
      <c r="AM633" s="190"/>
    </row>
    <row r="634" spans="2:39">
      <c r="B634" s="162"/>
      <c r="C634" s="162"/>
      <c r="D634" s="191"/>
      <c r="E634" s="191"/>
      <c r="F634" s="191"/>
      <c r="G634" s="191"/>
      <c r="H634" s="191"/>
      <c r="I634" s="191"/>
      <c r="J634" s="191"/>
      <c r="K634" s="191"/>
      <c r="L634" s="191"/>
      <c r="M634" s="191"/>
      <c r="N634" s="191"/>
      <c r="O634" s="191"/>
      <c r="P634" s="191"/>
      <c r="Q634" s="191"/>
      <c r="R634" s="191"/>
      <c r="S634" s="191"/>
      <c r="T634" s="191"/>
      <c r="U634" s="191"/>
      <c r="V634" s="191"/>
      <c r="W634" s="191"/>
      <c r="X634" s="191"/>
      <c r="Y634" s="191"/>
      <c r="Z634" s="191"/>
      <c r="AA634" s="191"/>
      <c r="AB634" s="191"/>
      <c r="AC634" s="190"/>
      <c r="AD634" s="190"/>
      <c r="AE634" s="190"/>
      <c r="AF634" s="190"/>
      <c r="AG634" s="190"/>
      <c r="AH634" s="190"/>
      <c r="AI634" s="190"/>
      <c r="AJ634" s="190"/>
      <c r="AK634" s="190"/>
      <c r="AL634" s="190"/>
      <c r="AM634" s="190"/>
    </row>
    <row r="635" spans="2:39">
      <c r="B635" s="162"/>
      <c r="C635" s="162"/>
      <c r="D635" s="191"/>
      <c r="E635" s="191"/>
      <c r="F635" s="191"/>
      <c r="G635" s="191"/>
      <c r="H635" s="191"/>
      <c r="I635" s="191"/>
      <c r="J635" s="191"/>
      <c r="K635" s="191"/>
      <c r="L635" s="191"/>
      <c r="M635" s="191"/>
      <c r="N635" s="191"/>
      <c r="O635" s="191"/>
      <c r="P635" s="191"/>
      <c r="Q635" s="191"/>
      <c r="R635" s="191"/>
      <c r="S635" s="191"/>
      <c r="T635" s="191"/>
      <c r="U635" s="191"/>
      <c r="V635" s="191"/>
      <c r="W635" s="191"/>
      <c r="X635" s="191"/>
      <c r="Y635" s="191"/>
      <c r="Z635" s="191"/>
      <c r="AA635" s="191"/>
      <c r="AB635" s="191"/>
      <c r="AC635" s="190"/>
      <c r="AD635" s="190"/>
      <c r="AE635" s="190"/>
      <c r="AF635" s="190"/>
      <c r="AG635" s="190"/>
      <c r="AH635" s="190"/>
      <c r="AI635" s="190"/>
      <c r="AJ635" s="190"/>
      <c r="AK635" s="190"/>
      <c r="AL635" s="190"/>
      <c r="AM635" s="190"/>
    </row>
    <row r="636" spans="2:39">
      <c r="B636" s="162"/>
      <c r="C636" s="162"/>
      <c r="D636" s="191"/>
      <c r="E636" s="191"/>
      <c r="F636" s="191"/>
      <c r="G636" s="191"/>
      <c r="H636" s="191"/>
      <c r="I636" s="191"/>
      <c r="J636" s="191"/>
      <c r="K636" s="191"/>
      <c r="L636" s="191"/>
      <c r="M636" s="191"/>
      <c r="N636" s="191"/>
      <c r="O636" s="191"/>
      <c r="P636" s="191"/>
      <c r="Q636" s="191"/>
      <c r="R636" s="191"/>
      <c r="S636" s="191"/>
      <c r="T636" s="191"/>
      <c r="U636" s="191"/>
      <c r="V636" s="191"/>
      <c r="W636" s="191"/>
      <c r="X636" s="191"/>
      <c r="Y636" s="191"/>
      <c r="Z636" s="191"/>
      <c r="AA636" s="191"/>
      <c r="AB636" s="191"/>
      <c r="AC636" s="190"/>
      <c r="AD636" s="190"/>
      <c r="AE636" s="190"/>
      <c r="AF636" s="190"/>
      <c r="AG636" s="190"/>
      <c r="AH636" s="190"/>
      <c r="AI636" s="190"/>
      <c r="AJ636" s="190"/>
      <c r="AK636" s="190"/>
      <c r="AL636" s="190"/>
      <c r="AM636" s="190"/>
    </row>
    <row r="637" spans="2:39">
      <c r="B637" s="162"/>
      <c r="C637" s="162"/>
      <c r="D637" s="191"/>
      <c r="E637" s="191"/>
      <c r="F637" s="191"/>
      <c r="G637" s="191"/>
      <c r="H637" s="191"/>
      <c r="I637" s="191"/>
      <c r="J637" s="191"/>
      <c r="K637" s="191"/>
      <c r="L637" s="191"/>
      <c r="M637" s="191"/>
      <c r="N637" s="191"/>
      <c r="O637" s="191"/>
      <c r="P637" s="191"/>
      <c r="Q637" s="191"/>
      <c r="R637" s="191"/>
      <c r="S637" s="191"/>
      <c r="T637" s="191"/>
      <c r="U637" s="191"/>
      <c r="V637" s="191"/>
      <c r="W637" s="191"/>
      <c r="X637" s="191"/>
      <c r="Y637" s="191"/>
      <c r="Z637" s="191"/>
      <c r="AA637" s="191"/>
      <c r="AB637" s="191"/>
      <c r="AC637" s="190"/>
      <c r="AD637" s="190"/>
      <c r="AE637" s="190"/>
      <c r="AF637" s="190"/>
      <c r="AG637" s="190"/>
      <c r="AH637" s="190"/>
      <c r="AI637" s="190"/>
      <c r="AJ637" s="190"/>
      <c r="AK637" s="190"/>
      <c r="AL637" s="190"/>
      <c r="AM637" s="190"/>
    </row>
    <row r="638" spans="2:39">
      <c r="B638" s="162"/>
      <c r="C638" s="162"/>
      <c r="D638" s="191"/>
      <c r="E638" s="191"/>
      <c r="F638" s="191"/>
      <c r="G638" s="191"/>
      <c r="H638" s="191"/>
      <c r="I638" s="191"/>
      <c r="J638" s="191"/>
      <c r="K638" s="191"/>
      <c r="L638" s="191"/>
      <c r="M638" s="191"/>
      <c r="N638" s="191"/>
      <c r="O638" s="191"/>
      <c r="P638" s="191"/>
      <c r="Q638" s="191"/>
      <c r="R638" s="191"/>
      <c r="S638" s="191"/>
      <c r="T638" s="191"/>
      <c r="U638" s="191"/>
      <c r="V638" s="191"/>
      <c r="W638" s="191"/>
      <c r="X638" s="191"/>
      <c r="Y638" s="191"/>
      <c r="Z638" s="191"/>
      <c r="AA638" s="191"/>
      <c r="AB638" s="191"/>
      <c r="AC638" s="190"/>
      <c r="AD638" s="190"/>
      <c r="AE638" s="190"/>
      <c r="AF638" s="190"/>
      <c r="AG638" s="190"/>
      <c r="AH638" s="190"/>
      <c r="AI638" s="190"/>
      <c r="AJ638" s="190"/>
      <c r="AK638" s="190"/>
      <c r="AL638" s="190"/>
      <c r="AM638" s="190"/>
    </row>
    <row r="639" spans="2:39">
      <c r="B639" s="162"/>
      <c r="C639" s="162"/>
      <c r="D639" s="191"/>
      <c r="E639" s="191"/>
      <c r="F639" s="191"/>
      <c r="G639" s="191"/>
      <c r="H639" s="191"/>
      <c r="I639" s="191"/>
      <c r="J639" s="191"/>
      <c r="K639" s="191"/>
      <c r="L639" s="191"/>
      <c r="M639" s="191"/>
      <c r="N639" s="191"/>
      <c r="O639" s="191"/>
      <c r="P639" s="191"/>
      <c r="Q639" s="191"/>
      <c r="R639" s="191"/>
      <c r="S639" s="191"/>
      <c r="T639" s="191"/>
      <c r="U639" s="191"/>
      <c r="V639" s="191"/>
      <c r="W639" s="191"/>
      <c r="X639" s="191"/>
      <c r="Y639" s="191"/>
      <c r="Z639" s="191"/>
      <c r="AA639" s="191"/>
      <c r="AB639" s="191"/>
      <c r="AC639" s="190"/>
      <c r="AD639" s="190"/>
      <c r="AE639" s="190"/>
      <c r="AF639" s="190"/>
      <c r="AG639" s="190"/>
      <c r="AH639" s="190"/>
      <c r="AI639" s="190"/>
      <c r="AJ639" s="190"/>
      <c r="AK639" s="190"/>
      <c r="AL639" s="190"/>
      <c r="AM639" s="190"/>
    </row>
    <row r="640" spans="2:39">
      <c r="B640" s="162"/>
      <c r="C640" s="162"/>
      <c r="D640" s="191"/>
      <c r="E640" s="191"/>
      <c r="F640" s="191"/>
      <c r="G640" s="191"/>
      <c r="H640" s="191"/>
      <c r="I640" s="191"/>
      <c r="J640" s="191"/>
      <c r="K640" s="191"/>
      <c r="L640" s="191"/>
      <c r="M640" s="191"/>
      <c r="N640" s="191"/>
      <c r="O640" s="191"/>
      <c r="P640" s="191"/>
      <c r="Q640" s="191"/>
      <c r="R640" s="191"/>
      <c r="S640" s="191"/>
      <c r="T640" s="191"/>
      <c r="U640" s="191"/>
      <c r="V640" s="191"/>
      <c r="W640" s="191"/>
      <c r="X640" s="191"/>
      <c r="Y640" s="191"/>
      <c r="Z640" s="191"/>
      <c r="AA640" s="191"/>
      <c r="AB640" s="191"/>
      <c r="AC640" s="190"/>
      <c r="AD640" s="190"/>
      <c r="AE640" s="190"/>
      <c r="AF640" s="190"/>
      <c r="AG640" s="190"/>
      <c r="AH640" s="190"/>
      <c r="AI640" s="190"/>
      <c r="AJ640" s="190"/>
      <c r="AK640" s="190"/>
      <c r="AL640" s="190"/>
      <c r="AM640" s="190"/>
    </row>
    <row r="641" spans="2:39">
      <c r="B641" s="162"/>
      <c r="C641" s="162"/>
      <c r="D641" s="191"/>
      <c r="E641" s="191"/>
      <c r="F641" s="191"/>
      <c r="G641" s="191"/>
      <c r="H641" s="191"/>
      <c r="I641" s="191"/>
      <c r="J641" s="191"/>
      <c r="K641" s="191"/>
      <c r="L641" s="191"/>
      <c r="M641" s="191"/>
      <c r="N641" s="191"/>
      <c r="O641" s="191"/>
      <c r="P641" s="191"/>
      <c r="Q641" s="191"/>
      <c r="R641" s="191"/>
      <c r="S641" s="191"/>
      <c r="T641" s="191"/>
      <c r="U641" s="191"/>
      <c r="V641" s="191"/>
      <c r="W641" s="191"/>
      <c r="X641" s="191"/>
      <c r="Y641" s="191"/>
      <c r="Z641" s="191"/>
      <c r="AA641" s="191"/>
      <c r="AB641" s="191"/>
      <c r="AC641" s="190"/>
      <c r="AD641" s="190"/>
      <c r="AE641" s="190"/>
      <c r="AF641" s="190"/>
      <c r="AG641" s="190"/>
      <c r="AH641" s="190"/>
      <c r="AI641" s="190"/>
      <c r="AJ641" s="190"/>
      <c r="AK641" s="190"/>
      <c r="AL641" s="190"/>
      <c r="AM641" s="190"/>
    </row>
    <row r="642" spans="2:39">
      <c r="B642" s="162"/>
      <c r="C642" s="162"/>
      <c r="D642" s="191"/>
      <c r="E642" s="191"/>
      <c r="F642" s="191"/>
      <c r="G642" s="191"/>
      <c r="H642" s="191"/>
      <c r="I642" s="191"/>
      <c r="J642" s="191"/>
      <c r="K642" s="191"/>
      <c r="L642" s="191"/>
      <c r="M642" s="191"/>
      <c r="N642" s="191"/>
      <c r="O642" s="191"/>
      <c r="P642" s="191"/>
      <c r="Q642" s="191"/>
      <c r="R642" s="191"/>
      <c r="S642" s="191"/>
      <c r="T642" s="191"/>
      <c r="U642" s="191"/>
      <c r="V642" s="191"/>
      <c r="W642" s="191"/>
      <c r="X642" s="191"/>
      <c r="Y642" s="191"/>
      <c r="Z642" s="191"/>
      <c r="AA642" s="191"/>
      <c r="AB642" s="191"/>
      <c r="AC642" s="190"/>
      <c r="AD642" s="190"/>
      <c r="AE642" s="190"/>
      <c r="AF642" s="190"/>
      <c r="AG642" s="190"/>
      <c r="AH642" s="190"/>
      <c r="AI642" s="190"/>
      <c r="AJ642" s="190"/>
      <c r="AK642" s="190"/>
      <c r="AL642" s="190"/>
      <c r="AM642" s="190"/>
    </row>
    <row r="643" spans="2:39">
      <c r="B643" s="162"/>
      <c r="C643" s="162"/>
      <c r="D643" s="191"/>
      <c r="E643" s="191"/>
      <c r="F643" s="191"/>
      <c r="G643" s="191"/>
      <c r="H643" s="191"/>
      <c r="I643" s="191"/>
      <c r="J643" s="191"/>
      <c r="K643" s="191"/>
      <c r="L643" s="191"/>
      <c r="M643" s="191"/>
      <c r="N643" s="191"/>
      <c r="O643" s="191"/>
      <c r="P643" s="191"/>
      <c r="Q643" s="191"/>
      <c r="R643" s="191"/>
      <c r="S643" s="191"/>
      <c r="T643" s="191"/>
      <c r="U643" s="191"/>
      <c r="V643" s="191"/>
      <c r="W643" s="191"/>
      <c r="X643" s="191"/>
      <c r="Y643" s="191"/>
      <c r="Z643" s="191"/>
      <c r="AA643" s="191"/>
      <c r="AB643" s="191"/>
      <c r="AC643" s="190"/>
      <c r="AD643" s="190"/>
      <c r="AE643" s="190"/>
      <c r="AF643" s="190"/>
      <c r="AG643" s="190"/>
      <c r="AH643" s="190"/>
      <c r="AI643" s="190"/>
      <c r="AJ643" s="190"/>
      <c r="AK643" s="190"/>
      <c r="AL643" s="190"/>
      <c r="AM643" s="190"/>
    </row>
    <row r="644" spans="2:39">
      <c r="B644" s="162"/>
      <c r="C644" s="162"/>
      <c r="D644" s="191"/>
      <c r="E644" s="191"/>
      <c r="F644" s="191"/>
      <c r="G644" s="191"/>
      <c r="H644" s="191"/>
      <c r="I644" s="191"/>
      <c r="J644" s="191"/>
      <c r="K644" s="191"/>
      <c r="L644" s="191"/>
      <c r="M644" s="191"/>
      <c r="N644" s="191"/>
      <c r="O644" s="191"/>
      <c r="P644" s="191"/>
      <c r="Q644" s="191"/>
      <c r="R644" s="191"/>
      <c r="S644" s="191"/>
      <c r="T644" s="191"/>
      <c r="U644" s="191"/>
      <c r="V644" s="191"/>
      <c r="W644" s="191"/>
      <c r="X644" s="191"/>
      <c r="Y644" s="191"/>
      <c r="Z644" s="191"/>
      <c r="AA644" s="191"/>
      <c r="AB644" s="191"/>
      <c r="AC644" s="190"/>
      <c r="AD644" s="190"/>
      <c r="AE644" s="190"/>
      <c r="AF644" s="190"/>
      <c r="AG644" s="190"/>
      <c r="AH644" s="190"/>
      <c r="AI644" s="190"/>
      <c r="AJ644" s="190"/>
      <c r="AK644" s="190"/>
      <c r="AL644" s="190"/>
      <c r="AM644" s="190"/>
    </row>
    <row r="645" spans="2:39">
      <c r="B645" s="162"/>
      <c r="C645" s="162"/>
      <c r="D645" s="191"/>
      <c r="E645" s="191"/>
      <c r="F645" s="191"/>
      <c r="G645" s="191"/>
      <c r="H645" s="191"/>
      <c r="I645" s="191"/>
      <c r="J645" s="191"/>
      <c r="K645" s="191"/>
      <c r="L645" s="191"/>
      <c r="M645" s="191"/>
      <c r="N645" s="191"/>
      <c r="O645" s="191"/>
      <c r="P645" s="191"/>
      <c r="Q645" s="191"/>
      <c r="R645" s="191"/>
      <c r="S645" s="191"/>
      <c r="T645" s="191"/>
      <c r="U645" s="191"/>
      <c r="V645" s="191"/>
      <c r="W645" s="191"/>
      <c r="X645" s="191"/>
      <c r="Y645" s="191"/>
      <c r="Z645" s="191"/>
      <c r="AA645" s="191"/>
      <c r="AB645" s="191"/>
      <c r="AC645" s="190"/>
      <c r="AD645" s="190"/>
      <c r="AE645" s="190"/>
      <c r="AF645" s="190"/>
      <c r="AG645" s="190"/>
      <c r="AH645" s="190"/>
      <c r="AI645" s="190"/>
      <c r="AJ645" s="190"/>
      <c r="AK645" s="190"/>
      <c r="AL645" s="190"/>
      <c r="AM645" s="190"/>
    </row>
    <row r="646" spans="2:39">
      <c r="B646" s="162"/>
      <c r="C646" s="162"/>
      <c r="D646" s="191"/>
      <c r="E646" s="191"/>
      <c r="F646" s="191"/>
      <c r="G646" s="191"/>
      <c r="H646" s="191"/>
      <c r="I646" s="191"/>
      <c r="J646" s="191"/>
      <c r="K646" s="191"/>
      <c r="L646" s="191"/>
      <c r="M646" s="191"/>
      <c r="N646" s="191"/>
      <c r="O646" s="191"/>
      <c r="P646" s="191"/>
      <c r="Q646" s="191"/>
      <c r="R646" s="191"/>
      <c r="S646" s="191"/>
      <c r="T646" s="191"/>
      <c r="U646" s="191"/>
      <c r="V646" s="191"/>
      <c r="W646" s="191"/>
      <c r="X646" s="191"/>
      <c r="Y646" s="191"/>
      <c r="Z646" s="191"/>
      <c r="AA646" s="191"/>
      <c r="AB646" s="191"/>
      <c r="AC646" s="190"/>
      <c r="AD646" s="190"/>
      <c r="AE646" s="190"/>
      <c r="AF646" s="190"/>
      <c r="AG646" s="190"/>
      <c r="AH646" s="190"/>
      <c r="AI646" s="190"/>
      <c r="AJ646" s="190"/>
      <c r="AK646" s="190"/>
      <c r="AL646" s="190"/>
      <c r="AM646" s="190"/>
    </row>
    <row r="647" spans="2:39">
      <c r="B647" s="162"/>
      <c r="C647" s="162"/>
      <c r="D647" s="191"/>
      <c r="E647" s="191"/>
      <c r="F647" s="191"/>
      <c r="G647" s="191"/>
      <c r="H647" s="191"/>
      <c r="I647" s="191"/>
      <c r="J647" s="191"/>
      <c r="K647" s="191"/>
      <c r="L647" s="191"/>
      <c r="M647" s="191"/>
      <c r="N647" s="191"/>
      <c r="O647" s="191"/>
      <c r="P647" s="191"/>
      <c r="Q647" s="191"/>
      <c r="R647" s="191"/>
      <c r="S647" s="191"/>
      <c r="T647" s="191"/>
      <c r="U647" s="191"/>
      <c r="V647" s="191"/>
      <c r="W647" s="191"/>
      <c r="X647" s="191"/>
      <c r="Y647" s="191"/>
      <c r="Z647" s="191"/>
      <c r="AA647" s="191"/>
      <c r="AB647" s="191"/>
      <c r="AC647" s="190"/>
      <c r="AD647" s="190"/>
      <c r="AE647" s="190"/>
      <c r="AF647" s="190"/>
      <c r="AG647" s="190"/>
      <c r="AH647" s="190"/>
      <c r="AI647" s="190"/>
      <c r="AJ647" s="190"/>
      <c r="AK647" s="190"/>
      <c r="AL647" s="190"/>
      <c r="AM647" s="190"/>
    </row>
    <row r="648" spans="2:39">
      <c r="B648" s="162"/>
      <c r="C648" s="162"/>
      <c r="D648" s="191"/>
      <c r="E648" s="191"/>
      <c r="F648" s="191"/>
      <c r="G648" s="191"/>
      <c r="H648" s="191"/>
      <c r="I648" s="191"/>
      <c r="J648" s="191"/>
      <c r="K648" s="191"/>
      <c r="L648" s="191"/>
      <c r="M648" s="191"/>
      <c r="N648" s="191"/>
      <c r="O648" s="191"/>
      <c r="P648" s="191"/>
      <c r="Q648" s="191"/>
      <c r="R648" s="191"/>
      <c r="S648" s="191"/>
      <c r="T648" s="191"/>
      <c r="U648" s="191"/>
      <c r="V648" s="191"/>
      <c r="W648" s="191"/>
      <c r="X648" s="191"/>
      <c r="Y648" s="191"/>
      <c r="Z648" s="191"/>
      <c r="AA648" s="191"/>
      <c r="AB648" s="191"/>
      <c r="AC648" s="190"/>
      <c r="AD648" s="190"/>
      <c r="AE648" s="190"/>
      <c r="AF648" s="190"/>
      <c r="AG648" s="190"/>
      <c r="AH648" s="190"/>
      <c r="AI648" s="190"/>
      <c r="AJ648" s="190"/>
      <c r="AK648" s="190"/>
      <c r="AL648" s="190"/>
      <c r="AM648" s="190"/>
    </row>
    <row r="649" spans="2:39">
      <c r="B649" s="162"/>
      <c r="C649" s="162"/>
      <c r="D649" s="191"/>
      <c r="E649" s="191"/>
      <c r="F649" s="191"/>
      <c r="G649" s="191"/>
      <c r="H649" s="191"/>
      <c r="I649" s="191"/>
      <c r="J649" s="191"/>
      <c r="K649" s="191"/>
      <c r="L649" s="191"/>
      <c r="M649" s="191"/>
      <c r="N649" s="191"/>
      <c r="O649" s="191"/>
      <c r="P649" s="191"/>
      <c r="Q649" s="191"/>
      <c r="R649" s="191"/>
      <c r="S649" s="191"/>
      <c r="T649" s="191"/>
      <c r="U649" s="191"/>
      <c r="V649" s="191"/>
      <c r="W649" s="191"/>
      <c r="X649" s="191"/>
      <c r="Y649" s="191"/>
      <c r="Z649" s="191"/>
      <c r="AA649" s="191"/>
      <c r="AB649" s="191"/>
      <c r="AC649" s="190"/>
      <c r="AD649" s="190"/>
      <c r="AE649" s="190"/>
      <c r="AF649" s="190"/>
      <c r="AG649" s="190"/>
      <c r="AH649" s="190"/>
      <c r="AI649" s="190"/>
      <c r="AJ649" s="190"/>
      <c r="AK649" s="190"/>
      <c r="AL649" s="190"/>
      <c r="AM649" s="190"/>
    </row>
    <row r="650" spans="2:39">
      <c r="B650" s="162"/>
      <c r="C650" s="162"/>
      <c r="D650" s="191"/>
      <c r="E650" s="191"/>
      <c r="F650" s="191"/>
      <c r="G650" s="191"/>
      <c r="H650" s="191"/>
      <c r="I650" s="191"/>
      <c r="J650" s="191"/>
      <c r="K650" s="191"/>
      <c r="L650" s="191"/>
      <c r="M650" s="191"/>
      <c r="N650" s="191"/>
      <c r="O650" s="191"/>
      <c r="P650" s="191"/>
      <c r="Q650" s="191"/>
      <c r="R650" s="191"/>
      <c r="S650" s="191"/>
      <c r="T650" s="191"/>
      <c r="U650" s="191"/>
      <c r="V650" s="191"/>
      <c r="W650" s="191"/>
      <c r="X650" s="191"/>
      <c r="Y650" s="191"/>
      <c r="Z650" s="191"/>
      <c r="AA650" s="191"/>
      <c r="AB650" s="191"/>
      <c r="AC650" s="190"/>
      <c r="AD650" s="190"/>
      <c r="AE650" s="190"/>
      <c r="AF650" s="190"/>
      <c r="AG650" s="190"/>
      <c r="AH650" s="190"/>
      <c r="AI650" s="190"/>
      <c r="AJ650" s="190"/>
      <c r="AK650" s="190"/>
      <c r="AL650" s="190"/>
      <c r="AM650" s="190"/>
    </row>
    <row r="651" spans="2:39">
      <c r="B651" s="162"/>
      <c r="C651" s="162"/>
      <c r="D651" s="191"/>
      <c r="E651" s="191"/>
      <c r="F651" s="191"/>
      <c r="G651" s="191"/>
      <c r="H651" s="191"/>
      <c r="I651" s="191"/>
      <c r="J651" s="191"/>
      <c r="K651" s="191"/>
      <c r="L651" s="191"/>
      <c r="M651" s="191"/>
      <c r="N651" s="191"/>
      <c r="O651" s="191"/>
      <c r="P651" s="191"/>
      <c r="Q651" s="191"/>
      <c r="R651" s="191"/>
      <c r="S651" s="191"/>
      <c r="T651" s="191"/>
      <c r="U651" s="191"/>
      <c r="V651" s="191"/>
      <c r="W651" s="191"/>
      <c r="X651" s="191"/>
      <c r="Y651" s="191"/>
      <c r="Z651" s="191"/>
      <c r="AA651" s="191"/>
      <c r="AB651" s="191"/>
      <c r="AC651" s="190"/>
      <c r="AD651" s="190"/>
      <c r="AE651" s="190"/>
      <c r="AF651" s="190"/>
      <c r="AG651" s="190"/>
      <c r="AH651" s="190"/>
      <c r="AI651" s="190"/>
      <c r="AJ651" s="190"/>
      <c r="AK651" s="190"/>
      <c r="AL651" s="190"/>
      <c r="AM651" s="190"/>
    </row>
    <row r="652" spans="2:39">
      <c r="B652" s="162"/>
      <c r="C652" s="162"/>
      <c r="D652" s="191"/>
      <c r="E652" s="191"/>
      <c r="F652" s="191"/>
      <c r="G652" s="191"/>
      <c r="H652" s="191"/>
      <c r="I652" s="191"/>
      <c r="J652" s="191"/>
      <c r="K652" s="191"/>
      <c r="L652" s="191"/>
      <c r="M652" s="191"/>
      <c r="N652" s="191"/>
      <c r="O652" s="191"/>
      <c r="P652" s="191"/>
      <c r="Q652" s="191"/>
      <c r="R652" s="191"/>
      <c r="S652" s="191"/>
      <c r="T652" s="191"/>
      <c r="U652" s="191"/>
      <c r="V652" s="191"/>
      <c r="W652" s="191"/>
      <c r="X652" s="191"/>
      <c r="Y652" s="191"/>
      <c r="Z652" s="191"/>
      <c r="AA652" s="191"/>
      <c r="AB652" s="191"/>
      <c r="AC652" s="190"/>
      <c r="AD652" s="190"/>
      <c r="AE652" s="190"/>
      <c r="AF652" s="190"/>
      <c r="AG652" s="190"/>
      <c r="AH652" s="190"/>
      <c r="AI652" s="190"/>
      <c r="AJ652" s="190"/>
      <c r="AK652" s="190"/>
      <c r="AL652" s="190"/>
      <c r="AM652" s="190"/>
    </row>
    <row r="653" spans="2:39">
      <c r="B653" s="162"/>
      <c r="C653" s="162"/>
      <c r="D653" s="191"/>
      <c r="E653" s="191"/>
      <c r="F653" s="191"/>
      <c r="G653" s="191"/>
      <c r="H653" s="191"/>
      <c r="I653" s="191"/>
      <c r="J653" s="191"/>
      <c r="K653" s="191"/>
      <c r="L653" s="191"/>
      <c r="M653" s="191"/>
      <c r="N653" s="191"/>
      <c r="O653" s="191"/>
      <c r="P653" s="191"/>
      <c r="Q653" s="191"/>
      <c r="R653" s="191"/>
      <c r="S653" s="191"/>
      <c r="T653" s="191"/>
      <c r="U653" s="191"/>
      <c r="V653" s="191"/>
      <c r="W653" s="191"/>
      <c r="X653" s="191"/>
      <c r="Y653" s="191"/>
      <c r="Z653" s="191"/>
      <c r="AA653" s="191"/>
      <c r="AB653" s="191"/>
      <c r="AC653" s="190"/>
      <c r="AD653" s="190"/>
      <c r="AE653" s="190"/>
      <c r="AF653" s="190"/>
      <c r="AG653" s="190"/>
      <c r="AH653" s="190"/>
      <c r="AI653" s="190"/>
      <c r="AJ653" s="190"/>
      <c r="AK653" s="190"/>
      <c r="AL653" s="190"/>
      <c r="AM653" s="190"/>
    </row>
    <row r="654" spans="2:39">
      <c r="B654" s="162"/>
      <c r="C654" s="162"/>
      <c r="D654" s="191"/>
      <c r="E654" s="191"/>
      <c r="F654" s="191"/>
      <c r="G654" s="191"/>
      <c r="H654" s="191"/>
      <c r="I654" s="191"/>
      <c r="J654" s="191"/>
      <c r="K654" s="191"/>
      <c r="L654" s="191"/>
      <c r="M654" s="191"/>
      <c r="N654" s="191"/>
      <c r="O654" s="191"/>
      <c r="P654" s="191"/>
      <c r="Q654" s="191"/>
      <c r="R654" s="191"/>
      <c r="S654" s="191"/>
      <c r="T654" s="191"/>
      <c r="U654" s="191"/>
      <c r="V654" s="191"/>
      <c r="W654" s="191"/>
      <c r="X654" s="191"/>
      <c r="Y654" s="191"/>
      <c r="Z654" s="191"/>
      <c r="AA654" s="191"/>
      <c r="AB654" s="191"/>
      <c r="AC654" s="190"/>
      <c r="AD654" s="190"/>
      <c r="AE654" s="190"/>
      <c r="AF654" s="190"/>
      <c r="AG654" s="190"/>
      <c r="AH654" s="190"/>
      <c r="AI654" s="190"/>
      <c r="AJ654" s="190"/>
      <c r="AK654" s="190"/>
      <c r="AL654" s="190"/>
      <c r="AM654" s="190"/>
    </row>
    <row r="655" spans="2:39">
      <c r="B655" s="162"/>
      <c r="C655" s="162"/>
      <c r="D655" s="191"/>
      <c r="E655" s="191"/>
      <c r="F655" s="191"/>
      <c r="G655" s="191"/>
      <c r="H655" s="191"/>
      <c r="I655" s="191"/>
      <c r="J655" s="191"/>
      <c r="K655" s="191"/>
      <c r="L655" s="191"/>
      <c r="M655" s="191"/>
      <c r="N655" s="191"/>
      <c r="O655" s="191"/>
      <c r="P655" s="191"/>
      <c r="Q655" s="191"/>
      <c r="R655" s="191"/>
      <c r="S655" s="191"/>
      <c r="T655" s="191"/>
      <c r="U655" s="191"/>
      <c r="V655" s="191"/>
      <c r="W655" s="191"/>
      <c r="X655" s="191"/>
      <c r="Y655" s="191"/>
      <c r="Z655" s="191"/>
      <c r="AA655" s="191"/>
      <c r="AB655" s="191"/>
      <c r="AC655" s="190"/>
      <c r="AD655" s="190"/>
      <c r="AE655" s="190"/>
      <c r="AF655" s="190"/>
      <c r="AG655" s="190"/>
      <c r="AH655" s="190"/>
      <c r="AI655" s="190"/>
      <c r="AJ655" s="190"/>
      <c r="AK655" s="190"/>
      <c r="AL655" s="190"/>
      <c r="AM655" s="190"/>
    </row>
    <row r="656" spans="2:39">
      <c r="B656" s="162"/>
      <c r="C656" s="162"/>
      <c r="D656" s="191"/>
      <c r="E656" s="191"/>
      <c r="F656" s="191"/>
      <c r="G656" s="191"/>
      <c r="H656" s="191"/>
      <c r="I656" s="191"/>
      <c r="J656" s="191"/>
      <c r="K656" s="191"/>
      <c r="L656" s="191"/>
      <c r="M656" s="191"/>
      <c r="N656" s="191"/>
      <c r="O656" s="191"/>
      <c r="P656" s="191"/>
      <c r="Q656" s="191"/>
      <c r="R656" s="191"/>
      <c r="S656" s="191"/>
      <c r="T656" s="191"/>
      <c r="U656" s="191"/>
      <c r="V656" s="191"/>
      <c r="W656" s="191"/>
      <c r="X656" s="191"/>
      <c r="Y656" s="191"/>
      <c r="Z656" s="191"/>
      <c r="AA656" s="191"/>
      <c r="AB656" s="191"/>
      <c r="AC656" s="190"/>
      <c r="AD656" s="190"/>
      <c r="AE656" s="190"/>
      <c r="AF656" s="190"/>
      <c r="AG656" s="190"/>
      <c r="AH656" s="190"/>
      <c r="AI656" s="190"/>
      <c r="AJ656" s="190"/>
      <c r="AK656" s="190"/>
      <c r="AL656" s="190"/>
      <c r="AM656" s="190"/>
    </row>
    <row r="657" spans="2:39">
      <c r="B657" s="162"/>
      <c r="C657" s="162"/>
      <c r="D657" s="191"/>
      <c r="E657" s="191"/>
      <c r="F657" s="191"/>
      <c r="G657" s="191"/>
      <c r="H657" s="191"/>
      <c r="I657" s="191"/>
      <c r="J657" s="191"/>
      <c r="K657" s="191"/>
      <c r="L657" s="191"/>
      <c r="M657" s="191"/>
      <c r="N657" s="191"/>
      <c r="O657" s="191"/>
      <c r="P657" s="191"/>
      <c r="Q657" s="191"/>
      <c r="R657" s="191"/>
      <c r="S657" s="191"/>
      <c r="T657" s="191"/>
      <c r="U657" s="191"/>
      <c r="V657" s="191"/>
      <c r="W657" s="191"/>
      <c r="X657" s="191"/>
      <c r="Y657" s="191"/>
      <c r="Z657" s="191"/>
      <c r="AA657" s="191"/>
      <c r="AB657" s="191"/>
      <c r="AC657" s="190"/>
      <c r="AD657" s="190"/>
      <c r="AE657" s="190"/>
      <c r="AF657" s="190"/>
      <c r="AG657" s="190"/>
      <c r="AH657" s="190"/>
      <c r="AI657" s="190"/>
      <c r="AJ657" s="190"/>
      <c r="AK657" s="190"/>
      <c r="AL657" s="190"/>
      <c r="AM657" s="190"/>
    </row>
    <row r="658" spans="2:39">
      <c r="B658" s="162"/>
      <c r="C658" s="162"/>
      <c r="D658" s="191"/>
      <c r="E658" s="191"/>
      <c r="F658" s="191"/>
      <c r="G658" s="191"/>
      <c r="H658" s="191"/>
      <c r="I658" s="191"/>
      <c r="J658" s="191"/>
      <c r="K658" s="191"/>
      <c r="L658" s="191"/>
      <c r="M658" s="191"/>
      <c r="N658" s="191"/>
      <c r="O658" s="191"/>
      <c r="P658" s="191"/>
      <c r="Q658" s="191"/>
      <c r="R658" s="191"/>
      <c r="S658" s="191"/>
      <c r="T658" s="191"/>
      <c r="U658" s="191"/>
      <c r="V658" s="191"/>
      <c r="W658" s="191"/>
      <c r="X658" s="191"/>
      <c r="Y658" s="191"/>
      <c r="Z658" s="191"/>
      <c r="AA658" s="191"/>
      <c r="AB658" s="191"/>
      <c r="AC658" s="190"/>
      <c r="AD658" s="190"/>
      <c r="AE658" s="190"/>
      <c r="AF658" s="190"/>
      <c r="AG658" s="190"/>
      <c r="AH658" s="190"/>
      <c r="AI658" s="190"/>
      <c r="AJ658" s="190"/>
      <c r="AK658" s="190"/>
      <c r="AL658" s="190"/>
      <c r="AM658" s="190"/>
    </row>
    <row r="659" spans="2:39">
      <c r="B659" s="162"/>
      <c r="C659" s="162"/>
      <c r="D659" s="191"/>
      <c r="E659" s="191"/>
      <c r="F659" s="191"/>
      <c r="G659" s="191"/>
      <c r="H659" s="191"/>
      <c r="I659" s="191"/>
      <c r="J659" s="191"/>
      <c r="K659" s="191"/>
      <c r="L659" s="191"/>
      <c r="M659" s="191"/>
      <c r="N659" s="191"/>
      <c r="O659" s="191"/>
      <c r="P659" s="191"/>
      <c r="Q659" s="191"/>
      <c r="R659" s="191"/>
      <c r="S659" s="191"/>
      <c r="T659" s="191"/>
      <c r="U659" s="191"/>
      <c r="V659" s="191"/>
      <c r="W659" s="191"/>
      <c r="X659" s="191"/>
      <c r="Y659" s="191"/>
      <c r="Z659" s="191"/>
      <c r="AA659" s="191"/>
      <c r="AB659" s="191"/>
      <c r="AC659" s="190"/>
      <c r="AD659" s="190"/>
      <c r="AE659" s="190"/>
      <c r="AF659" s="190"/>
      <c r="AG659" s="190"/>
      <c r="AH659" s="190"/>
      <c r="AI659" s="190"/>
      <c r="AJ659" s="190"/>
      <c r="AK659" s="190"/>
      <c r="AL659" s="190"/>
      <c r="AM659" s="190"/>
    </row>
    <row r="660" spans="2:39">
      <c r="B660" s="162"/>
      <c r="C660" s="162"/>
      <c r="D660" s="191"/>
      <c r="E660" s="191"/>
      <c r="F660" s="191"/>
      <c r="G660" s="191"/>
      <c r="H660" s="191"/>
      <c r="I660" s="191"/>
      <c r="J660" s="191"/>
      <c r="K660" s="191"/>
      <c r="L660" s="191"/>
      <c r="M660" s="191"/>
      <c r="N660" s="191"/>
      <c r="O660" s="191"/>
      <c r="P660" s="191"/>
      <c r="Q660" s="191"/>
      <c r="R660" s="191"/>
      <c r="S660" s="191"/>
      <c r="T660" s="191"/>
      <c r="U660" s="191"/>
      <c r="V660" s="191"/>
      <c r="W660" s="191"/>
      <c r="X660" s="191"/>
      <c r="Y660" s="191"/>
      <c r="Z660" s="191"/>
      <c r="AA660" s="191"/>
      <c r="AB660" s="191"/>
      <c r="AC660" s="190"/>
      <c r="AD660" s="190"/>
      <c r="AE660" s="190"/>
      <c r="AF660" s="190"/>
      <c r="AG660" s="190"/>
      <c r="AH660" s="190"/>
      <c r="AI660" s="190"/>
      <c r="AJ660" s="190"/>
      <c r="AK660" s="190"/>
      <c r="AL660" s="190"/>
      <c r="AM660" s="190"/>
    </row>
    <row r="661" spans="2:39">
      <c r="B661" s="162"/>
      <c r="C661" s="162"/>
      <c r="D661" s="191"/>
      <c r="E661" s="191"/>
      <c r="F661" s="191"/>
      <c r="G661" s="191"/>
      <c r="H661" s="191"/>
      <c r="I661" s="191"/>
      <c r="J661" s="191"/>
      <c r="K661" s="191"/>
      <c r="L661" s="191"/>
      <c r="M661" s="191"/>
      <c r="N661" s="191"/>
      <c r="O661" s="191"/>
      <c r="P661" s="191"/>
      <c r="Q661" s="191"/>
      <c r="R661" s="191"/>
      <c r="S661" s="191"/>
      <c r="T661" s="191"/>
      <c r="U661" s="191"/>
      <c r="V661" s="191"/>
      <c r="W661" s="191"/>
      <c r="X661" s="191"/>
      <c r="Y661" s="191"/>
      <c r="Z661" s="191"/>
      <c r="AA661" s="191"/>
      <c r="AB661" s="191"/>
      <c r="AC661" s="190"/>
      <c r="AD661" s="190"/>
      <c r="AE661" s="190"/>
      <c r="AF661" s="190"/>
      <c r="AG661" s="190"/>
      <c r="AH661" s="190"/>
      <c r="AI661" s="190"/>
      <c r="AJ661" s="190"/>
      <c r="AK661" s="190"/>
      <c r="AL661" s="190"/>
      <c r="AM661" s="190"/>
    </row>
    <row r="662" spans="2:39">
      <c r="B662" s="162"/>
      <c r="C662" s="162"/>
      <c r="D662" s="191"/>
      <c r="E662" s="191"/>
      <c r="F662" s="191"/>
      <c r="G662" s="191"/>
      <c r="H662" s="191"/>
      <c r="I662" s="191"/>
      <c r="J662" s="191"/>
      <c r="K662" s="191"/>
      <c r="L662" s="191"/>
      <c r="M662" s="191"/>
      <c r="N662" s="191"/>
      <c r="O662" s="191"/>
      <c r="P662" s="191"/>
      <c r="Q662" s="191"/>
      <c r="R662" s="191"/>
      <c r="S662" s="191"/>
      <c r="T662" s="191"/>
      <c r="U662" s="191"/>
      <c r="V662" s="191"/>
      <c r="W662" s="191"/>
      <c r="X662" s="191"/>
      <c r="Y662" s="191"/>
      <c r="Z662" s="191"/>
      <c r="AA662" s="191"/>
      <c r="AB662" s="191"/>
      <c r="AC662" s="190"/>
      <c r="AD662" s="190"/>
      <c r="AE662" s="190"/>
      <c r="AF662" s="190"/>
      <c r="AG662" s="190"/>
      <c r="AH662" s="190"/>
      <c r="AI662" s="190"/>
      <c r="AJ662" s="190"/>
      <c r="AK662" s="190"/>
      <c r="AL662" s="190"/>
      <c r="AM662" s="190"/>
    </row>
    <row r="663" spans="2:39">
      <c r="B663" s="162"/>
      <c r="C663" s="162"/>
      <c r="D663" s="191"/>
      <c r="E663" s="191"/>
      <c r="F663" s="191"/>
      <c r="G663" s="191"/>
      <c r="H663" s="191"/>
      <c r="I663" s="191"/>
      <c r="J663" s="191"/>
      <c r="K663" s="191"/>
      <c r="L663" s="191"/>
      <c r="M663" s="191"/>
      <c r="N663" s="191"/>
      <c r="O663" s="191"/>
      <c r="P663" s="191"/>
      <c r="Q663" s="191"/>
      <c r="R663" s="191"/>
      <c r="S663" s="191"/>
      <c r="T663" s="191"/>
      <c r="U663" s="191"/>
      <c r="V663" s="191"/>
      <c r="W663" s="191"/>
      <c r="X663" s="191"/>
      <c r="Y663" s="191"/>
      <c r="Z663" s="191"/>
      <c r="AA663" s="191"/>
      <c r="AB663" s="191"/>
      <c r="AC663" s="190"/>
      <c r="AD663" s="190"/>
      <c r="AE663" s="190"/>
      <c r="AF663" s="190"/>
      <c r="AG663" s="190"/>
      <c r="AH663" s="190"/>
      <c r="AI663" s="190"/>
      <c r="AJ663" s="190"/>
      <c r="AK663" s="190"/>
      <c r="AL663" s="190"/>
      <c r="AM663" s="190"/>
    </row>
    <row r="664" spans="2:39">
      <c r="B664" s="162"/>
      <c r="C664" s="162"/>
      <c r="D664" s="191"/>
      <c r="E664" s="191"/>
      <c r="F664" s="191"/>
      <c r="G664" s="191"/>
      <c r="H664" s="191"/>
      <c r="I664" s="191"/>
      <c r="J664" s="191"/>
      <c r="K664" s="191"/>
      <c r="L664" s="191"/>
      <c r="M664" s="191"/>
      <c r="N664" s="191"/>
      <c r="O664" s="191"/>
      <c r="P664" s="191"/>
      <c r="Q664" s="191"/>
      <c r="R664" s="191"/>
      <c r="S664" s="191"/>
      <c r="T664" s="191"/>
      <c r="U664" s="191"/>
      <c r="V664" s="191"/>
      <c r="W664" s="191"/>
      <c r="X664" s="191"/>
      <c r="Y664" s="191"/>
      <c r="Z664" s="191"/>
      <c r="AA664" s="191"/>
      <c r="AB664" s="191"/>
      <c r="AC664" s="190"/>
      <c r="AD664" s="190"/>
      <c r="AE664" s="190"/>
      <c r="AF664" s="190"/>
      <c r="AG664" s="190"/>
      <c r="AH664" s="190"/>
      <c r="AI664" s="190"/>
      <c r="AJ664" s="190"/>
      <c r="AK664" s="190"/>
      <c r="AL664" s="190"/>
      <c r="AM664" s="190"/>
    </row>
    <row r="665" spans="2:39">
      <c r="B665" s="162"/>
      <c r="C665" s="162"/>
      <c r="D665" s="191"/>
      <c r="E665" s="191"/>
      <c r="F665" s="191"/>
      <c r="G665" s="191"/>
      <c r="H665" s="191"/>
      <c r="I665" s="191"/>
      <c r="J665" s="191"/>
      <c r="K665" s="191"/>
      <c r="L665" s="191"/>
      <c r="M665" s="191"/>
      <c r="N665" s="191"/>
      <c r="O665" s="191"/>
      <c r="P665" s="191"/>
      <c r="Q665" s="191"/>
      <c r="R665" s="191"/>
      <c r="S665" s="191"/>
      <c r="T665" s="191"/>
      <c r="U665" s="191"/>
      <c r="V665" s="191"/>
      <c r="W665" s="191"/>
      <c r="X665" s="191"/>
      <c r="Y665" s="191"/>
      <c r="Z665" s="191"/>
      <c r="AA665" s="191"/>
      <c r="AB665" s="191"/>
      <c r="AC665" s="190"/>
      <c r="AD665" s="190"/>
      <c r="AE665" s="190"/>
      <c r="AF665" s="190"/>
      <c r="AG665" s="190"/>
      <c r="AH665" s="190"/>
      <c r="AI665" s="190"/>
      <c r="AJ665" s="190"/>
      <c r="AK665" s="190"/>
      <c r="AL665" s="190"/>
      <c r="AM665" s="190"/>
    </row>
    <row r="666" spans="2:39">
      <c r="B666" s="162"/>
      <c r="C666" s="162"/>
      <c r="D666" s="191"/>
      <c r="E666" s="191"/>
      <c r="F666" s="191"/>
      <c r="G666" s="191"/>
      <c r="H666" s="191"/>
      <c r="I666" s="191"/>
      <c r="J666" s="191"/>
      <c r="K666" s="191"/>
      <c r="L666" s="191"/>
      <c r="M666" s="191"/>
      <c r="N666" s="191"/>
      <c r="O666" s="191"/>
      <c r="P666" s="191"/>
      <c r="Q666" s="191"/>
      <c r="R666" s="191"/>
      <c r="S666" s="191"/>
      <c r="T666" s="191"/>
      <c r="U666" s="191"/>
      <c r="V666" s="191"/>
      <c r="W666" s="191"/>
      <c r="X666" s="191"/>
      <c r="Y666" s="191"/>
      <c r="Z666" s="191"/>
      <c r="AA666" s="191"/>
      <c r="AB666" s="191"/>
      <c r="AC666" s="190"/>
      <c r="AD666" s="190"/>
      <c r="AE666" s="190"/>
      <c r="AF666" s="190"/>
      <c r="AG666" s="190"/>
      <c r="AH666" s="190"/>
      <c r="AI666" s="190"/>
      <c r="AJ666" s="190"/>
      <c r="AK666" s="190"/>
      <c r="AL666" s="190"/>
      <c r="AM666" s="190"/>
    </row>
    <row r="667" spans="2:39">
      <c r="B667" s="162"/>
      <c r="C667" s="162"/>
      <c r="D667" s="191"/>
      <c r="E667" s="191"/>
      <c r="F667" s="191"/>
      <c r="G667" s="191"/>
      <c r="H667" s="191"/>
      <c r="I667" s="191"/>
      <c r="J667" s="191"/>
      <c r="K667" s="191"/>
      <c r="L667" s="191"/>
      <c r="M667" s="191"/>
      <c r="N667" s="191"/>
      <c r="O667" s="191"/>
      <c r="P667" s="191"/>
      <c r="Q667" s="191"/>
      <c r="R667" s="191"/>
      <c r="S667" s="191"/>
      <c r="T667" s="191"/>
      <c r="U667" s="191"/>
      <c r="V667" s="191"/>
      <c r="W667" s="191"/>
      <c r="X667" s="191"/>
      <c r="Y667" s="191"/>
      <c r="Z667" s="191"/>
      <c r="AA667" s="191"/>
      <c r="AB667" s="191"/>
      <c r="AC667" s="190"/>
      <c r="AD667" s="190"/>
      <c r="AE667" s="190"/>
      <c r="AF667" s="190"/>
      <c r="AG667" s="190"/>
      <c r="AH667" s="190"/>
      <c r="AI667" s="190"/>
      <c r="AJ667" s="190"/>
      <c r="AK667" s="190"/>
      <c r="AL667" s="190"/>
      <c r="AM667" s="190"/>
    </row>
    <row r="668" spans="2:39">
      <c r="B668" s="162"/>
      <c r="C668" s="162"/>
      <c r="D668" s="191"/>
      <c r="E668" s="191"/>
      <c r="F668" s="191"/>
      <c r="G668" s="191"/>
      <c r="H668" s="191"/>
      <c r="I668" s="191"/>
      <c r="J668" s="191"/>
      <c r="K668" s="191"/>
      <c r="L668" s="191"/>
      <c r="M668" s="191"/>
      <c r="N668" s="191"/>
      <c r="O668" s="191"/>
      <c r="P668" s="191"/>
      <c r="Q668" s="191"/>
      <c r="R668" s="191"/>
      <c r="S668" s="191"/>
      <c r="T668" s="191"/>
      <c r="U668" s="191"/>
      <c r="V668" s="191"/>
      <c r="W668" s="191"/>
      <c r="X668" s="191"/>
      <c r="Y668" s="191"/>
      <c r="Z668" s="191"/>
      <c r="AA668" s="191"/>
      <c r="AB668" s="191"/>
      <c r="AC668" s="190"/>
      <c r="AD668" s="190"/>
      <c r="AE668" s="190"/>
      <c r="AF668" s="190"/>
      <c r="AG668" s="190"/>
      <c r="AH668" s="190"/>
      <c r="AI668" s="190"/>
      <c r="AJ668" s="190"/>
      <c r="AK668" s="190"/>
      <c r="AL668" s="190"/>
      <c r="AM668" s="190"/>
    </row>
    <row r="669" spans="2:39">
      <c r="B669" s="162"/>
      <c r="C669" s="162"/>
      <c r="D669" s="191"/>
      <c r="E669" s="191"/>
      <c r="F669" s="191"/>
      <c r="G669" s="191"/>
      <c r="H669" s="191"/>
      <c r="I669" s="191"/>
      <c r="J669" s="191"/>
      <c r="K669" s="191"/>
      <c r="L669" s="191"/>
      <c r="M669" s="191"/>
      <c r="N669" s="191"/>
      <c r="O669" s="191"/>
      <c r="P669" s="191"/>
      <c r="Q669" s="191"/>
      <c r="R669" s="191"/>
      <c r="S669" s="191"/>
      <c r="T669" s="191"/>
      <c r="U669" s="191"/>
      <c r="V669" s="191"/>
      <c r="W669" s="191"/>
      <c r="X669" s="191"/>
      <c r="Y669" s="191"/>
      <c r="Z669" s="191"/>
      <c r="AA669" s="191"/>
      <c r="AB669" s="191"/>
      <c r="AC669" s="190"/>
      <c r="AD669" s="190"/>
      <c r="AE669" s="190"/>
      <c r="AF669" s="190"/>
      <c r="AG669" s="190"/>
      <c r="AH669" s="190"/>
      <c r="AI669" s="190"/>
      <c r="AJ669" s="190"/>
      <c r="AK669" s="190"/>
      <c r="AL669" s="190"/>
      <c r="AM669" s="190"/>
    </row>
    <row r="670" spans="2:39">
      <c r="B670" s="162"/>
      <c r="C670" s="162"/>
      <c r="D670" s="191"/>
      <c r="E670" s="191"/>
      <c r="F670" s="191"/>
      <c r="G670" s="191"/>
      <c r="H670" s="191"/>
      <c r="I670" s="191"/>
      <c r="J670" s="191"/>
      <c r="K670" s="191"/>
      <c r="L670" s="191"/>
      <c r="M670" s="191"/>
      <c r="N670" s="191"/>
      <c r="O670" s="191"/>
      <c r="P670" s="191"/>
      <c r="Q670" s="191"/>
      <c r="R670" s="191"/>
      <c r="S670" s="191"/>
      <c r="T670" s="191"/>
      <c r="U670" s="191"/>
      <c r="V670" s="191"/>
      <c r="W670" s="191"/>
      <c r="X670" s="191"/>
      <c r="Y670" s="191"/>
      <c r="Z670" s="191"/>
      <c r="AA670" s="191"/>
      <c r="AB670" s="191"/>
      <c r="AC670" s="190"/>
      <c r="AD670" s="190"/>
      <c r="AE670" s="190"/>
      <c r="AF670" s="190"/>
      <c r="AG670" s="190"/>
      <c r="AH670" s="190"/>
      <c r="AI670" s="190"/>
      <c r="AJ670" s="190"/>
      <c r="AK670" s="190"/>
      <c r="AL670" s="190"/>
      <c r="AM670" s="190"/>
    </row>
    <row r="671" spans="2:39">
      <c r="B671" s="162"/>
      <c r="C671" s="162"/>
      <c r="D671" s="191"/>
      <c r="E671" s="191"/>
      <c r="F671" s="191"/>
      <c r="G671" s="191"/>
      <c r="H671" s="191"/>
      <c r="I671" s="191"/>
      <c r="J671" s="191"/>
      <c r="K671" s="191"/>
      <c r="L671" s="191"/>
      <c r="M671" s="191"/>
      <c r="N671" s="191"/>
      <c r="O671" s="191"/>
      <c r="P671" s="191"/>
      <c r="Q671" s="191"/>
      <c r="R671" s="191"/>
      <c r="S671" s="191"/>
      <c r="T671" s="191"/>
      <c r="U671" s="191"/>
      <c r="V671" s="191"/>
      <c r="W671" s="191"/>
      <c r="X671" s="191"/>
      <c r="Y671" s="191"/>
      <c r="Z671" s="191"/>
      <c r="AA671" s="191"/>
      <c r="AB671" s="191"/>
      <c r="AC671" s="190"/>
      <c r="AD671" s="190"/>
      <c r="AE671" s="190"/>
      <c r="AF671" s="190"/>
      <c r="AG671" s="190"/>
      <c r="AH671" s="190"/>
      <c r="AI671" s="190"/>
      <c r="AJ671" s="190"/>
      <c r="AK671" s="190"/>
      <c r="AL671" s="190"/>
      <c r="AM671" s="190"/>
    </row>
    <row r="672" spans="2:39">
      <c r="B672" s="162"/>
      <c r="C672" s="162"/>
      <c r="D672" s="191"/>
      <c r="E672" s="191"/>
      <c r="F672" s="191"/>
      <c r="G672" s="191"/>
      <c r="H672" s="191"/>
      <c r="I672" s="191"/>
      <c r="J672" s="191"/>
      <c r="K672" s="191"/>
      <c r="L672" s="191"/>
      <c r="M672" s="191"/>
      <c r="N672" s="191"/>
      <c r="O672" s="191"/>
      <c r="P672" s="191"/>
      <c r="Q672" s="191"/>
      <c r="R672" s="191"/>
      <c r="S672" s="191"/>
      <c r="T672" s="191"/>
      <c r="U672" s="191"/>
      <c r="V672" s="191"/>
      <c r="W672" s="191"/>
      <c r="X672" s="191"/>
      <c r="Y672" s="191"/>
      <c r="Z672" s="191"/>
      <c r="AA672" s="191"/>
      <c r="AB672" s="191"/>
      <c r="AC672" s="190"/>
      <c r="AD672" s="190"/>
      <c r="AE672" s="190"/>
      <c r="AF672" s="190"/>
      <c r="AG672" s="190"/>
      <c r="AH672" s="190"/>
      <c r="AI672" s="190"/>
      <c r="AJ672" s="190"/>
      <c r="AK672" s="190"/>
      <c r="AL672" s="190"/>
      <c r="AM672" s="190"/>
    </row>
    <row r="673" spans="2:39">
      <c r="B673" s="162"/>
      <c r="C673" s="162"/>
      <c r="D673" s="191"/>
      <c r="E673" s="191"/>
      <c r="F673" s="191"/>
      <c r="G673" s="191"/>
      <c r="H673" s="191"/>
      <c r="I673" s="191"/>
      <c r="J673" s="191"/>
      <c r="K673" s="191"/>
      <c r="L673" s="191"/>
      <c r="M673" s="191"/>
      <c r="N673" s="191"/>
      <c r="O673" s="191"/>
      <c r="P673" s="191"/>
      <c r="Q673" s="191"/>
      <c r="R673" s="191"/>
      <c r="S673" s="191"/>
      <c r="T673" s="191"/>
      <c r="U673" s="191"/>
      <c r="V673" s="191"/>
      <c r="W673" s="191"/>
      <c r="X673" s="191"/>
      <c r="Y673" s="191"/>
      <c r="Z673" s="191"/>
      <c r="AA673" s="191"/>
      <c r="AB673" s="191"/>
      <c r="AC673" s="190"/>
      <c r="AD673" s="190"/>
      <c r="AE673" s="190"/>
      <c r="AF673" s="190"/>
      <c r="AG673" s="190"/>
      <c r="AH673" s="190"/>
      <c r="AI673" s="190"/>
      <c r="AJ673" s="190"/>
      <c r="AK673" s="190"/>
      <c r="AL673" s="190"/>
      <c r="AM673" s="190"/>
    </row>
    <row r="674" spans="2:39">
      <c r="B674" s="162"/>
      <c r="C674" s="162"/>
      <c r="D674" s="191"/>
      <c r="E674" s="191"/>
      <c r="F674" s="191"/>
      <c r="G674" s="191"/>
      <c r="H674" s="191"/>
      <c r="I674" s="191"/>
      <c r="J674" s="191"/>
      <c r="K674" s="191"/>
      <c r="L674" s="191"/>
      <c r="M674" s="191"/>
      <c r="N674" s="191"/>
      <c r="O674" s="191"/>
      <c r="P674" s="191"/>
      <c r="Q674" s="191"/>
      <c r="R674" s="191"/>
      <c r="S674" s="191"/>
      <c r="T674" s="191"/>
      <c r="U674" s="191"/>
      <c r="V674" s="191"/>
      <c r="W674" s="191"/>
      <c r="X674" s="191"/>
      <c r="Y674" s="191"/>
      <c r="Z674" s="191"/>
      <c r="AA674" s="191"/>
      <c r="AB674" s="191"/>
      <c r="AC674" s="190"/>
      <c r="AD674" s="190"/>
      <c r="AE674" s="190"/>
      <c r="AF674" s="190"/>
      <c r="AG674" s="190"/>
      <c r="AH674" s="190"/>
      <c r="AI674" s="190"/>
      <c r="AJ674" s="190"/>
      <c r="AK674" s="190"/>
      <c r="AL674" s="190"/>
      <c r="AM674" s="190"/>
    </row>
    <row r="675" spans="2:39">
      <c r="B675" s="162"/>
      <c r="C675" s="162"/>
      <c r="D675" s="191"/>
      <c r="E675" s="191"/>
      <c r="F675" s="191"/>
      <c r="G675" s="191"/>
      <c r="H675" s="191"/>
      <c r="I675" s="191"/>
      <c r="J675" s="191"/>
      <c r="K675" s="191"/>
      <c r="L675" s="191"/>
      <c r="M675" s="191"/>
      <c r="N675" s="191"/>
      <c r="O675" s="191"/>
      <c r="P675" s="191"/>
      <c r="Q675" s="191"/>
      <c r="R675" s="191"/>
      <c r="S675" s="191"/>
      <c r="T675" s="191"/>
      <c r="U675" s="191"/>
      <c r="V675" s="191"/>
      <c r="W675" s="191"/>
      <c r="X675" s="191"/>
      <c r="Y675" s="191"/>
      <c r="Z675" s="191"/>
      <c r="AA675" s="191"/>
      <c r="AB675" s="191"/>
      <c r="AC675" s="190"/>
      <c r="AD675" s="190"/>
      <c r="AE675" s="190"/>
      <c r="AF675" s="190"/>
      <c r="AG675" s="190"/>
      <c r="AH675" s="190"/>
      <c r="AI675" s="190"/>
      <c r="AJ675" s="190"/>
      <c r="AK675" s="190"/>
      <c r="AL675" s="190"/>
      <c r="AM675" s="190"/>
    </row>
    <row r="676" spans="2:39">
      <c r="B676" s="162"/>
      <c r="C676" s="162"/>
      <c r="D676" s="191"/>
      <c r="E676" s="191"/>
      <c r="F676" s="191"/>
      <c r="G676" s="191"/>
      <c r="H676" s="191"/>
      <c r="I676" s="191"/>
      <c r="J676" s="191"/>
      <c r="K676" s="191"/>
      <c r="L676" s="191"/>
      <c r="M676" s="191"/>
      <c r="N676" s="191"/>
      <c r="O676" s="191"/>
      <c r="P676" s="191"/>
      <c r="Q676" s="191"/>
      <c r="R676" s="191"/>
      <c r="S676" s="191"/>
      <c r="T676" s="191"/>
      <c r="U676" s="191"/>
      <c r="V676" s="191"/>
      <c r="W676" s="191"/>
      <c r="X676" s="191"/>
      <c r="Y676" s="191"/>
      <c r="Z676" s="191"/>
      <c r="AA676" s="191"/>
      <c r="AB676" s="191"/>
      <c r="AC676" s="190"/>
      <c r="AD676" s="190"/>
      <c r="AE676" s="190"/>
      <c r="AF676" s="190"/>
      <c r="AG676" s="190"/>
      <c r="AH676" s="190"/>
      <c r="AI676" s="190"/>
      <c r="AJ676" s="190"/>
      <c r="AK676" s="190"/>
      <c r="AL676" s="190"/>
      <c r="AM676" s="190"/>
    </row>
    <row r="677" spans="2:39">
      <c r="B677" s="162"/>
      <c r="C677" s="162"/>
      <c r="D677" s="191"/>
      <c r="E677" s="191"/>
      <c r="F677" s="191"/>
      <c r="G677" s="191"/>
      <c r="H677" s="191"/>
      <c r="I677" s="191"/>
      <c r="J677" s="191"/>
      <c r="K677" s="191"/>
      <c r="L677" s="191"/>
      <c r="M677" s="191"/>
      <c r="N677" s="191"/>
      <c r="O677" s="191"/>
      <c r="P677" s="191"/>
      <c r="Q677" s="191"/>
      <c r="R677" s="191"/>
      <c r="S677" s="191"/>
      <c r="T677" s="191"/>
      <c r="U677" s="191"/>
      <c r="V677" s="191"/>
      <c r="W677" s="191"/>
      <c r="X677" s="191"/>
      <c r="Y677" s="191"/>
      <c r="Z677" s="191"/>
      <c r="AA677" s="191"/>
      <c r="AB677" s="191"/>
      <c r="AC677" s="190"/>
      <c r="AD677" s="190"/>
      <c r="AE677" s="190"/>
      <c r="AF677" s="190"/>
      <c r="AG677" s="190"/>
      <c r="AH677" s="190"/>
      <c r="AI677" s="190"/>
      <c r="AJ677" s="190"/>
      <c r="AK677" s="190"/>
      <c r="AL677" s="190"/>
      <c r="AM677" s="190"/>
    </row>
    <row r="678" spans="2:39">
      <c r="B678" s="162"/>
      <c r="C678" s="162"/>
      <c r="D678" s="191"/>
      <c r="E678" s="191"/>
      <c r="F678" s="191"/>
      <c r="G678" s="191"/>
      <c r="H678" s="191"/>
      <c r="I678" s="191"/>
      <c r="J678" s="191"/>
      <c r="K678" s="191"/>
      <c r="L678" s="191"/>
      <c r="M678" s="191"/>
      <c r="N678" s="191"/>
      <c r="O678" s="191"/>
      <c r="P678" s="191"/>
      <c r="Q678" s="191"/>
      <c r="R678" s="191"/>
      <c r="S678" s="191"/>
      <c r="T678" s="191"/>
      <c r="U678" s="191"/>
      <c r="V678" s="191"/>
      <c r="W678" s="191"/>
      <c r="X678" s="191"/>
      <c r="Y678" s="191"/>
      <c r="Z678" s="191"/>
      <c r="AA678" s="191"/>
      <c r="AB678" s="191"/>
      <c r="AC678" s="190"/>
      <c r="AD678" s="190"/>
      <c r="AE678" s="190"/>
      <c r="AF678" s="190"/>
      <c r="AG678" s="190"/>
      <c r="AH678" s="190"/>
      <c r="AI678" s="190"/>
      <c r="AJ678" s="190"/>
      <c r="AK678" s="190"/>
      <c r="AL678" s="190"/>
      <c r="AM678" s="190"/>
    </row>
    <row r="679" spans="2:39">
      <c r="B679" s="162"/>
      <c r="C679" s="162"/>
      <c r="D679" s="191"/>
      <c r="E679" s="191"/>
      <c r="F679" s="191"/>
      <c r="G679" s="191"/>
      <c r="H679" s="191"/>
      <c r="I679" s="191"/>
      <c r="J679" s="191"/>
      <c r="K679" s="191"/>
      <c r="L679" s="191"/>
      <c r="M679" s="191"/>
      <c r="N679" s="191"/>
      <c r="O679" s="191"/>
      <c r="P679" s="191"/>
      <c r="Q679" s="191"/>
      <c r="R679" s="191"/>
      <c r="S679" s="191"/>
      <c r="T679" s="191"/>
      <c r="U679" s="191"/>
      <c r="V679" s="191"/>
      <c r="W679" s="191"/>
      <c r="X679" s="191"/>
      <c r="Y679" s="191"/>
      <c r="Z679" s="191"/>
      <c r="AA679" s="191"/>
      <c r="AB679" s="191"/>
      <c r="AC679" s="190"/>
      <c r="AD679" s="190"/>
      <c r="AE679" s="190"/>
      <c r="AF679" s="190"/>
      <c r="AG679" s="190"/>
      <c r="AH679" s="190"/>
      <c r="AI679" s="190"/>
      <c r="AJ679" s="190"/>
      <c r="AK679" s="190"/>
      <c r="AL679" s="190"/>
      <c r="AM679" s="190"/>
    </row>
    <row r="680" spans="2:39">
      <c r="B680" s="162"/>
      <c r="C680" s="162"/>
      <c r="D680" s="191"/>
      <c r="E680" s="191"/>
      <c r="F680" s="191"/>
      <c r="G680" s="191"/>
      <c r="H680" s="191"/>
      <c r="I680" s="191"/>
      <c r="J680" s="191"/>
      <c r="K680" s="191"/>
      <c r="L680" s="191"/>
      <c r="M680" s="191"/>
      <c r="N680" s="191"/>
      <c r="O680" s="191"/>
      <c r="P680" s="191"/>
      <c r="Q680" s="191"/>
      <c r="R680" s="191"/>
      <c r="S680" s="191"/>
      <c r="T680" s="191"/>
      <c r="U680" s="191"/>
      <c r="V680" s="191"/>
      <c r="W680" s="191"/>
      <c r="X680" s="191"/>
      <c r="Y680" s="191"/>
      <c r="Z680" s="191"/>
      <c r="AA680" s="191"/>
      <c r="AB680" s="191"/>
      <c r="AC680" s="190"/>
      <c r="AD680" s="190"/>
      <c r="AE680" s="190"/>
      <c r="AF680" s="190"/>
      <c r="AG680" s="190"/>
      <c r="AH680" s="190"/>
      <c r="AI680" s="190"/>
      <c r="AJ680" s="190"/>
      <c r="AK680" s="190"/>
      <c r="AL680" s="190"/>
      <c r="AM680" s="190"/>
    </row>
    <row r="681" spans="2:39">
      <c r="B681" s="162"/>
      <c r="C681" s="162"/>
      <c r="D681" s="191"/>
      <c r="E681" s="191"/>
      <c r="F681" s="191"/>
      <c r="G681" s="191"/>
      <c r="H681" s="191"/>
      <c r="I681" s="191"/>
      <c r="J681" s="191"/>
      <c r="K681" s="191"/>
      <c r="L681" s="191"/>
      <c r="M681" s="191"/>
      <c r="N681" s="191"/>
      <c r="O681" s="191"/>
      <c r="P681" s="191"/>
      <c r="Q681" s="191"/>
      <c r="R681" s="191"/>
      <c r="S681" s="191"/>
      <c r="T681" s="191"/>
      <c r="U681" s="191"/>
      <c r="V681" s="191"/>
      <c r="W681" s="191"/>
      <c r="X681" s="191"/>
      <c r="Y681" s="191"/>
      <c r="Z681" s="191"/>
      <c r="AA681" s="191"/>
      <c r="AB681" s="191"/>
      <c r="AC681" s="190"/>
      <c r="AD681" s="190"/>
      <c r="AE681" s="190"/>
      <c r="AF681" s="190"/>
      <c r="AG681" s="190"/>
      <c r="AH681" s="190"/>
      <c r="AI681" s="190"/>
      <c r="AJ681" s="190"/>
      <c r="AK681" s="190"/>
      <c r="AL681" s="190"/>
      <c r="AM681" s="190"/>
    </row>
    <row r="682" spans="2:39">
      <c r="B682" s="162"/>
      <c r="C682" s="162"/>
      <c r="D682" s="191"/>
      <c r="E682" s="191"/>
      <c r="F682" s="191"/>
      <c r="G682" s="191"/>
      <c r="H682" s="191"/>
      <c r="I682" s="191"/>
      <c r="J682" s="191"/>
      <c r="K682" s="191"/>
      <c r="L682" s="191"/>
      <c r="M682" s="191"/>
      <c r="N682" s="191"/>
      <c r="O682" s="191"/>
      <c r="P682" s="191"/>
      <c r="Q682" s="191"/>
      <c r="R682" s="191"/>
      <c r="S682" s="191"/>
      <c r="T682" s="191"/>
      <c r="U682" s="191"/>
      <c r="V682" s="191"/>
      <c r="W682" s="191"/>
      <c r="X682" s="191"/>
      <c r="Y682" s="191"/>
      <c r="Z682" s="191"/>
      <c r="AA682" s="191"/>
      <c r="AB682" s="191"/>
      <c r="AC682" s="190"/>
      <c r="AD682" s="190"/>
      <c r="AE682" s="190"/>
      <c r="AF682" s="190"/>
      <c r="AG682" s="190"/>
      <c r="AH682" s="190"/>
      <c r="AI682" s="190"/>
      <c r="AJ682" s="190"/>
      <c r="AK682" s="190"/>
      <c r="AL682" s="190"/>
      <c r="AM682" s="190"/>
    </row>
    <row r="683" spans="2:39">
      <c r="B683" s="162"/>
      <c r="C683" s="162"/>
      <c r="D683" s="191"/>
      <c r="E683" s="191"/>
      <c r="F683" s="191"/>
      <c r="G683" s="191"/>
      <c r="H683" s="191"/>
      <c r="I683" s="191"/>
      <c r="J683" s="191"/>
      <c r="K683" s="191"/>
      <c r="L683" s="191"/>
      <c r="M683" s="191"/>
      <c r="N683" s="191"/>
      <c r="O683" s="191"/>
      <c r="P683" s="191"/>
      <c r="Q683" s="191"/>
      <c r="R683" s="191"/>
      <c r="S683" s="191"/>
      <c r="T683" s="191"/>
      <c r="U683" s="191"/>
      <c r="V683" s="191"/>
      <c r="W683" s="191"/>
      <c r="X683" s="191"/>
      <c r="Y683" s="191"/>
      <c r="Z683" s="191"/>
      <c r="AA683" s="191"/>
      <c r="AB683" s="191"/>
      <c r="AC683" s="190"/>
      <c r="AD683" s="190"/>
      <c r="AE683" s="190"/>
      <c r="AF683" s="190"/>
      <c r="AG683" s="190"/>
      <c r="AH683" s="190"/>
      <c r="AI683" s="190"/>
      <c r="AJ683" s="190"/>
      <c r="AK683" s="190"/>
      <c r="AL683" s="190"/>
      <c r="AM683" s="190"/>
    </row>
    <row r="684" spans="2:39">
      <c r="B684" s="162"/>
      <c r="C684" s="162"/>
      <c r="D684" s="191"/>
      <c r="E684" s="191"/>
      <c r="F684" s="191"/>
      <c r="G684" s="191"/>
      <c r="H684" s="191"/>
      <c r="I684" s="191"/>
      <c r="J684" s="191"/>
      <c r="K684" s="191"/>
      <c r="L684" s="191"/>
      <c r="M684" s="191"/>
      <c r="N684" s="191"/>
      <c r="O684" s="191"/>
      <c r="P684" s="191"/>
      <c r="Q684" s="191"/>
      <c r="R684" s="191"/>
      <c r="S684" s="191"/>
      <c r="T684" s="191"/>
      <c r="U684" s="191"/>
      <c r="V684" s="191"/>
      <c r="W684" s="191"/>
      <c r="X684" s="191"/>
      <c r="Y684" s="191"/>
      <c r="Z684" s="191"/>
      <c r="AA684" s="191"/>
      <c r="AB684" s="191"/>
      <c r="AC684" s="190"/>
      <c r="AD684" s="190"/>
      <c r="AE684" s="190"/>
      <c r="AF684" s="190"/>
      <c r="AG684" s="190"/>
      <c r="AH684" s="190"/>
      <c r="AI684" s="190"/>
      <c r="AJ684" s="190"/>
      <c r="AK684" s="190"/>
      <c r="AL684" s="190"/>
      <c r="AM684" s="190"/>
    </row>
    <row r="685" spans="2:39">
      <c r="B685" s="162"/>
      <c r="C685" s="162"/>
      <c r="D685" s="191"/>
      <c r="E685" s="191"/>
      <c r="F685" s="191"/>
      <c r="G685" s="191"/>
      <c r="H685" s="191"/>
      <c r="I685" s="191"/>
      <c r="J685" s="191"/>
      <c r="K685" s="191"/>
      <c r="L685" s="191"/>
      <c r="M685" s="191"/>
      <c r="N685" s="191"/>
      <c r="O685" s="191"/>
      <c r="P685" s="191"/>
      <c r="Q685" s="191"/>
      <c r="R685" s="191"/>
      <c r="S685" s="191"/>
      <c r="T685" s="191"/>
      <c r="U685" s="191"/>
      <c r="V685" s="191"/>
      <c r="W685" s="191"/>
      <c r="X685" s="191"/>
      <c r="Y685" s="191"/>
      <c r="Z685" s="191"/>
      <c r="AA685" s="191"/>
      <c r="AB685" s="191"/>
      <c r="AC685" s="190"/>
      <c r="AD685" s="190"/>
      <c r="AE685" s="190"/>
      <c r="AF685" s="190"/>
      <c r="AG685" s="190"/>
      <c r="AH685" s="190"/>
      <c r="AI685" s="190"/>
      <c r="AJ685" s="190"/>
      <c r="AK685" s="190"/>
      <c r="AL685" s="190"/>
      <c r="AM685" s="190"/>
    </row>
    <row r="686" spans="2:39">
      <c r="B686" s="162"/>
      <c r="C686" s="162"/>
      <c r="D686" s="191"/>
      <c r="E686" s="191"/>
      <c r="F686" s="191"/>
      <c r="G686" s="191"/>
      <c r="H686" s="191"/>
      <c r="I686" s="191"/>
      <c r="J686" s="191"/>
      <c r="K686" s="191"/>
      <c r="L686" s="191"/>
      <c r="M686" s="191"/>
      <c r="N686" s="191"/>
      <c r="O686" s="191"/>
      <c r="P686" s="191"/>
      <c r="Q686" s="191"/>
      <c r="R686" s="191"/>
      <c r="S686" s="191"/>
      <c r="T686" s="191"/>
      <c r="U686" s="191"/>
      <c r="V686" s="191"/>
      <c r="W686" s="191"/>
      <c r="X686" s="191"/>
      <c r="Y686" s="191"/>
      <c r="Z686" s="191"/>
      <c r="AA686" s="191"/>
      <c r="AB686" s="191"/>
      <c r="AC686" s="190"/>
      <c r="AD686" s="190"/>
      <c r="AE686" s="190"/>
      <c r="AF686" s="190"/>
      <c r="AG686" s="190"/>
      <c r="AH686" s="190"/>
      <c r="AI686" s="190"/>
      <c r="AJ686" s="190"/>
      <c r="AK686" s="190"/>
      <c r="AL686" s="190"/>
      <c r="AM686" s="190"/>
    </row>
    <row r="687" spans="2:39">
      <c r="B687" s="162"/>
      <c r="C687" s="162"/>
      <c r="D687" s="191"/>
      <c r="E687" s="191"/>
      <c r="F687" s="191"/>
      <c r="G687" s="191"/>
      <c r="H687" s="191"/>
      <c r="I687" s="191"/>
      <c r="J687" s="191"/>
      <c r="K687" s="191"/>
      <c r="L687" s="191"/>
      <c r="M687" s="191"/>
      <c r="N687" s="191"/>
      <c r="O687" s="191"/>
      <c r="P687" s="191"/>
      <c r="Q687" s="191"/>
      <c r="R687" s="191"/>
      <c r="S687" s="191"/>
      <c r="T687" s="191"/>
      <c r="U687" s="191"/>
      <c r="V687" s="191"/>
      <c r="W687" s="191"/>
      <c r="X687" s="191"/>
      <c r="Y687" s="191"/>
      <c r="Z687" s="191"/>
      <c r="AA687" s="191"/>
      <c r="AB687" s="191"/>
      <c r="AC687" s="190"/>
      <c r="AD687" s="190"/>
      <c r="AE687" s="190"/>
      <c r="AF687" s="190"/>
      <c r="AG687" s="190"/>
      <c r="AH687" s="190"/>
      <c r="AI687" s="190"/>
      <c r="AJ687" s="190"/>
      <c r="AK687" s="190"/>
      <c r="AL687" s="190"/>
      <c r="AM687" s="190"/>
    </row>
    <row r="688" spans="2:39">
      <c r="B688" s="162"/>
      <c r="C688" s="162"/>
      <c r="D688" s="191"/>
      <c r="E688" s="191"/>
      <c r="F688" s="191"/>
      <c r="G688" s="191"/>
      <c r="H688" s="191"/>
      <c r="I688" s="191"/>
      <c r="J688" s="191"/>
      <c r="K688" s="191"/>
      <c r="L688" s="191"/>
      <c r="M688" s="191"/>
      <c r="N688" s="191"/>
      <c r="O688" s="191"/>
      <c r="P688" s="191"/>
      <c r="Q688" s="191"/>
      <c r="R688" s="191"/>
      <c r="S688" s="191"/>
      <c r="T688" s="191"/>
      <c r="U688" s="191"/>
      <c r="V688" s="191"/>
      <c r="W688" s="191"/>
      <c r="X688" s="191"/>
      <c r="Y688" s="191"/>
      <c r="Z688" s="191"/>
      <c r="AA688" s="191"/>
      <c r="AB688" s="191"/>
      <c r="AC688" s="190"/>
      <c r="AD688" s="190"/>
      <c r="AE688" s="190"/>
      <c r="AF688" s="190"/>
      <c r="AG688" s="190"/>
      <c r="AH688" s="190"/>
      <c r="AI688" s="190"/>
      <c r="AJ688" s="190"/>
      <c r="AK688" s="190"/>
      <c r="AL688" s="190"/>
      <c r="AM688" s="190"/>
    </row>
    <row r="689" spans="2:39">
      <c r="B689" s="162"/>
      <c r="C689" s="162"/>
      <c r="D689" s="191"/>
      <c r="E689" s="191"/>
      <c r="F689" s="191"/>
      <c r="G689" s="191"/>
      <c r="H689" s="191"/>
      <c r="I689" s="191"/>
      <c r="J689" s="191"/>
      <c r="K689" s="191"/>
      <c r="L689" s="191"/>
      <c r="M689" s="191"/>
      <c r="N689" s="191"/>
      <c r="O689" s="191"/>
      <c r="P689" s="191"/>
      <c r="Q689" s="191"/>
      <c r="R689" s="191"/>
      <c r="S689" s="191"/>
      <c r="T689" s="191"/>
      <c r="U689" s="191"/>
      <c r="V689" s="191"/>
      <c r="W689" s="191"/>
      <c r="X689" s="191"/>
      <c r="Y689" s="191"/>
      <c r="Z689" s="191"/>
      <c r="AA689" s="191"/>
      <c r="AB689" s="191"/>
      <c r="AC689" s="190"/>
      <c r="AD689" s="190"/>
      <c r="AE689" s="190"/>
      <c r="AF689" s="190"/>
      <c r="AG689" s="190"/>
      <c r="AH689" s="190"/>
      <c r="AI689" s="190"/>
      <c r="AJ689" s="190"/>
      <c r="AK689" s="190"/>
      <c r="AL689" s="190"/>
      <c r="AM689" s="190"/>
    </row>
    <row r="690" spans="2:39">
      <c r="B690" s="162"/>
      <c r="C690" s="162"/>
      <c r="D690" s="191"/>
      <c r="E690" s="191"/>
      <c r="F690" s="191"/>
      <c r="G690" s="191"/>
      <c r="H690" s="191"/>
      <c r="I690" s="191"/>
      <c r="J690" s="191"/>
      <c r="K690" s="191"/>
      <c r="L690" s="191"/>
      <c r="M690" s="191"/>
      <c r="N690" s="191"/>
      <c r="O690" s="191"/>
      <c r="P690" s="191"/>
      <c r="Q690" s="191"/>
      <c r="R690" s="191"/>
      <c r="S690" s="191"/>
      <c r="T690" s="191"/>
      <c r="U690" s="191"/>
      <c r="V690" s="191"/>
      <c r="W690" s="191"/>
      <c r="X690" s="191"/>
      <c r="Y690" s="191"/>
      <c r="Z690" s="191"/>
      <c r="AA690" s="191"/>
      <c r="AB690" s="191"/>
      <c r="AC690" s="190"/>
      <c r="AD690" s="190"/>
      <c r="AE690" s="190"/>
      <c r="AF690" s="190"/>
      <c r="AG690" s="190"/>
      <c r="AH690" s="190"/>
      <c r="AI690" s="190"/>
      <c r="AJ690" s="190"/>
      <c r="AK690" s="190"/>
      <c r="AL690" s="190"/>
      <c r="AM690" s="190"/>
    </row>
    <row r="691" spans="2:39">
      <c r="B691" s="162"/>
      <c r="C691" s="162"/>
      <c r="D691" s="191"/>
      <c r="E691" s="191"/>
      <c r="F691" s="191"/>
      <c r="G691" s="191"/>
      <c r="H691" s="191"/>
      <c r="I691" s="191"/>
      <c r="J691" s="191"/>
      <c r="K691" s="191"/>
      <c r="L691" s="191"/>
      <c r="M691" s="191"/>
      <c r="N691" s="191"/>
      <c r="O691" s="191"/>
      <c r="P691" s="191"/>
      <c r="Q691" s="191"/>
      <c r="R691" s="191"/>
      <c r="S691" s="191"/>
      <c r="T691" s="191"/>
      <c r="U691" s="191"/>
      <c r="V691" s="191"/>
      <c r="W691" s="191"/>
      <c r="X691" s="191"/>
      <c r="Y691" s="191"/>
      <c r="Z691" s="191"/>
      <c r="AA691" s="191"/>
      <c r="AB691" s="191"/>
      <c r="AC691" s="190"/>
      <c r="AD691" s="190"/>
      <c r="AE691" s="190"/>
      <c r="AF691" s="190"/>
      <c r="AG691" s="190"/>
      <c r="AH691" s="190"/>
      <c r="AI691" s="190"/>
      <c r="AJ691" s="190"/>
      <c r="AK691" s="190"/>
      <c r="AL691" s="190"/>
      <c r="AM691" s="190"/>
    </row>
    <row r="692" spans="2:39">
      <c r="B692" s="162"/>
      <c r="C692" s="162"/>
      <c r="D692" s="191"/>
      <c r="E692" s="191"/>
      <c r="F692" s="191"/>
      <c r="G692" s="191"/>
      <c r="H692" s="191"/>
      <c r="I692" s="191"/>
      <c r="J692" s="191"/>
      <c r="K692" s="191"/>
      <c r="L692" s="191"/>
      <c r="M692" s="191"/>
      <c r="N692" s="191"/>
      <c r="O692" s="191"/>
      <c r="P692" s="191"/>
      <c r="Q692" s="191"/>
      <c r="R692" s="191"/>
      <c r="S692" s="191"/>
      <c r="T692" s="191"/>
      <c r="U692" s="191"/>
      <c r="V692" s="191"/>
      <c r="W692" s="191"/>
      <c r="X692" s="191"/>
      <c r="Y692" s="191"/>
      <c r="Z692" s="191"/>
      <c r="AA692" s="191"/>
      <c r="AB692" s="191"/>
      <c r="AC692" s="190"/>
      <c r="AD692" s="190"/>
      <c r="AE692" s="190"/>
      <c r="AF692" s="190"/>
      <c r="AG692" s="190"/>
      <c r="AH692" s="190"/>
      <c r="AI692" s="190"/>
      <c r="AJ692" s="190"/>
      <c r="AK692" s="190"/>
      <c r="AL692" s="190"/>
      <c r="AM692" s="190"/>
    </row>
    <row r="693" spans="2:39">
      <c r="B693" s="162"/>
      <c r="C693" s="162"/>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c r="AA693" s="191"/>
      <c r="AB693" s="191"/>
      <c r="AC693" s="190"/>
      <c r="AD693" s="190"/>
      <c r="AE693" s="190"/>
      <c r="AF693" s="190"/>
      <c r="AG693" s="190"/>
      <c r="AH693" s="190"/>
      <c r="AI693" s="190"/>
      <c r="AJ693" s="190"/>
      <c r="AK693" s="190"/>
      <c r="AL693" s="190"/>
      <c r="AM693" s="190"/>
    </row>
    <row r="694" spans="2:39">
      <c r="B694" s="162"/>
      <c r="C694" s="162"/>
      <c r="D694" s="191"/>
      <c r="E694" s="191"/>
      <c r="F694" s="191"/>
      <c r="G694" s="191"/>
      <c r="H694" s="191"/>
      <c r="I694" s="191"/>
      <c r="J694" s="191"/>
      <c r="K694" s="191"/>
      <c r="L694" s="191"/>
      <c r="M694" s="191"/>
      <c r="N694" s="191"/>
      <c r="O694" s="191"/>
      <c r="P694" s="191"/>
      <c r="Q694" s="191"/>
      <c r="R694" s="191"/>
      <c r="S694" s="191"/>
      <c r="T694" s="191"/>
      <c r="U694" s="191"/>
      <c r="V694" s="191"/>
      <c r="W694" s="191"/>
      <c r="X694" s="191"/>
      <c r="Y694" s="191"/>
      <c r="Z694" s="191"/>
      <c r="AA694" s="191"/>
      <c r="AB694" s="191"/>
      <c r="AC694" s="190"/>
      <c r="AD694" s="190"/>
      <c r="AE694" s="190"/>
      <c r="AF694" s="190"/>
      <c r="AG694" s="190"/>
      <c r="AH694" s="190"/>
      <c r="AI694" s="190"/>
      <c r="AJ694" s="190"/>
      <c r="AK694" s="190"/>
      <c r="AL694" s="190"/>
      <c r="AM694" s="190"/>
    </row>
    <row r="695" spans="2:39">
      <c r="B695" s="162"/>
      <c r="C695" s="162"/>
      <c r="D695" s="191"/>
      <c r="E695" s="191"/>
      <c r="F695" s="191"/>
      <c r="G695" s="191"/>
      <c r="H695" s="191"/>
      <c r="I695" s="191"/>
      <c r="J695" s="191"/>
      <c r="K695" s="191"/>
      <c r="L695" s="191"/>
      <c r="M695" s="191"/>
      <c r="N695" s="191"/>
      <c r="O695" s="191"/>
      <c r="P695" s="191"/>
      <c r="Q695" s="191"/>
      <c r="R695" s="191"/>
      <c r="S695" s="191"/>
      <c r="T695" s="191"/>
      <c r="U695" s="191"/>
      <c r="V695" s="191"/>
      <c r="W695" s="191"/>
      <c r="X695" s="191"/>
      <c r="Y695" s="191"/>
      <c r="Z695" s="191"/>
      <c r="AA695" s="191"/>
      <c r="AB695" s="191"/>
      <c r="AC695" s="190"/>
      <c r="AD695" s="190"/>
      <c r="AE695" s="190"/>
      <c r="AF695" s="190"/>
      <c r="AG695" s="190"/>
      <c r="AH695" s="190"/>
      <c r="AI695" s="190"/>
      <c r="AJ695" s="190"/>
      <c r="AK695" s="190"/>
      <c r="AL695" s="190"/>
      <c r="AM695" s="190"/>
    </row>
    <row r="696" spans="2:39">
      <c r="B696" s="162"/>
      <c r="C696" s="162"/>
      <c r="D696" s="191"/>
      <c r="E696" s="191"/>
      <c r="F696" s="191"/>
      <c r="G696" s="191"/>
      <c r="H696" s="191"/>
      <c r="I696" s="191"/>
      <c r="J696" s="191"/>
      <c r="K696" s="191"/>
      <c r="L696" s="191"/>
      <c r="M696" s="191"/>
      <c r="N696" s="191"/>
      <c r="O696" s="191"/>
      <c r="P696" s="191"/>
      <c r="Q696" s="191"/>
      <c r="R696" s="191"/>
      <c r="S696" s="191"/>
      <c r="T696" s="191"/>
      <c r="U696" s="191"/>
      <c r="V696" s="191"/>
      <c r="W696" s="191"/>
      <c r="X696" s="191"/>
      <c r="Y696" s="191"/>
      <c r="Z696" s="191"/>
      <c r="AA696" s="191"/>
      <c r="AB696" s="191"/>
      <c r="AC696" s="190"/>
      <c r="AD696" s="190"/>
      <c r="AE696" s="190"/>
      <c r="AF696" s="190"/>
      <c r="AG696" s="190"/>
      <c r="AH696" s="190"/>
      <c r="AI696" s="190"/>
      <c r="AJ696" s="190"/>
      <c r="AK696" s="190"/>
      <c r="AL696" s="190"/>
      <c r="AM696" s="190"/>
    </row>
    <row r="697" spans="2:39">
      <c r="B697" s="162"/>
      <c r="C697" s="162"/>
      <c r="D697" s="191"/>
      <c r="E697" s="191"/>
      <c r="F697" s="191"/>
      <c r="G697" s="191"/>
      <c r="H697" s="191"/>
      <c r="I697" s="191"/>
      <c r="J697" s="191"/>
      <c r="K697" s="191"/>
      <c r="L697" s="191"/>
      <c r="M697" s="191"/>
      <c r="N697" s="191"/>
      <c r="O697" s="191"/>
      <c r="P697" s="191"/>
      <c r="Q697" s="191"/>
      <c r="R697" s="191"/>
      <c r="S697" s="191"/>
      <c r="T697" s="191"/>
      <c r="U697" s="191"/>
      <c r="V697" s="191"/>
      <c r="W697" s="191"/>
      <c r="X697" s="191"/>
      <c r="Y697" s="191"/>
      <c r="Z697" s="191"/>
      <c r="AA697" s="191"/>
      <c r="AB697" s="191"/>
      <c r="AC697" s="190"/>
      <c r="AD697" s="190"/>
      <c r="AE697" s="190"/>
      <c r="AF697" s="190"/>
      <c r="AG697" s="190"/>
      <c r="AH697" s="190"/>
      <c r="AI697" s="190"/>
      <c r="AJ697" s="190"/>
      <c r="AK697" s="190"/>
      <c r="AL697" s="190"/>
      <c r="AM697" s="190"/>
    </row>
    <row r="698" spans="2:39">
      <c r="B698" s="162"/>
      <c r="C698" s="162"/>
      <c r="D698" s="191"/>
      <c r="E698" s="191"/>
      <c r="F698" s="191"/>
      <c r="G698" s="191"/>
      <c r="H698" s="191"/>
      <c r="I698" s="191"/>
      <c r="J698" s="191"/>
      <c r="K698" s="191"/>
      <c r="L698" s="191"/>
      <c r="M698" s="191"/>
      <c r="N698" s="191"/>
      <c r="O698" s="191"/>
      <c r="P698" s="191"/>
      <c r="Q698" s="191"/>
      <c r="R698" s="191"/>
      <c r="S698" s="191"/>
      <c r="T698" s="191"/>
      <c r="U698" s="191"/>
      <c r="V698" s="191"/>
      <c r="W698" s="191"/>
      <c r="X698" s="191"/>
      <c r="Y698" s="191"/>
      <c r="Z698" s="191"/>
      <c r="AA698" s="191"/>
      <c r="AB698" s="191"/>
      <c r="AC698" s="190"/>
      <c r="AD698" s="190"/>
      <c r="AE698" s="190"/>
      <c r="AF698" s="190"/>
      <c r="AG698" s="190"/>
      <c r="AH698" s="190"/>
      <c r="AI698" s="190"/>
      <c r="AJ698" s="190"/>
      <c r="AK698" s="190"/>
      <c r="AL698" s="190"/>
      <c r="AM698" s="190"/>
    </row>
    <row r="699" spans="2:39">
      <c r="B699" s="162"/>
      <c r="C699" s="162"/>
      <c r="D699" s="191"/>
      <c r="E699" s="191"/>
      <c r="F699" s="191"/>
      <c r="G699" s="191"/>
      <c r="H699" s="191"/>
      <c r="I699" s="191"/>
      <c r="J699" s="191"/>
      <c r="K699" s="191"/>
      <c r="L699" s="191"/>
      <c r="M699" s="191"/>
      <c r="N699" s="191"/>
      <c r="O699" s="191"/>
      <c r="P699" s="191"/>
      <c r="Q699" s="191"/>
      <c r="R699" s="191"/>
      <c r="S699" s="191"/>
      <c r="T699" s="191"/>
      <c r="U699" s="191"/>
      <c r="V699" s="191"/>
      <c r="W699" s="191"/>
      <c r="X699" s="191"/>
      <c r="Y699" s="191"/>
      <c r="Z699" s="191"/>
      <c r="AA699" s="191"/>
      <c r="AB699" s="191"/>
      <c r="AC699" s="190"/>
      <c r="AD699" s="190"/>
      <c r="AE699" s="190"/>
      <c r="AF699" s="190"/>
      <c r="AG699" s="190"/>
      <c r="AH699" s="190"/>
      <c r="AI699" s="190"/>
      <c r="AJ699" s="190"/>
      <c r="AK699" s="190"/>
      <c r="AL699" s="190"/>
      <c r="AM699" s="190"/>
    </row>
    <row r="700" spans="2:39">
      <c r="B700" s="162"/>
      <c r="C700" s="162"/>
      <c r="D700" s="191"/>
      <c r="E700" s="191"/>
      <c r="F700" s="191"/>
      <c r="G700" s="191"/>
      <c r="H700" s="191"/>
      <c r="I700" s="191"/>
      <c r="J700" s="191"/>
      <c r="K700" s="191"/>
      <c r="L700" s="191"/>
      <c r="M700" s="191"/>
      <c r="N700" s="191"/>
      <c r="O700" s="191"/>
      <c r="P700" s="191"/>
      <c r="Q700" s="191"/>
      <c r="R700" s="191"/>
      <c r="S700" s="191"/>
      <c r="T700" s="191"/>
      <c r="U700" s="191"/>
      <c r="V700" s="191"/>
      <c r="W700" s="191"/>
      <c r="X700" s="191"/>
      <c r="Y700" s="191"/>
      <c r="Z700" s="191"/>
      <c r="AA700" s="191"/>
      <c r="AB700" s="191"/>
      <c r="AC700" s="190"/>
      <c r="AD700" s="190"/>
      <c r="AE700" s="190"/>
      <c r="AF700" s="190"/>
      <c r="AG700" s="190"/>
      <c r="AH700" s="190"/>
      <c r="AI700" s="190"/>
      <c r="AJ700" s="190"/>
      <c r="AK700" s="190"/>
      <c r="AL700" s="190"/>
      <c r="AM700" s="190"/>
    </row>
    <row r="701" spans="2:39">
      <c r="B701" s="162"/>
      <c r="C701" s="162"/>
      <c r="D701" s="191"/>
      <c r="E701" s="191"/>
      <c r="F701" s="191"/>
      <c r="G701" s="191"/>
      <c r="H701" s="191"/>
      <c r="I701" s="191"/>
      <c r="J701" s="191"/>
      <c r="K701" s="191"/>
      <c r="L701" s="191"/>
      <c r="M701" s="191"/>
      <c r="N701" s="191"/>
      <c r="O701" s="191"/>
      <c r="P701" s="191"/>
      <c r="Q701" s="191"/>
      <c r="R701" s="191"/>
      <c r="S701" s="191"/>
      <c r="T701" s="191"/>
      <c r="U701" s="191"/>
      <c r="V701" s="191"/>
      <c r="W701" s="191"/>
      <c r="X701" s="191"/>
      <c r="Y701" s="191"/>
      <c r="Z701" s="191"/>
      <c r="AA701" s="191"/>
      <c r="AB701" s="191"/>
      <c r="AC701" s="190"/>
      <c r="AD701" s="190"/>
      <c r="AE701" s="190"/>
      <c r="AF701" s="190"/>
      <c r="AG701" s="190"/>
      <c r="AH701" s="190"/>
      <c r="AI701" s="190"/>
      <c r="AJ701" s="190"/>
      <c r="AK701" s="190"/>
      <c r="AL701" s="190"/>
      <c r="AM701" s="190"/>
    </row>
    <row r="702" spans="2:39">
      <c r="B702" s="162"/>
      <c r="C702" s="162"/>
      <c r="D702" s="191"/>
      <c r="E702" s="191"/>
      <c r="F702" s="191"/>
      <c r="G702" s="191"/>
      <c r="H702" s="191"/>
      <c r="I702" s="191"/>
      <c r="J702" s="191"/>
      <c r="K702" s="191"/>
      <c r="L702" s="191"/>
      <c r="M702" s="191"/>
      <c r="N702" s="191"/>
      <c r="O702" s="191"/>
      <c r="P702" s="191"/>
      <c r="Q702" s="191"/>
      <c r="R702" s="191"/>
      <c r="S702" s="191"/>
      <c r="T702" s="191"/>
      <c r="U702" s="191"/>
      <c r="V702" s="191"/>
      <c r="W702" s="191"/>
      <c r="X702" s="191"/>
      <c r="Y702" s="191"/>
      <c r="Z702" s="191"/>
      <c r="AA702" s="191"/>
      <c r="AB702" s="191"/>
      <c r="AC702" s="190"/>
      <c r="AD702" s="190"/>
      <c r="AE702" s="190"/>
      <c r="AF702" s="190"/>
      <c r="AG702" s="190"/>
      <c r="AH702" s="190"/>
      <c r="AI702" s="190"/>
      <c r="AJ702" s="190"/>
      <c r="AK702" s="190"/>
      <c r="AL702" s="190"/>
      <c r="AM702" s="190"/>
    </row>
    <row r="703" spans="2:39">
      <c r="B703" s="162"/>
      <c r="C703" s="162"/>
      <c r="D703" s="191"/>
      <c r="E703" s="191"/>
      <c r="F703" s="191"/>
      <c r="G703" s="191"/>
      <c r="H703" s="191"/>
      <c r="I703" s="191"/>
      <c r="J703" s="191"/>
      <c r="K703" s="191"/>
      <c r="L703" s="191"/>
      <c r="M703" s="191"/>
      <c r="N703" s="191"/>
      <c r="O703" s="191"/>
      <c r="P703" s="191"/>
      <c r="Q703" s="191"/>
      <c r="R703" s="191"/>
      <c r="S703" s="191"/>
      <c r="T703" s="191"/>
      <c r="U703" s="191"/>
      <c r="V703" s="191"/>
      <c r="W703" s="191"/>
      <c r="X703" s="191"/>
      <c r="Y703" s="191"/>
      <c r="Z703" s="191"/>
      <c r="AA703" s="191"/>
      <c r="AB703" s="191"/>
      <c r="AC703" s="190"/>
      <c r="AD703" s="190"/>
      <c r="AE703" s="190"/>
      <c r="AF703" s="190"/>
      <c r="AG703" s="190"/>
      <c r="AH703" s="190"/>
      <c r="AI703" s="190"/>
      <c r="AJ703" s="190"/>
      <c r="AK703" s="190"/>
      <c r="AL703" s="190"/>
      <c r="AM703" s="190"/>
    </row>
    <row r="704" spans="2:39">
      <c r="B704" s="162"/>
      <c r="C704" s="162"/>
      <c r="D704" s="191"/>
      <c r="E704" s="191"/>
      <c r="F704" s="191"/>
      <c r="G704" s="191"/>
      <c r="H704" s="191"/>
      <c r="I704" s="191"/>
      <c r="J704" s="191"/>
      <c r="K704" s="191"/>
      <c r="L704" s="191"/>
      <c r="M704" s="191"/>
      <c r="N704" s="191"/>
      <c r="O704" s="191"/>
      <c r="P704" s="191"/>
      <c r="Q704" s="191"/>
      <c r="R704" s="191"/>
      <c r="S704" s="191"/>
      <c r="T704" s="191"/>
      <c r="U704" s="191"/>
      <c r="V704" s="191"/>
      <c r="W704" s="191"/>
      <c r="X704" s="191"/>
      <c r="Y704" s="191"/>
      <c r="Z704" s="191"/>
      <c r="AA704" s="191"/>
      <c r="AB704" s="191"/>
      <c r="AC704" s="190"/>
      <c r="AD704" s="190"/>
      <c r="AE704" s="190"/>
      <c r="AF704" s="190"/>
      <c r="AG704" s="190"/>
      <c r="AH704" s="190"/>
      <c r="AI704" s="190"/>
      <c r="AJ704" s="190"/>
      <c r="AK704" s="190"/>
      <c r="AL704" s="190"/>
      <c r="AM704" s="190"/>
    </row>
    <row r="705" spans="2:39">
      <c r="B705" s="162"/>
      <c r="C705" s="162"/>
      <c r="D705" s="191"/>
      <c r="E705" s="191"/>
      <c r="F705" s="191"/>
      <c r="G705" s="191"/>
      <c r="H705" s="191"/>
      <c r="I705" s="191"/>
      <c r="J705" s="191"/>
      <c r="K705" s="191"/>
      <c r="L705" s="191"/>
      <c r="M705" s="191"/>
      <c r="N705" s="191"/>
      <c r="O705" s="191"/>
      <c r="P705" s="191"/>
      <c r="Q705" s="191"/>
      <c r="R705" s="191"/>
      <c r="S705" s="191"/>
      <c r="T705" s="191"/>
      <c r="U705" s="191"/>
      <c r="V705" s="191"/>
      <c r="W705" s="191"/>
      <c r="X705" s="191"/>
      <c r="Y705" s="191"/>
      <c r="Z705" s="191"/>
      <c r="AA705" s="191"/>
      <c r="AB705" s="191"/>
      <c r="AC705" s="190"/>
      <c r="AD705" s="190"/>
      <c r="AE705" s="190"/>
      <c r="AF705" s="190"/>
      <c r="AG705" s="190"/>
      <c r="AH705" s="190"/>
      <c r="AI705" s="190"/>
      <c r="AJ705" s="190"/>
      <c r="AK705" s="190"/>
      <c r="AL705" s="190"/>
      <c r="AM705" s="190"/>
    </row>
    <row r="706" spans="2:39">
      <c r="B706" s="162"/>
      <c r="C706" s="162"/>
      <c r="D706" s="191"/>
      <c r="E706" s="191"/>
      <c r="F706" s="191"/>
      <c r="G706" s="191"/>
      <c r="H706" s="191"/>
      <c r="I706" s="191"/>
      <c r="J706" s="191"/>
      <c r="K706" s="191"/>
      <c r="L706" s="191"/>
      <c r="M706" s="191"/>
      <c r="N706" s="191"/>
      <c r="O706" s="191"/>
      <c r="P706" s="191"/>
      <c r="Q706" s="191"/>
      <c r="R706" s="191"/>
      <c r="S706" s="191"/>
      <c r="T706" s="191"/>
      <c r="U706" s="191"/>
      <c r="V706" s="191"/>
      <c r="W706" s="191"/>
      <c r="X706" s="191"/>
      <c r="Y706" s="191"/>
      <c r="Z706" s="191"/>
      <c r="AA706" s="191"/>
      <c r="AB706" s="191"/>
      <c r="AC706" s="190"/>
      <c r="AD706" s="190"/>
      <c r="AE706" s="190"/>
      <c r="AF706" s="190"/>
      <c r="AG706" s="190"/>
      <c r="AH706" s="190"/>
      <c r="AI706" s="190"/>
      <c r="AJ706" s="190"/>
      <c r="AK706" s="190"/>
      <c r="AL706" s="190"/>
      <c r="AM706" s="190"/>
    </row>
    <row r="707" spans="2:39">
      <c r="B707" s="162"/>
      <c r="C707" s="162"/>
      <c r="D707" s="191"/>
      <c r="E707" s="191"/>
      <c r="F707" s="191"/>
      <c r="G707" s="191"/>
      <c r="H707" s="191"/>
      <c r="I707" s="191"/>
      <c r="J707" s="191"/>
      <c r="K707" s="191"/>
      <c r="L707" s="191"/>
      <c r="M707" s="191"/>
      <c r="N707" s="191"/>
      <c r="O707" s="191"/>
      <c r="P707" s="191"/>
      <c r="Q707" s="191"/>
      <c r="R707" s="191"/>
      <c r="S707" s="191"/>
      <c r="T707" s="191"/>
      <c r="U707" s="191"/>
      <c r="V707" s="191"/>
      <c r="W707" s="191"/>
      <c r="X707" s="191"/>
      <c r="Y707" s="191"/>
      <c r="Z707" s="191"/>
      <c r="AA707" s="191"/>
      <c r="AB707" s="191"/>
      <c r="AC707" s="190"/>
      <c r="AD707" s="190"/>
      <c r="AE707" s="190"/>
      <c r="AF707" s="190"/>
      <c r="AG707" s="190"/>
      <c r="AH707" s="190"/>
      <c r="AI707" s="190"/>
      <c r="AJ707" s="190"/>
      <c r="AK707" s="190"/>
      <c r="AL707" s="190"/>
      <c r="AM707" s="190"/>
    </row>
    <row r="708" spans="2:39">
      <c r="B708" s="162"/>
      <c r="C708" s="162"/>
      <c r="D708" s="191"/>
      <c r="E708" s="191"/>
      <c r="F708" s="191"/>
      <c r="G708" s="191"/>
      <c r="H708" s="191"/>
      <c r="I708" s="191"/>
      <c r="J708" s="191"/>
      <c r="K708" s="191"/>
      <c r="L708" s="191"/>
      <c r="M708" s="191"/>
      <c r="N708" s="191"/>
      <c r="O708" s="191"/>
      <c r="P708" s="191"/>
      <c r="Q708" s="191"/>
      <c r="R708" s="191"/>
      <c r="S708" s="191"/>
      <c r="T708" s="191"/>
      <c r="U708" s="191"/>
      <c r="V708" s="191"/>
      <c r="W708" s="191"/>
      <c r="X708" s="191"/>
      <c r="Y708" s="191"/>
      <c r="Z708" s="191"/>
      <c r="AA708" s="191"/>
      <c r="AB708" s="191"/>
      <c r="AC708" s="190"/>
      <c r="AD708" s="190"/>
      <c r="AE708" s="190"/>
      <c r="AF708" s="190"/>
      <c r="AG708" s="190"/>
      <c r="AH708" s="190"/>
      <c r="AI708" s="190"/>
      <c r="AJ708" s="190"/>
      <c r="AK708" s="190"/>
      <c r="AL708" s="190"/>
      <c r="AM708" s="190"/>
    </row>
    <row r="709" spans="2:39">
      <c r="B709" s="162"/>
      <c r="C709" s="162"/>
      <c r="D709" s="191"/>
      <c r="E709" s="191"/>
      <c r="F709" s="191"/>
      <c r="G709" s="191"/>
      <c r="H709" s="191"/>
      <c r="I709" s="191"/>
      <c r="J709" s="191"/>
      <c r="K709" s="191"/>
      <c r="L709" s="191"/>
      <c r="M709" s="191"/>
      <c r="N709" s="191"/>
      <c r="O709" s="191"/>
      <c r="P709" s="191"/>
      <c r="Q709" s="191"/>
      <c r="R709" s="191"/>
      <c r="S709" s="191"/>
      <c r="T709" s="191"/>
      <c r="U709" s="191"/>
      <c r="V709" s="191"/>
      <c r="W709" s="191"/>
      <c r="X709" s="191"/>
      <c r="Y709" s="191"/>
      <c r="Z709" s="191"/>
      <c r="AA709" s="191"/>
      <c r="AB709" s="191"/>
      <c r="AC709" s="190"/>
      <c r="AD709" s="190"/>
      <c r="AE709" s="190"/>
      <c r="AF709" s="190"/>
      <c r="AG709" s="190"/>
      <c r="AH709" s="190"/>
      <c r="AI709" s="190"/>
      <c r="AJ709" s="190"/>
      <c r="AK709" s="190"/>
      <c r="AL709" s="190"/>
      <c r="AM709" s="190"/>
    </row>
    <row r="710" spans="2:39">
      <c r="B710" s="162"/>
      <c r="C710" s="162"/>
      <c r="D710" s="191"/>
      <c r="E710" s="191"/>
      <c r="F710" s="191"/>
      <c r="G710" s="191"/>
      <c r="H710" s="191"/>
      <c r="I710" s="191"/>
      <c r="J710" s="191"/>
      <c r="K710" s="191"/>
      <c r="L710" s="191"/>
      <c r="M710" s="191"/>
      <c r="N710" s="191"/>
      <c r="O710" s="191"/>
      <c r="P710" s="191"/>
      <c r="Q710" s="191"/>
      <c r="R710" s="191"/>
      <c r="S710" s="191"/>
      <c r="T710" s="191"/>
      <c r="U710" s="191"/>
      <c r="V710" s="191"/>
      <c r="W710" s="191"/>
      <c r="X710" s="191"/>
      <c r="Y710" s="191"/>
      <c r="Z710" s="191"/>
      <c r="AA710" s="191"/>
      <c r="AB710" s="191"/>
      <c r="AC710" s="190"/>
      <c r="AD710" s="190"/>
      <c r="AE710" s="190"/>
      <c r="AF710" s="190"/>
      <c r="AG710" s="190"/>
      <c r="AH710" s="190"/>
      <c r="AI710" s="190"/>
      <c r="AJ710" s="190"/>
      <c r="AK710" s="190"/>
      <c r="AL710" s="190"/>
      <c r="AM710" s="190"/>
    </row>
    <row r="711" spans="2:39">
      <c r="B711" s="162"/>
      <c r="C711" s="162"/>
      <c r="D711" s="191"/>
      <c r="E711" s="191"/>
      <c r="F711" s="191"/>
      <c r="G711" s="191"/>
      <c r="H711" s="191"/>
      <c r="I711" s="191"/>
      <c r="J711" s="191"/>
      <c r="K711" s="191"/>
      <c r="L711" s="191"/>
      <c r="M711" s="191"/>
      <c r="N711" s="191"/>
      <c r="O711" s="191"/>
      <c r="P711" s="191"/>
      <c r="Q711" s="191"/>
      <c r="R711" s="191"/>
      <c r="S711" s="191"/>
      <c r="T711" s="191"/>
      <c r="U711" s="191"/>
      <c r="V711" s="191"/>
      <c r="W711" s="191"/>
      <c r="X711" s="191"/>
      <c r="Y711" s="191"/>
      <c r="Z711" s="191"/>
      <c r="AA711" s="191"/>
      <c r="AB711" s="191"/>
      <c r="AC711" s="190"/>
      <c r="AD711" s="190"/>
      <c r="AE711" s="190"/>
      <c r="AF711" s="190"/>
      <c r="AG711" s="190"/>
      <c r="AH711" s="190"/>
      <c r="AI711" s="190"/>
      <c r="AJ711" s="190"/>
      <c r="AK711" s="190"/>
      <c r="AL711" s="190"/>
      <c r="AM711" s="190"/>
    </row>
    <row r="712" spans="2:39">
      <c r="B712" s="162"/>
      <c r="C712" s="162"/>
      <c r="D712" s="191"/>
      <c r="E712" s="191"/>
      <c r="F712" s="191"/>
      <c r="G712" s="191"/>
      <c r="H712" s="191"/>
      <c r="I712" s="191"/>
      <c r="J712" s="191"/>
      <c r="K712" s="191"/>
      <c r="L712" s="191"/>
      <c r="M712" s="191"/>
      <c r="N712" s="191"/>
      <c r="O712" s="191"/>
      <c r="P712" s="191"/>
      <c r="Q712" s="191"/>
      <c r="R712" s="191"/>
      <c r="S712" s="191"/>
      <c r="T712" s="191"/>
      <c r="U712" s="191"/>
      <c r="V712" s="191"/>
      <c r="W712" s="191"/>
      <c r="X712" s="191"/>
      <c r="Y712" s="191"/>
      <c r="Z712" s="191"/>
      <c r="AA712" s="191"/>
      <c r="AB712" s="191"/>
      <c r="AC712" s="190"/>
      <c r="AD712" s="190"/>
      <c r="AE712" s="190"/>
      <c r="AF712" s="190"/>
      <c r="AG712" s="190"/>
      <c r="AH712" s="190"/>
      <c r="AI712" s="190"/>
      <c r="AJ712" s="190"/>
      <c r="AK712" s="190"/>
      <c r="AL712" s="190"/>
      <c r="AM712" s="190"/>
    </row>
    <row r="713" spans="2:39">
      <c r="B713" s="162"/>
      <c r="C713" s="162"/>
      <c r="D713" s="191"/>
      <c r="E713" s="191"/>
      <c r="F713" s="191"/>
      <c r="G713" s="191"/>
      <c r="H713" s="191"/>
      <c r="I713" s="191"/>
      <c r="J713" s="191"/>
      <c r="K713" s="191"/>
      <c r="L713" s="191"/>
      <c r="M713" s="191"/>
      <c r="N713" s="191"/>
      <c r="O713" s="191"/>
      <c r="P713" s="191"/>
      <c r="Q713" s="191"/>
      <c r="R713" s="191"/>
      <c r="S713" s="191"/>
      <c r="T713" s="191"/>
      <c r="U713" s="191"/>
      <c r="V713" s="191"/>
      <c r="W713" s="191"/>
      <c r="X713" s="191"/>
      <c r="Y713" s="191"/>
      <c r="Z713" s="191"/>
      <c r="AA713" s="191"/>
      <c r="AB713" s="191"/>
      <c r="AC713" s="190"/>
      <c r="AD713" s="190"/>
      <c r="AE713" s="190"/>
      <c r="AF713" s="190"/>
      <c r="AG713" s="190"/>
      <c r="AH713" s="190"/>
      <c r="AI713" s="190"/>
      <c r="AJ713" s="190"/>
      <c r="AK713" s="190"/>
      <c r="AL713" s="190"/>
      <c r="AM713" s="190"/>
    </row>
    <row r="714" spans="2:39">
      <c r="B714" s="162"/>
      <c r="C714" s="162"/>
      <c r="D714" s="191"/>
      <c r="E714" s="191"/>
      <c r="F714" s="191"/>
      <c r="G714" s="191"/>
      <c r="H714" s="191"/>
      <c r="I714" s="191"/>
      <c r="J714" s="191"/>
      <c r="K714" s="191"/>
      <c r="L714" s="191"/>
      <c r="M714" s="191"/>
      <c r="N714" s="191"/>
      <c r="O714" s="191"/>
      <c r="P714" s="191"/>
      <c r="Q714" s="191"/>
      <c r="R714" s="191"/>
      <c r="S714" s="191"/>
      <c r="T714" s="191"/>
      <c r="U714" s="191"/>
      <c r="V714" s="191"/>
      <c r="W714" s="191"/>
      <c r="X714" s="191"/>
      <c r="Y714" s="191"/>
      <c r="Z714" s="191"/>
      <c r="AA714" s="191"/>
      <c r="AB714" s="191"/>
      <c r="AC714" s="190"/>
      <c r="AD714" s="190"/>
      <c r="AE714" s="190"/>
      <c r="AF714" s="190"/>
      <c r="AG714" s="190"/>
      <c r="AH714" s="190"/>
      <c r="AI714" s="190"/>
      <c r="AJ714" s="190"/>
      <c r="AK714" s="190"/>
      <c r="AL714" s="190"/>
      <c r="AM714" s="190"/>
    </row>
    <row r="715" spans="2:39">
      <c r="B715" s="162"/>
      <c r="C715" s="162"/>
      <c r="D715" s="191"/>
      <c r="E715" s="191"/>
      <c r="F715" s="191"/>
      <c r="G715" s="191"/>
      <c r="H715" s="191"/>
      <c r="I715" s="191"/>
      <c r="J715" s="191"/>
      <c r="K715" s="191"/>
      <c r="L715" s="191"/>
      <c r="M715" s="191"/>
      <c r="N715" s="191"/>
      <c r="O715" s="191"/>
      <c r="P715" s="191"/>
      <c r="Q715" s="191"/>
      <c r="R715" s="191"/>
      <c r="S715" s="191"/>
      <c r="T715" s="191"/>
      <c r="U715" s="191"/>
      <c r="V715" s="191"/>
      <c r="W715" s="191"/>
      <c r="X715" s="191"/>
      <c r="Y715" s="191"/>
      <c r="Z715" s="191"/>
      <c r="AA715" s="191"/>
      <c r="AB715" s="191"/>
      <c r="AC715" s="190"/>
      <c r="AD715" s="190"/>
      <c r="AE715" s="190"/>
      <c r="AF715" s="190"/>
      <c r="AG715" s="190"/>
      <c r="AH715" s="190"/>
      <c r="AI715" s="190"/>
      <c r="AJ715" s="190"/>
      <c r="AK715" s="190"/>
      <c r="AL715" s="190"/>
      <c r="AM715" s="190"/>
    </row>
    <row r="716" spans="2:39">
      <c r="B716" s="162"/>
      <c r="C716" s="162"/>
      <c r="D716" s="191"/>
      <c r="E716" s="191"/>
      <c r="F716" s="191"/>
      <c r="G716" s="191"/>
      <c r="H716" s="191"/>
      <c r="I716" s="191"/>
      <c r="J716" s="191"/>
      <c r="K716" s="191"/>
      <c r="L716" s="191"/>
      <c r="M716" s="191"/>
      <c r="N716" s="191"/>
      <c r="O716" s="191"/>
      <c r="P716" s="191"/>
      <c r="Q716" s="191"/>
      <c r="R716" s="191"/>
      <c r="S716" s="191"/>
      <c r="T716" s="191"/>
      <c r="U716" s="191"/>
      <c r="V716" s="191"/>
      <c r="W716" s="191"/>
      <c r="X716" s="191"/>
      <c r="Y716" s="191"/>
      <c r="Z716" s="191"/>
      <c r="AA716" s="191"/>
      <c r="AB716" s="191"/>
      <c r="AC716" s="190"/>
      <c r="AD716" s="190"/>
      <c r="AE716" s="190"/>
      <c r="AF716" s="190"/>
      <c r="AG716" s="190"/>
      <c r="AH716" s="190"/>
      <c r="AI716" s="190"/>
      <c r="AJ716" s="190"/>
      <c r="AK716" s="190"/>
      <c r="AL716" s="190"/>
      <c r="AM716" s="190"/>
    </row>
    <row r="717" spans="2:39">
      <c r="B717" s="162"/>
      <c r="C717" s="162"/>
      <c r="D717" s="191"/>
      <c r="E717" s="191"/>
      <c r="F717" s="191"/>
      <c r="G717" s="191"/>
      <c r="H717" s="191"/>
      <c r="I717" s="191"/>
      <c r="J717" s="191"/>
      <c r="K717" s="191"/>
      <c r="L717" s="191"/>
      <c r="M717" s="191"/>
      <c r="N717" s="191"/>
      <c r="O717" s="191"/>
      <c r="P717" s="191"/>
      <c r="Q717" s="191"/>
      <c r="R717" s="191"/>
      <c r="S717" s="191"/>
      <c r="T717" s="191"/>
      <c r="U717" s="191"/>
      <c r="V717" s="191"/>
      <c r="W717" s="191"/>
      <c r="X717" s="191"/>
      <c r="Y717" s="191"/>
      <c r="Z717" s="191"/>
      <c r="AA717" s="191"/>
      <c r="AB717" s="191"/>
      <c r="AC717" s="190"/>
      <c r="AD717" s="190"/>
      <c r="AE717" s="190"/>
      <c r="AF717" s="190"/>
      <c r="AG717" s="190"/>
      <c r="AH717" s="190"/>
      <c r="AI717" s="190"/>
      <c r="AJ717" s="190"/>
      <c r="AK717" s="190"/>
      <c r="AL717" s="190"/>
      <c r="AM717" s="190"/>
    </row>
    <row r="718" spans="2:39">
      <c r="B718" s="162"/>
      <c r="C718" s="162"/>
      <c r="D718" s="191"/>
      <c r="E718" s="191"/>
      <c r="F718" s="191"/>
      <c r="G718" s="191"/>
      <c r="H718" s="191"/>
      <c r="I718" s="191"/>
      <c r="J718" s="191"/>
      <c r="K718" s="191"/>
      <c r="L718" s="191"/>
      <c r="M718" s="191"/>
      <c r="N718" s="191"/>
      <c r="O718" s="191"/>
      <c r="P718" s="191"/>
      <c r="Q718" s="191"/>
      <c r="R718" s="191"/>
      <c r="S718" s="191"/>
      <c r="T718" s="191"/>
      <c r="U718" s="191"/>
      <c r="V718" s="191"/>
      <c r="W718" s="191"/>
      <c r="X718" s="191"/>
      <c r="Y718" s="191"/>
      <c r="Z718" s="191"/>
      <c r="AA718" s="191"/>
      <c r="AB718" s="191"/>
      <c r="AC718" s="190"/>
      <c r="AD718" s="190"/>
      <c r="AE718" s="190"/>
      <c r="AF718" s="190"/>
      <c r="AG718" s="190"/>
      <c r="AH718" s="190"/>
      <c r="AI718" s="190"/>
      <c r="AJ718" s="190"/>
      <c r="AK718" s="190"/>
      <c r="AL718" s="190"/>
      <c r="AM718" s="190"/>
    </row>
    <row r="719" spans="2:39">
      <c r="B719" s="162"/>
      <c r="C719" s="162"/>
      <c r="D719" s="191"/>
      <c r="E719" s="191"/>
      <c r="F719" s="191"/>
      <c r="G719" s="191"/>
      <c r="H719" s="191"/>
      <c r="I719" s="191"/>
      <c r="J719" s="191"/>
      <c r="K719" s="191"/>
      <c r="L719" s="191"/>
      <c r="M719" s="191"/>
      <c r="N719" s="191"/>
      <c r="O719" s="191"/>
      <c r="P719" s="191"/>
      <c r="Q719" s="191"/>
      <c r="R719" s="191"/>
      <c r="S719" s="191"/>
      <c r="T719" s="191"/>
      <c r="U719" s="191"/>
      <c r="V719" s="191"/>
      <c r="W719" s="191"/>
      <c r="X719" s="191"/>
      <c r="Y719" s="191"/>
      <c r="Z719" s="191"/>
      <c r="AA719" s="191"/>
      <c r="AB719" s="191"/>
      <c r="AC719" s="190"/>
      <c r="AD719" s="190"/>
      <c r="AE719" s="190"/>
      <c r="AF719" s="190"/>
      <c r="AG719" s="190"/>
      <c r="AH719" s="190"/>
      <c r="AI719" s="190"/>
      <c r="AJ719" s="190"/>
      <c r="AK719" s="190"/>
      <c r="AL719" s="190"/>
      <c r="AM719" s="190"/>
    </row>
    <row r="720" spans="2:39">
      <c r="B720" s="162"/>
      <c r="C720" s="162"/>
      <c r="D720" s="191"/>
      <c r="E720" s="191"/>
      <c r="F720" s="191"/>
      <c r="G720" s="191"/>
      <c r="H720" s="191"/>
      <c r="I720" s="191"/>
      <c r="J720" s="191"/>
      <c r="K720" s="191"/>
      <c r="L720" s="191"/>
      <c r="M720" s="191"/>
      <c r="N720" s="191"/>
      <c r="O720" s="191"/>
      <c r="P720" s="191"/>
      <c r="Q720" s="191"/>
      <c r="R720" s="191"/>
      <c r="S720" s="191"/>
      <c r="T720" s="191"/>
      <c r="U720" s="191"/>
      <c r="V720" s="191"/>
      <c r="W720" s="191"/>
      <c r="X720" s="191"/>
      <c r="Y720" s="191"/>
      <c r="Z720" s="191"/>
      <c r="AA720" s="191"/>
      <c r="AB720" s="191"/>
      <c r="AC720" s="190"/>
      <c r="AD720" s="190"/>
      <c r="AE720" s="190"/>
      <c r="AF720" s="190"/>
      <c r="AG720" s="190"/>
      <c r="AH720" s="190"/>
      <c r="AI720" s="190"/>
      <c r="AJ720" s="190"/>
      <c r="AK720" s="190"/>
      <c r="AL720" s="190"/>
      <c r="AM720" s="190"/>
    </row>
    <row r="721" spans="2:39">
      <c r="B721" s="162"/>
      <c r="C721" s="162"/>
      <c r="D721" s="191"/>
      <c r="E721" s="191"/>
      <c r="F721" s="191"/>
      <c r="G721" s="191"/>
      <c r="H721" s="191"/>
      <c r="I721" s="191"/>
      <c r="J721" s="191"/>
      <c r="K721" s="191"/>
      <c r="L721" s="191"/>
      <c r="M721" s="191"/>
      <c r="N721" s="191"/>
      <c r="O721" s="191"/>
      <c r="P721" s="191"/>
      <c r="Q721" s="191"/>
      <c r="R721" s="191"/>
      <c r="S721" s="191"/>
      <c r="T721" s="191"/>
      <c r="U721" s="191"/>
      <c r="V721" s="191"/>
      <c r="W721" s="191"/>
      <c r="X721" s="191"/>
      <c r="Y721" s="191"/>
      <c r="Z721" s="191"/>
      <c r="AA721" s="191"/>
      <c r="AB721" s="191"/>
      <c r="AC721" s="190"/>
      <c r="AD721" s="190"/>
      <c r="AE721" s="190"/>
      <c r="AF721" s="190"/>
      <c r="AG721" s="190"/>
      <c r="AH721" s="190"/>
      <c r="AI721" s="190"/>
      <c r="AJ721" s="190"/>
      <c r="AK721" s="190"/>
      <c r="AL721" s="190"/>
      <c r="AM721" s="190"/>
    </row>
    <row r="722" spans="2:39">
      <c r="B722" s="162"/>
      <c r="C722" s="162"/>
      <c r="D722" s="191"/>
      <c r="E722" s="191"/>
      <c r="F722" s="191"/>
      <c r="G722" s="191"/>
      <c r="H722" s="191"/>
      <c r="I722" s="191"/>
      <c r="J722" s="191"/>
      <c r="K722" s="191"/>
      <c r="L722" s="191"/>
      <c r="M722" s="191"/>
      <c r="N722" s="191"/>
      <c r="O722" s="191"/>
      <c r="P722" s="191"/>
      <c r="Q722" s="191"/>
      <c r="R722" s="191"/>
      <c r="S722" s="191"/>
      <c r="T722" s="191"/>
      <c r="U722" s="191"/>
      <c r="V722" s="191"/>
      <c r="W722" s="191"/>
      <c r="X722" s="191"/>
      <c r="Y722" s="191"/>
      <c r="Z722" s="191"/>
      <c r="AA722" s="191"/>
      <c r="AB722" s="191"/>
      <c r="AC722" s="190"/>
      <c r="AD722" s="190"/>
      <c r="AE722" s="190"/>
      <c r="AF722" s="190"/>
      <c r="AG722" s="190"/>
      <c r="AH722" s="190"/>
      <c r="AI722" s="190"/>
      <c r="AJ722" s="190"/>
      <c r="AK722" s="190"/>
      <c r="AL722" s="190"/>
      <c r="AM722" s="190"/>
    </row>
    <row r="723" spans="2:39">
      <c r="B723" s="162"/>
      <c r="C723" s="162"/>
      <c r="D723" s="191"/>
      <c r="E723" s="191"/>
      <c r="F723" s="191"/>
      <c r="G723" s="191"/>
      <c r="H723" s="191"/>
      <c r="I723" s="191"/>
      <c r="J723" s="191"/>
      <c r="K723" s="191"/>
      <c r="L723" s="191"/>
      <c r="M723" s="191"/>
      <c r="N723" s="191"/>
      <c r="O723" s="191"/>
      <c r="P723" s="191"/>
      <c r="Q723" s="191"/>
      <c r="R723" s="191"/>
      <c r="S723" s="191"/>
      <c r="T723" s="191"/>
      <c r="U723" s="191"/>
      <c r="V723" s="191"/>
      <c r="W723" s="191"/>
      <c r="X723" s="191"/>
      <c r="Y723" s="191"/>
      <c r="Z723" s="191"/>
      <c r="AA723" s="191"/>
      <c r="AB723" s="191"/>
      <c r="AC723" s="190"/>
      <c r="AD723" s="190"/>
      <c r="AE723" s="190"/>
      <c r="AF723" s="190"/>
      <c r="AG723" s="190"/>
      <c r="AH723" s="190"/>
      <c r="AI723" s="190"/>
      <c r="AJ723" s="190"/>
      <c r="AK723" s="190"/>
      <c r="AL723" s="190"/>
      <c r="AM723" s="190"/>
    </row>
    <row r="724" spans="2:39">
      <c r="B724" s="162"/>
      <c r="C724" s="162"/>
      <c r="D724" s="191"/>
      <c r="E724" s="191"/>
      <c r="F724" s="191"/>
      <c r="G724" s="191"/>
      <c r="H724" s="191"/>
      <c r="I724" s="191"/>
      <c r="J724" s="191"/>
      <c r="K724" s="191"/>
      <c r="L724" s="191"/>
      <c r="M724" s="191"/>
      <c r="N724" s="191"/>
      <c r="O724" s="191"/>
      <c r="P724" s="191"/>
      <c r="Q724" s="191"/>
      <c r="R724" s="191"/>
      <c r="S724" s="191"/>
      <c r="T724" s="191"/>
      <c r="U724" s="191"/>
      <c r="V724" s="191"/>
      <c r="W724" s="191"/>
      <c r="X724" s="191"/>
      <c r="Y724" s="191"/>
      <c r="Z724" s="191"/>
      <c r="AA724" s="191"/>
      <c r="AB724" s="191"/>
      <c r="AC724" s="190"/>
      <c r="AD724" s="190"/>
      <c r="AE724" s="190"/>
      <c r="AF724" s="190"/>
      <c r="AG724" s="190"/>
      <c r="AH724" s="190"/>
      <c r="AI724" s="190"/>
      <c r="AJ724" s="190"/>
      <c r="AK724" s="190"/>
      <c r="AL724" s="190"/>
      <c r="AM724" s="190"/>
    </row>
    <row r="725" spans="2:39">
      <c r="B725" s="162"/>
      <c r="C725" s="162"/>
      <c r="D725" s="191"/>
      <c r="E725" s="191"/>
      <c r="F725" s="191"/>
      <c r="G725" s="191"/>
      <c r="H725" s="191"/>
      <c r="I725" s="191"/>
      <c r="J725" s="191"/>
      <c r="K725" s="191"/>
      <c r="L725" s="191"/>
      <c r="M725" s="191"/>
      <c r="N725" s="191"/>
      <c r="O725" s="191"/>
      <c r="P725" s="191"/>
      <c r="Q725" s="191"/>
      <c r="R725" s="191"/>
      <c r="S725" s="191"/>
      <c r="T725" s="191"/>
      <c r="U725" s="191"/>
      <c r="V725" s="191"/>
      <c r="W725" s="191"/>
      <c r="X725" s="191"/>
      <c r="Y725" s="191"/>
      <c r="Z725" s="191"/>
      <c r="AA725" s="191"/>
      <c r="AB725" s="191"/>
      <c r="AC725" s="190"/>
      <c r="AD725" s="190"/>
      <c r="AE725" s="190"/>
      <c r="AF725" s="190"/>
      <c r="AG725" s="190"/>
      <c r="AH725" s="190"/>
      <c r="AI725" s="190"/>
      <c r="AJ725" s="190"/>
      <c r="AK725" s="190"/>
      <c r="AL725" s="190"/>
      <c r="AM725" s="190"/>
    </row>
    <row r="726" spans="2:39">
      <c r="B726" s="162"/>
      <c r="C726" s="162"/>
      <c r="D726" s="191"/>
      <c r="E726" s="191"/>
      <c r="F726" s="191"/>
      <c r="G726" s="191"/>
      <c r="H726" s="191"/>
      <c r="I726" s="191"/>
      <c r="J726" s="191"/>
      <c r="K726" s="191"/>
      <c r="L726" s="191"/>
      <c r="M726" s="191"/>
      <c r="N726" s="191"/>
      <c r="O726" s="191"/>
      <c r="P726" s="191"/>
      <c r="Q726" s="191"/>
      <c r="R726" s="191"/>
      <c r="S726" s="191"/>
      <c r="T726" s="191"/>
      <c r="U726" s="191"/>
      <c r="V726" s="191"/>
      <c r="W726" s="191"/>
      <c r="X726" s="191"/>
      <c r="Y726" s="191"/>
      <c r="Z726" s="191"/>
      <c r="AA726" s="191"/>
      <c r="AB726" s="191"/>
      <c r="AC726" s="190"/>
      <c r="AD726" s="190"/>
      <c r="AE726" s="190"/>
      <c r="AF726" s="190"/>
      <c r="AG726" s="190"/>
      <c r="AH726" s="190"/>
      <c r="AI726" s="190"/>
      <c r="AJ726" s="190"/>
      <c r="AK726" s="190"/>
      <c r="AL726" s="190"/>
      <c r="AM726" s="190"/>
    </row>
    <row r="727" spans="2:39">
      <c r="B727" s="162"/>
      <c r="C727" s="162"/>
      <c r="D727" s="191"/>
      <c r="E727" s="191"/>
      <c r="F727" s="191"/>
      <c r="G727" s="191"/>
      <c r="H727" s="191"/>
      <c r="I727" s="191"/>
      <c r="J727" s="191"/>
      <c r="K727" s="191"/>
      <c r="L727" s="191"/>
      <c r="M727" s="191"/>
      <c r="N727" s="191"/>
      <c r="O727" s="191"/>
      <c r="P727" s="191"/>
      <c r="Q727" s="191"/>
      <c r="R727" s="191"/>
      <c r="S727" s="191"/>
      <c r="T727" s="191"/>
      <c r="U727" s="191"/>
      <c r="V727" s="191"/>
      <c r="W727" s="191"/>
      <c r="X727" s="191"/>
      <c r="Y727" s="191"/>
      <c r="Z727" s="191"/>
      <c r="AA727" s="191"/>
      <c r="AB727" s="191"/>
      <c r="AC727" s="190"/>
      <c r="AD727" s="190"/>
      <c r="AE727" s="190"/>
      <c r="AF727" s="190"/>
      <c r="AG727" s="190"/>
      <c r="AH727" s="190"/>
      <c r="AI727" s="190"/>
      <c r="AJ727" s="190"/>
      <c r="AK727" s="190"/>
      <c r="AL727" s="190"/>
      <c r="AM727" s="190"/>
    </row>
    <row r="728" spans="2:39">
      <c r="B728" s="162"/>
      <c r="C728" s="162"/>
      <c r="D728" s="191"/>
      <c r="E728" s="191"/>
      <c r="F728" s="191"/>
      <c r="G728" s="191"/>
      <c r="H728" s="191"/>
      <c r="I728" s="191"/>
      <c r="J728" s="191"/>
      <c r="K728" s="191"/>
      <c r="L728" s="191"/>
      <c r="M728" s="191"/>
      <c r="N728" s="191"/>
      <c r="O728" s="191"/>
      <c r="P728" s="191"/>
      <c r="Q728" s="191"/>
      <c r="R728" s="191"/>
      <c r="S728" s="191"/>
      <c r="T728" s="191"/>
      <c r="U728" s="191"/>
      <c r="V728" s="191"/>
      <c r="W728" s="191"/>
      <c r="X728" s="191"/>
      <c r="Y728" s="191"/>
      <c r="Z728" s="191"/>
      <c r="AA728" s="191"/>
      <c r="AB728" s="191"/>
      <c r="AC728" s="190"/>
      <c r="AD728" s="190"/>
      <c r="AE728" s="190"/>
      <c r="AF728" s="190"/>
      <c r="AG728" s="190"/>
      <c r="AH728" s="190"/>
      <c r="AI728" s="190"/>
      <c r="AJ728" s="190"/>
      <c r="AK728" s="190"/>
      <c r="AL728" s="190"/>
      <c r="AM728" s="190"/>
    </row>
    <row r="729" spans="2:39">
      <c r="B729" s="162"/>
      <c r="C729" s="162"/>
      <c r="D729" s="191"/>
      <c r="E729" s="191"/>
      <c r="F729" s="191"/>
      <c r="G729" s="191"/>
      <c r="H729" s="191"/>
      <c r="I729" s="191"/>
      <c r="J729" s="191"/>
      <c r="K729" s="191"/>
      <c r="L729" s="191"/>
      <c r="M729" s="191"/>
      <c r="N729" s="191"/>
      <c r="O729" s="191"/>
      <c r="P729" s="191"/>
      <c r="Q729" s="191"/>
      <c r="R729" s="191"/>
      <c r="S729" s="191"/>
      <c r="T729" s="191"/>
      <c r="U729" s="191"/>
      <c r="V729" s="191"/>
      <c r="W729" s="191"/>
      <c r="X729" s="191"/>
      <c r="Y729" s="191"/>
      <c r="Z729" s="191"/>
      <c r="AA729" s="191"/>
      <c r="AB729" s="191"/>
      <c r="AC729" s="190"/>
      <c r="AD729" s="190"/>
      <c r="AE729" s="190"/>
      <c r="AF729" s="190"/>
      <c r="AG729" s="190"/>
      <c r="AH729" s="190"/>
      <c r="AI729" s="190"/>
      <c r="AJ729" s="190"/>
      <c r="AK729" s="190"/>
      <c r="AL729" s="190"/>
      <c r="AM729" s="190"/>
    </row>
    <row r="730" spans="2:39">
      <c r="B730" s="162"/>
      <c r="C730" s="162"/>
      <c r="D730" s="191"/>
      <c r="E730" s="191"/>
      <c r="F730" s="191"/>
      <c r="G730" s="191"/>
      <c r="H730" s="191"/>
      <c r="I730" s="191"/>
      <c r="J730" s="191"/>
      <c r="K730" s="191"/>
      <c r="L730" s="191"/>
      <c r="M730" s="191"/>
      <c r="N730" s="191"/>
      <c r="O730" s="191"/>
      <c r="P730" s="191"/>
      <c r="Q730" s="191"/>
      <c r="R730" s="191"/>
      <c r="S730" s="191"/>
      <c r="T730" s="191"/>
      <c r="U730" s="191"/>
      <c r="V730" s="191"/>
      <c r="W730" s="191"/>
      <c r="X730" s="191"/>
      <c r="Y730" s="191"/>
      <c r="Z730" s="191"/>
      <c r="AA730" s="191"/>
      <c r="AB730" s="191"/>
      <c r="AC730" s="190"/>
      <c r="AD730" s="190"/>
      <c r="AE730" s="190"/>
      <c r="AF730" s="190"/>
      <c r="AG730" s="190"/>
      <c r="AH730" s="190"/>
      <c r="AI730" s="190"/>
      <c r="AJ730" s="190"/>
      <c r="AK730" s="190"/>
      <c r="AL730" s="190"/>
      <c r="AM730" s="190"/>
    </row>
    <row r="731" spans="2:39">
      <c r="B731" s="162"/>
      <c r="C731" s="162"/>
      <c r="D731" s="191"/>
      <c r="E731" s="191"/>
      <c r="F731" s="191"/>
      <c r="G731" s="191"/>
      <c r="H731" s="191"/>
      <c r="I731" s="191"/>
      <c r="J731" s="191"/>
      <c r="K731" s="191"/>
      <c r="L731" s="191"/>
      <c r="M731" s="191"/>
      <c r="N731" s="191"/>
      <c r="O731" s="191"/>
      <c r="P731" s="191"/>
      <c r="Q731" s="191"/>
      <c r="R731" s="191"/>
      <c r="S731" s="191"/>
      <c r="T731" s="191"/>
      <c r="U731" s="191"/>
      <c r="V731" s="191"/>
      <c r="W731" s="191"/>
      <c r="X731" s="191"/>
      <c r="Y731" s="191"/>
      <c r="Z731" s="191"/>
      <c r="AA731" s="191"/>
      <c r="AB731" s="191"/>
      <c r="AC731" s="190"/>
      <c r="AD731" s="190"/>
      <c r="AE731" s="190"/>
      <c r="AF731" s="190"/>
      <c r="AG731" s="190"/>
      <c r="AH731" s="190"/>
      <c r="AI731" s="190"/>
      <c r="AJ731" s="190"/>
      <c r="AK731" s="190"/>
      <c r="AL731" s="190"/>
      <c r="AM731" s="190"/>
    </row>
    <row r="732" spans="2:39">
      <c r="B732" s="162"/>
      <c r="C732" s="162"/>
      <c r="D732" s="191"/>
      <c r="E732" s="191"/>
      <c r="F732" s="191"/>
      <c r="G732" s="191"/>
      <c r="H732" s="191"/>
      <c r="I732" s="191"/>
      <c r="J732" s="191"/>
      <c r="K732" s="191"/>
      <c r="L732" s="191"/>
      <c r="M732" s="191"/>
      <c r="N732" s="191"/>
      <c r="O732" s="191"/>
      <c r="P732" s="191"/>
      <c r="Q732" s="191"/>
      <c r="R732" s="191"/>
      <c r="S732" s="191"/>
      <c r="T732" s="191"/>
      <c r="U732" s="191"/>
      <c r="V732" s="191"/>
      <c r="W732" s="191"/>
      <c r="X732" s="191"/>
      <c r="Y732" s="191"/>
      <c r="Z732" s="191"/>
      <c r="AA732" s="191"/>
      <c r="AB732" s="191"/>
      <c r="AC732" s="190"/>
      <c r="AD732" s="190"/>
      <c r="AE732" s="190"/>
      <c r="AF732" s="190"/>
      <c r="AG732" s="190"/>
      <c r="AH732" s="190"/>
      <c r="AI732" s="190"/>
      <c r="AJ732" s="190"/>
      <c r="AK732" s="190"/>
      <c r="AL732" s="190"/>
      <c r="AM732" s="190"/>
    </row>
    <row r="733" spans="2:39">
      <c r="B733" s="162"/>
      <c r="C733" s="162"/>
      <c r="D733" s="191"/>
      <c r="E733" s="191"/>
      <c r="F733" s="191"/>
      <c r="G733" s="191"/>
      <c r="H733" s="191"/>
      <c r="I733" s="191"/>
      <c r="J733" s="191"/>
      <c r="K733" s="191"/>
      <c r="L733" s="191"/>
      <c r="M733" s="191"/>
      <c r="N733" s="191"/>
      <c r="O733" s="191"/>
      <c r="P733" s="191"/>
      <c r="Q733" s="191"/>
      <c r="R733" s="191"/>
      <c r="S733" s="191"/>
      <c r="T733" s="191"/>
      <c r="U733" s="191"/>
      <c r="V733" s="191"/>
      <c r="W733" s="191"/>
      <c r="X733" s="191"/>
      <c r="Y733" s="191"/>
      <c r="Z733" s="191"/>
      <c r="AA733" s="191"/>
      <c r="AB733" s="191"/>
      <c r="AC733" s="190"/>
      <c r="AD733" s="190"/>
      <c r="AE733" s="190"/>
      <c r="AF733" s="190"/>
      <c r="AG733" s="190"/>
      <c r="AH733" s="190"/>
      <c r="AI733" s="190"/>
      <c r="AJ733" s="190"/>
      <c r="AK733" s="190"/>
      <c r="AL733" s="190"/>
      <c r="AM733" s="190"/>
    </row>
    <row r="734" spans="2:39">
      <c r="B734" s="162"/>
      <c r="C734" s="162"/>
      <c r="D734" s="191"/>
      <c r="E734" s="191"/>
      <c r="F734" s="191"/>
      <c r="G734" s="191"/>
      <c r="H734" s="191"/>
      <c r="I734" s="191"/>
      <c r="J734" s="191"/>
      <c r="K734" s="191"/>
      <c r="L734" s="191"/>
      <c r="M734" s="191"/>
      <c r="N734" s="191"/>
      <c r="O734" s="191"/>
      <c r="P734" s="191"/>
      <c r="Q734" s="191"/>
      <c r="R734" s="191"/>
      <c r="S734" s="191"/>
      <c r="T734" s="191"/>
      <c r="U734" s="191"/>
      <c r="V734" s="191"/>
      <c r="W734" s="191"/>
      <c r="X734" s="191"/>
      <c r="Y734" s="191"/>
      <c r="Z734" s="191"/>
      <c r="AA734" s="191"/>
      <c r="AB734" s="191"/>
      <c r="AC734" s="190"/>
      <c r="AD734" s="190"/>
      <c r="AE734" s="190"/>
      <c r="AF734" s="190"/>
      <c r="AG734" s="190"/>
      <c r="AH734" s="190"/>
      <c r="AI734" s="190"/>
      <c r="AJ734" s="190"/>
      <c r="AK734" s="190"/>
      <c r="AL734" s="190"/>
      <c r="AM734" s="190"/>
    </row>
    <row r="735" spans="2:39">
      <c r="B735" s="162"/>
      <c r="C735" s="162"/>
      <c r="D735" s="191"/>
      <c r="E735" s="191"/>
      <c r="F735" s="191"/>
      <c r="G735" s="191"/>
      <c r="H735" s="191"/>
      <c r="I735" s="191"/>
      <c r="J735" s="191"/>
      <c r="K735" s="191"/>
      <c r="L735" s="191"/>
      <c r="M735" s="191"/>
      <c r="N735" s="191"/>
      <c r="O735" s="191"/>
      <c r="P735" s="191"/>
      <c r="Q735" s="191"/>
      <c r="R735" s="191"/>
      <c r="S735" s="191"/>
      <c r="T735" s="191"/>
      <c r="U735" s="191"/>
      <c r="V735" s="191"/>
      <c r="W735" s="191"/>
      <c r="X735" s="191"/>
      <c r="Y735" s="191"/>
      <c r="Z735" s="191"/>
      <c r="AA735" s="191"/>
      <c r="AB735" s="191"/>
      <c r="AC735" s="190"/>
      <c r="AD735" s="190"/>
      <c r="AE735" s="190"/>
      <c r="AF735" s="190"/>
      <c r="AG735" s="190"/>
      <c r="AH735" s="190"/>
      <c r="AI735" s="190"/>
      <c r="AJ735" s="190"/>
      <c r="AK735" s="190"/>
      <c r="AL735" s="190"/>
      <c r="AM735" s="190"/>
    </row>
    <row r="736" spans="2:39">
      <c r="B736" s="162"/>
      <c r="C736" s="162"/>
      <c r="D736" s="191"/>
      <c r="E736" s="191"/>
      <c r="F736" s="191"/>
      <c r="G736" s="191"/>
      <c r="H736" s="191"/>
      <c r="I736" s="191"/>
      <c r="J736" s="191"/>
      <c r="K736" s="191"/>
      <c r="L736" s="191"/>
      <c r="M736" s="191"/>
      <c r="N736" s="191"/>
      <c r="O736" s="191"/>
      <c r="P736" s="191"/>
      <c r="Q736" s="191"/>
      <c r="R736" s="191"/>
      <c r="S736" s="191"/>
      <c r="T736" s="191"/>
      <c r="U736" s="191"/>
      <c r="V736" s="191"/>
      <c r="W736" s="191"/>
      <c r="X736" s="191"/>
      <c r="Y736" s="191"/>
      <c r="Z736" s="191"/>
      <c r="AA736" s="191"/>
      <c r="AB736" s="191"/>
      <c r="AC736" s="190"/>
      <c r="AD736" s="190"/>
      <c r="AE736" s="190"/>
      <c r="AF736" s="190"/>
      <c r="AG736" s="190"/>
      <c r="AH736" s="190"/>
      <c r="AI736" s="190"/>
      <c r="AJ736" s="190"/>
      <c r="AK736" s="190"/>
      <c r="AL736" s="190"/>
      <c r="AM736" s="190"/>
    </row>
    <row r="737" spans="2:39">
      <c r="B737" s="162"/>
      <c r="C737" s="162"/>
      <c r="D737" s="191"/>
      <c r="E737" s="191"/>
      <c r="F737" s="191"/>
      <c r="G737" s="191"/>
      <c r="H737" s="191"/>
      <c r="I737" s="191"/>
      <c r="J737" s="191"/>
      <c r="K737" s="191"/>
      <c r="L737" s="191"/>
      <c r="M737" s="191"/>
      <c r="N737" s="191"/>
      <c r="O737" s="191"/>
      <c r="P737" s="191"/>
      <c r="Q737" s="191"/>
      <c r="R737" s="191"/>
      <c r="S737" s="191"/>
      <c r="T737" s="191"/>
      <c r="U737" s="191"/>
      <c r="V737" s="191"/>
      <c r="W737" s="191"/>
      <c r="X737" s="191"/>
      <c r="Y737" s="191"/>
      <c r="Z737" s="191"/>
      <c r="AA737" s="191"/>
      <c r="AB737" s="191"/>
      <c r="AC737" s="190"/>
      <c r="AD737" s="190"/>
      <c r="AE737" s="190"/>
      <c r="AF737" s="190"/>
      <c r="AG737" s="190"/>
      <c r="AH737" s="190"/>
      <c r="AI737" s="190"/>
      <c r="AJ737" s="190"/>
      <c r="AK737" s="190"/>
      <c r="AL737" s="190"/>
      <c r="AM737" s="190"/>
    </row>
    <row r="738" spans="2:39">
      <c r="B738" s="162"/>
      <c r="C738" s="162"/>
      <c r="D738" s="191"/>
      <c r="E738" s="191"/>
      <c r="F738" s="191"/>
      <c r="G738" s="191"/>
      <c r="H738" s="191"/>
      <c r="I738" s="191"/>
      <c r="J738" s="191"/>
      <c r="K738" s="191"/>
      <c r="L738" s="191"/>
      <c r="M738" s="191"/>
      <c r="N738" s="191"/>
      <c r="O738" s="191"/>
      <c r="P738" s="191"/>
      <c r="Q738" s="191"/>
      <c r="R738" s="191"/>
      <c r="S738" s="191"/>
      <c r="T738" s="191"/>
      <c r="U738" s="191"/>
      <c r="V738" s="191"/>
      <c r="W738" s="191"/>
      <c r="X738" s="191"/>
      <c r="Y738" s="191"/>
      <c r="Z738" s="191"/>
      <c r="AA738" s="191"/>
      <c r="AB738" s="191"/>
      <c r="AC738" s="190"/>
      <c r="AD738" s="190"/>
      <c r="AE738" s="190"/>
      <c r="AF738" s="190"/>
      <c r="AG738" s="190"/>
      <c r="AH738" s="190"/>
      <c r="AI738" s="190"/>
      <c r="AJ738" s="190"/>
      <c r="AK738" s="190"/>
      <c r="AL738" s="190"/>
      <c r="AM738" s="190"/>
    </row>
    <row r="739" spans="2:39">
      <c r="B739" s="162"/>
      <c r="C739" s="162"/>
      <c r="D739" s="191"/>
      <c r="E739" s="191"/>
      <c r="F739" s="191"/>
      <c r="G739" s="191"/>
      <c r="H739" s="191"/>
      <c r="I739" s="191"/>
      <c r="J739" s="191"/>
      <c r="K739" s="191"/>
      <c r="L739" s="191"/>
      <c r="M739" s="191"/>
      <c r="N739" s="191"/>
      <c r="O739" s="191"/>
      <c r="P739" s="191"/>
      <c r="Q739" s="191"/>
      <c r="R739" s="191"/>
      <c r="S739" s="191"/>
      <c r="T739" s="191"/>
      <c r="U739" s="191"/>
      <c r="V739" s="191"/>
      <c r="W739" s="191"/>
      <c r="X739" s="191"/>
      <c r="Y739" s="191"/>
      <c r="Z739" s="191"/>
      <c r="AA739" s="191"/>
      <c r="AB739" s="191"/>
      <c r="AC739" s="190"/>
      <c r="AD739" s="190"/>
      <c r="AE739" s="190"/>
      <c r="AF739" s="190"/>
      <c r="AG739" s="190"/>
      <c r="AH739" s="190"/>
      <c r="AI739" s="190"/>
      <c r="AJ739" s="190"/>
      <c r="AK739" s="190"/>
      <c r="AL739" s="190"/>
      <c r="AM739" s="190"/>
    </row>
    <row r="740" spans="2:39">
      <c r="B740" s="162"/>
      <c r="C740" s="162"/>
      <c r="D740" s="191"/>
      <c r="E740" s="191"/>
      <c r="F740" s="191"/>
      <c r="G740" s="191"/>
      <c r="H740" s="191"/>
      <c r="I740" s="191"/>
      <c r="J740" s="191"/>
      <c r="K740" s="191"/>
      <c r="L740" s="191"/>
      <c r="M740" s="191"/>
      <c r="N740" s="191"/>
      <c r="O740" s="191"/>
      <c r="P740" s="191"/>
      <c r="Q740" s="191"/>
      <c r="R740" s="191"/>
      <c r="S740" s="191"/>
      <c r="T740" s="191"/>
      <c r="U740" s="191"/>
      <c r="V740" s="191"/>
      <c r="W740" s="191"/>
      <c r="X740" s="191"/>
      <c r="Y740" s="191"/>
      <c r="Z740" s="191"/>
      <c r="AA740" s="191"/>
      <c r="AB740" s="191"/>
      <c r="AC740" s="190"/>
      <c r="AD740" s="190"/>
      <c r="AE740" s="190"/>
      <c r="AF740" s="190"/>
      <c r="AG740" s="190"/>
      <c r="AH740" s="190"/>
      <c r="AI740" s="190"/>
      <c r="AJ740" s="190"/>
      <c r="AK740" s="190"/>
      <c r="AL740" s="190"/>
      <c r="AM740" s="190"/>
    </row>
    <row r="741" spans="2:39">
      <c r="B741" s="162"/>
      <c r="C741" s="162"/>
      <c r="D741" s="191"/>
      <c r="E741" s="191"/>
      <c r="F741" s="191"/>
      <c r="G741" s="191"/>
      <c r="H741" s="191"/>
      <c r="I741" s="191"/>
      <c r="J741" s="191"/>
      <c r="K741" s="191"/>
      <c r="L741" s="191"/>
      <c r="M741" s="191"/>
      <c r="N741" s="191"/>
      <c r="O741" s="191"/>
      <c r="P741" s="191"/>
      <c r="Q741" s="191"/>
      <c r="R741" s="191"/>
      <c r="S741" s="191"/>
      <c r="T741" s="191"/>
      <c r="U741" s="191"/>
      <c r="V741" s="191"/>
      <c r="W741" s="191"/>
      <c r="X741" s="191"/>
      <c r="Y741" s="191"/>
      <c r="Z741" s="191"/>
      <c r="AA741" s="191"/>
      <c r="AB741" s="191"/>
      <c r="AC741" s="190"/>
      <c r="AD741" s="190"/>
      <c r="AE741" s="190"/>
      <c r="AF741" s="190"/>
      <c r="AG741" s="190"/>
      <c r="AH741" s="190"/>
      <c r="AI741" s="190"/>
      <c r="AJ741" s="190"/>
      <c r="AK741" s="190"/>
      <c r="AL741" s="190"/>
      <c r="AM741" s="190"/>
    </row>
    <row r="742" spans="2:39">
      <c r="B742" s="162"/>
      <c r="C742" s="162"/>
      <c r="D742" s="191"/>
      <c r="E742" s="191"/>
      <c r="F742" s="191"/>
      <c r="G742" s="191"/>
      <c r="H742" s="191"/>
      <c r="I742" s="191"/>
      <c r="J742" s="191"/>
      <c r="K742" s="191"/>
      <c r="L742" s="191"/>
      <c r="M742" s="191"/>
      <c r="N742" s="191"/>
      <c r="O742" s="191"/>
      <c r="P742" s="191"/>
      <c r="Q742" s="191"/>
      <c r="R742" s="191"/>
      <c r="S742" s="191"/>
      <c r="T742" s="191"/>
      <c r="U742" s="191"/>
      <c r="V742" s="191"/>
      <c r="W742" s="191"/>
      <c r="X742" s="191"/>
      <c r="Y742" s="191"/>
      <c r="Z742" s="191"/>
      <c r="AA742" s="191"/>
      <c r="AB742" s="191"/>
      <c r="AC742" s="190"/>
      <c r="AD742" s="190"/>
      <c r="AE742" s="190"/>
      <c r="AF742" s="190"/>
      <c r="AG742" s="190"/>
      <c r="AH742" s="190"/>
      <c r="AI742" s="190"/>
      <c r="AJ742" s="190"/>
      <c r="AK742" s="190"/>
      <c r="AL742" s="190"/>
      <c r="AM742" s="190"/>
    </row>
    <row r="743" spans="2:39">
      <c r="B743" s="162"/>
      <c r="C743" s="162"/>
      <c r="D743" s="191"/>
      <c r="E743" s="191"/>
      <c r="F743" s="191"/>
      <c r="G743" s="191"/>
      <c r="H743" s="191"/>
      <c r="I743" s="191"/>
      <c r="J743" s="191"/>
      <c r="K743" s="191"/>
      <c r="L743" s="191"/>
      <c r="M743" s="191"/>
      <c r="N743" s="191"/>
      <c r="O743" s="191"/>
      <c r="P743" s="191"/>
      <c r="Q743" s="191"/>
      <c r="R743" s="191"/>
      <c r="S743" s="191"/>
      <c r="T743" s="191"/>
      <c r="U743" s="191"/>
      <c r="V743" s="191"/>
      <c r="W743" s="191"/>
      <c r="X743" s="191"/>
      <c r="Y743" s="191"/>
      <c r="Z743" s="191"/>
      <c r="AA743" s="191"/>
      <c r="AB743" s="191"/>
      <c r="AC743" s="190"/>
      <c r="AD743" s="190"/>
      <c r="AE743" s="190"/>
      <c r="AF743" s="190"/>
      <c r="AG743" s="190"/>
      <c r="AH743" s="190"/>
      <c r="AI743" s="190"/>
      <c r="AJ743" s="190"/>
      <c r="AK743" s="190"/>
      <c r="AL743" s="190"/>
      <c r="AM743" s="190"/>
    </row>
    <row r="744" spans="2:39">
      <c r="B744" s="162"/>
      <c r="C744" s="162"/>
      <c r="D744" s="191"/>
      <c r="E744" s="191"/>
      <c r="F744" s="191"/>
      <c r="G744" s="191"/>
      <c r="H744" s="191"/>
      <c r="I744" s="191"/>
      <c r="J744" s="191"/>
      <c r="K744" s="191"/>
      <c r="L744" s="191"/>
      <c r="M744" s="191"/>
      <c r="N744" s="191"/>
      <c r="O744" s="191"/>
      <c r="P744" s="191"/>
      <c r="Q744" s="191"/>
      <c r="R744" s="191"/>
      <c r="S744" s="191"/>
      <c r="T744" s="191"/>
      <c r="U744" s="191"/>
      <c r="V744" s="191"/>
      <c r="W744" s="191"/>
      <c r="X744" s="191"/>
      <c r="Y744" s="191"/>
      <c r="Z744" s="191"/>
      <c r="AA744" s="191"/>
      <c r="AB744" s="191"/>
      <c r="AC744" s="190"/>
      <c r="AD744" s="190"/>
      <c r="AE744" s="190"/>
      <c r="AF744" s="190"/>
      <c r="AG744" s="190"/>
      <c r="AH744" s="190"/>
      <c r="AI744" s="190"/>
      <c r="AJ744" s="190"/>
      <c r="AK744" s="190"/>
      <c r="AL744" s="190"/>
      <c r="AM744" s="190"/>
    </row>
    <row r="745" spans="2:39">
      <c r="B745" s="162"/>
      <c r="C745" s="162"/>
      <c r="D745" s="191"/>
      <c r="E745" s="191"/>
      <c r="F745" s="191"/>
      <c r="G745" s="191"/>
      <c r="H745" s="191"/>
      <c r="I745" s="191"/>
      <c r="J745" s="191"/>
      <c r="K745" s="191"/>
      <c r="L745" s="191"/>
      <c r="M745" s="191"/>
      <c r="N745" s="191"/>
      <c r="O745" s="191"/>
      <c r="P745" s="191"/>
      <c r="Q745" s="191"/>
      <c r="R745" s="191"/>
      <c r="S745" s="191"/>
      <c r="T745" s="191"/>
      <c r="U745" s="191"/>
      <c r="V745" s="191"/>
      <c r="W745" s="191"/>
      <c r="X745" s="191"/>
      <c r="Y745" s="191"/>
      <c r="Z745" s="191"/>
      <c r="AA745" s="191"/>
      <c r="AB745" s="191"/>
      <c r="AC745" s="190"/>
      <c r="AD745" s="190"/>
      <c r="AE745" s="190"/>
      <c r="AF745" s="190"/>
      <c r="AG745" s="190"/>
      <c r="AH745" s="190"/>
      <c r="AI745" s="190"/>
      <c r="AJ745" s="190"/>
      <c r="AK745" s="190"/>
      <c r="AL745" s="190"/>
      <c r="AM745" s="190"/>
    </row>
    <row r="746" spans="2:39">
      <c r="B746" s="162"/>
      <c r="C746" s="162"/>
      <c r="D746" s="191"/>
      <c r="E746" s="191"/>
      <c r="F746" s="191"/>
      <c r="G746" s="191"/>
      <c r="H746" s="191"/>
      <c r="I746" s="191"/>
      <c r="J746" s="191"/>
      <c r="K746" s="191"/>
      <c r="L746" s="191"/>
      <c r="M746" s="191"/>
      <c r="N746" s="191"/>
      <c r="O746" s="191"/>
      <c r="P746" s="191"/>
      <c r="Q746" s="191"/>
      <c r="R746" s="191"/>
      <c r="S746" s="191"/>
      <c r="T746" s="191"/>
      <c r="U746" s="191"/>
      <c r="V746" s="191"/>
      <c r="W746" s="191"/>
      <c r="X746" s="191"/>
      <c r="Y746" s="191"/>
      <c r="Z746" s="191"/>
      <c r="AA746" s="191"/>
      <c r="AB746" s="191"/>
      <c r="AC746" s="190"/>
      <c r="AD746" s="190"/>
      <c r="AE746" s="190"/>
      <c r="AF746" s="190"/>
      <c r="AG746" s="190"/>
      <c r="AH746" s="190"/>
      <c r="AI746" s="190"/>
      <c r="AJ746" s="190"/>
      <c r="AK746" s="190"/>
      <c r="AL746" s="190"/>
      <c r="AM746" s="190"/>
    </row>
    <row r="747" spans="2:39">
      <c r="B747" s="162"/>
      <c r="C747" s="162"/>
      <c r="D747" s="191"/>
      <c r="E747" s="191"/>
      <c r="F747" s="191"/>
      <c r="G747" s="191"/>
      <c r="H747" s="191"/>
      <c r="I747" s="191"/>
      <c r="J747" s="191"/>
      <c r="K747" s="191"/>
      <c r="L747" s="191"/>
      <c r="M747" s="191"/>
      <c r="N747" s="191"/>
      <c r="O747" s="191"/>
      <c r="P747" s="191"/>
      <c r="Q747" s="191"/>
      <c r="R747" s="191"/>
      <c r="S747" s="191"/>
      <c r="T747" s="191"/>
      <c r="U747" s="191"/>
      <c r="V747" s="191"/>
      <c r="W747" s="191"/>
      <c r="X747" s="191"/>
      <c r="Y747" s="191"/>
      <c r="Z747" s="191"/>
      <c r="AA747" s="191"/>
      <c r="AB747" s="191"/>
      <c r="AC747" s="190"/>
      <c r="AD747" s="190"/>
      <c r="AE747" s="190"/>
      <c r="AF747" s="190"/>
      <c r="AG747" s="190"/>
      <c r="AH747" s="190"/>
      <c r="AI747" s="190"/>
      <c r="AJ747" s="190"/>
      <c r="AK747" s="190"/>
      <c r="AL747" s="190"/>
      <c r="AM747" s="190"/>
    </row>
    <row r="748" spans="2:39">
      <c r="B748" s="162"/>
      <c r="C748" s="162"/>
      <c r="D748" s="191"/>
      <c r="E748" s="191"/>
      <c r="F748" s="191"/>
      <c r="G748" s="191"/>
      <c r="H748" s="191"/>
      <c r="I748" s="191"/>
      <c r="J748" s="191"/>
      <c r="K748" s="191"/>
      <c r="L748" s="191"/>
      <c r="M748" s="191"/>
      <c r="N748" s="191"/>
      <c r="O748" s="191"/>
      <c r="P748" s="191"/>
      <c r="Q748" s="191"/>
      <c r="R748" s="191"/>
      <c r="S748" s="191"/>
      <c r="T748" s="191"/>
      <c r="U748" s="191"/>
      <c r="V748" s="191"/>
      <c r="W748" s="191"/>
      <c r="X748" s="191"/>
      <c r="Y748" s="191"/>
      <c r="Z748" s="191"/>
      <c r="AA748" s="191"/>
      <c r="AB748" s="191"/>
      <c r="AC748" s="190"/>
      <c r="AD748" s="190"/>
      <c r="AE748" s="190"/>
      <c r="AF748" s="190"/>
      <c r="AG748" s="190"/>
      <c r="AH748" s="190"/>
      <c r="AI748" s="190"/>
      <c r="AJ748" s="190"/>
      <c r="AK748" s="190"/>
      <c r="AL748" s="190"/>
      <c r="AM748" s="190"/>
    </row>
    <row r="749" spans="2:39">
      <c r="B749" s="162"/>
      <c r="C749" s="162"/>
      <c r="D749" s="191"/>
      <c r="E749" s="191"/>
      <c r="F749" s="191"/>
      <c r="G749" s="191"/>
      <c r="H749" s="191"/>
      <c r="I749" s="191"/>
      <c r="J749" s="191"/>
      <c r="K749" s="191"/>
      <c r="L749" s="191"/>
      <c r="M749" s="191"/>
      <c r="N749" s="191"/>
      <c r="O749" s="191"/>
      <c r="P749" s="191"/>
      <c r="Q749" s="191"/>
      <c r="R749" s="191"/>
      <c r="S749" s="191"/>
      <c r="T749" s="191"/>
      <c r="U749" s="191"/>
      <c r="V749" s="191"/>
      <c r="W749" s="191"/>
      <c r="X749" s="191"/>
      <c r="Y749" s="191"/>
      <c r="Z749" s="191"/>
      <c r="AA749" s="191"/>
      <c r="AB749" s="191"/>
      <c r="AC749" s="190"/>
      <c r="AD749" s="190"/>
      <c r="AE749" s="190"/>
      <c r="AF749" s="190"/>
      <c r="AG749" s="190"/>
      <c r="AH749" s="190"/>
      <c r="AI749" s="190"/>
      <c r="AJ749" s="190"/>
      <c r="AK749" s="190"/>
      <c r="AL749" s="190"/>
      <c r="AM749" s="190"/>
    </row>
    <row r="750" spans="2:39">
      <c r="B750" s="162"/>
      <c r="C750" s="162"/>
      <c r="D750" s="191"/>
      <c r="E750" s="191"/>
      <c r="F750" s="191"/>
      <c r="G750" s="191"/>
      <c r="H750" s="191"/>
      <c r="I750" s="191"/>
      <c r="J750" s="191"/>
      <c r="K750" s="191"/>
      <c r="L750" s="191"/>
      <c r="M750" s="191"/>
      <c r="N750" s="191"/>
      <c r="O750" s="191"/>
      <c r="P750" s="191"/>
      <c r="Q750" s="191"/>
      <c r="R750" s="191"/>
      <c r="S750" s="191"/>
      <c r="T750" s="191"/>
      <c r="U750" s="191"/>
      <c r="V750" s="191"/>
      <c r="W750" s="191"/>
      <c r="X750" s="191"/>
      <c r="Y750" s="191"/>
      <c r="Z750" s="191"/>
      <c r="AA750" s="191"/>
      <c r="AB750" s="191"/>
      <c r="AC750" s="190"/>
      <c r="AD750" s="190"/>
      <c r="AE750" s="190"/>
      <c r="AF750" s="190"/>
      <c r="AG750" s="190"/>
      <c r="AH750" s="190"/>
      <c r="AI750" s="190"/>
      <c r="AJ750" s="190"/>
      <c r="AK750" s="190"/>
      <c r="AL750" s="190"/>
      <c r="AM750" s="190"/>
    </row>
    <row r="751" spans="2:39">
      <c r="B751" s="162"/>
      <c r="C751" s="162"/>
      <c r="D751" s="191"/>
      <c r="E751" s="191"/>
      <c r="F751" s="191"/>
      <c r="G751" s="191"/>
      <c r="H751" s="191"/>
      <c r="I751" s="191"/>
      <c r="J751" s="191"/>
      <c r="K751" s="191"/>
      <c r="L751" s="191"/>
      <c r="M751" s="191"/>
      <c r="N751" s="191"/>
      <c r="O751" s="191"/>
      <c r="P751" s="191"/>
      <c r="Q751" s="191"/>
      <c r="R751" s="191"/>
      <c r="S751" s="191"/>
      <c r="T751" s="191"/>
      <c r="U751" s="191"/>
      <c r="V751" s="191"/>
      <c r="W751" s="191"/>
      <c r="X751" s="191"/>
      <c r="Y751" s="191"/>
      <c r="Z751" s="191"/>
      <c r="AA751" s="191"/>
      <c r="AB751" s="191"/>
      <c r="AC751" s="190"/>
      <c r="AD751" s="190"/>
      <c r="AE751" s="190"/>
      <c r="AF751" s="190"/>
      <c r="AG751" s="190"/>
      <c r="AH751" s="190"/>
      <c r="AI751" s="190"/>
      <c r="AJ751" s="190"/>
      <c r="AK751" s="190"/>
      <c r="AL751" s="190"/>
      <c r="AM751" s="190"/>
    </row>
    <row r="752" spans="2:39">
      <c r="B752" s="162"/>
      <c r="C752" s="162"/>
      <c r="D752" s="191"/>
      <c r="E752" s="191"/>
      <c r="F752" s="191"/>
      <c r="G752" s="191"/>
      <c r="H752" s="191"/>
      <c r="I752" s="191"/>
      <c r="J752" s="191"/>
      <c r="K752" s="191"/>
      <c r="L752" s="191"/>
      <c r="M752" s="191"/>
      <c r="N752" s="191"/>
      <c r="O752" s="191"/>
      <c r="P752" s="191"/>
      <c r="Q752" s="191"/>
      <c r="R752" s="191"/>
      <c r="S752" s="191"/>
      <c r="T752" s="191"/>
      <c r="U752" s="191"/>
      <c r="V752" s="191"/>
      <c r="W752" s="191"/>
      <c r="X752" s="191"/>
      <c r="Y752" s="191"/>
      <c r="Z752" s="191"/>
      <c r="AA752" s="191"/>
      <c r="AB752" s="191"/>
      <c r="AC752" s="190"/>
      <c r="AD752" s="190"/>
      <c r="AE752" s="190"/>
      <c r="AF752" s="190"/>
      <c r="AG752" s="190"/>
      <c r="AH752" s="190"/>
      <c r="AI752" s="190"/>
      <c r="AJ752" s="190"/>
      <c r="AK752" s="190"/>
      <c r="AL752" s="190"/>
      <c r="AM752" s="190"/>
    </row>
    <row r="753" spans="2:39">
      <c r="B753" s="162"/>
      <c r="C753" s="162"/>
      <c r="D753" s="191"/>
      <c r="E753" s="191"/>
      <c r="F753" s="191"/>
      <c r="G753" s="191"/>
      <c r="H753" s="191"/>
      <c r="I753" s="191"/>
      <c r="J753" s="191"/>
      <c r="K753" s="191"/>
      <c r="L753" s="191"/>
      <c r="M753" s="191"/>
      <c r="N753" s="191"/>
      <c r="O753" s="191"/>
      <c r="P753" s="191"/>
      <c r="Q753" s="191"/>
      <c r="R753" s="191"/>
      <c r="S753" s="191"/>
      <c r="T753" s="191"/>
      <c r="U753" s="191"/>
      <c r="V753" s="191"/>
      <c r="W753" s="191"/>
      <c r="X753" s="191"/>
      <c r="Y753" s="191"/>
      <c r="Z753" s="191"/>
      <c r="AA753" s="191"/>
      <c r="AB753" s="191"/>
      <c r="AC753" s="190"/>
      <c r="AD753" s="190"/>
      <c r="AE753" s="190"/>
      <c r="AF753" s="190"/>
      <c r="AG753" s="190"/>
      <c r="AH753" s="190"/>
      <c r="AI753" s="190"/>
      <c r="AJ753" s="190"/>
      <c r="AK753" s="190"/>
      <c r="AL753" s="190"/>
      <c r="AM753" s="190"/>
    </row>
    <row r="754" spans="2:39">
      <c r="B754" s="162"/>
      <c r="C754" s="162"/>
      <c r="D754" s="191"/>
      <c r="E754" s="191"/>
      <c r="F754" s="191"/>
      <c r="G754" s="191"/>
      <c r="H754" s="191"/>
      <c r="I754" s="191"/>
      <c r="J754" s="191"/>
      <c r="K754" s="191"/>
      <c r="L754" s="191"/>
      <c r="M754" s="191"/>
      <c r="N754" s="191"/>
      <c r="O754" s="191"/>
      <c r="P754" s="191"/>
      <c r="Q754" s="191"/>
      <c r="R754" s="191"/>
      <c r="S754" s="191"/>
      <c r="T754" s="191"/>
      <c r="U754" s="191"/>
      <c r="V754" s="191"/>
      <c r="W754" s="191"/>
      <c r="X754" s="191"/>
      <c r="Y754" s="191"/>
      <c r="Z754" s="191"/>
      <c r="AA754" s="191"/>
      <c r="AB754" s="191"/>
      <c r="AC754" s="190"/>
      <c r="AD754" s="190"/>
      <c r="AE754" s="190"/>
      <c r="AF754" s="190"/>
      <c r="AG754" s="190"/>
      <c r="AH754" s="190"/>
      <c r="AI754" s="190"/>
      <c r="AJ754" s="190"/>
      <c r="AK754" s="190"/>
      <c r="AL754" s="190"/>
      <c r="AM754" s="190"/>
    </row>
    <row r="755" spans="2:39">
      <c r="B755" s="162"/>
      <c r="C755" s="162"/>
      <c r="D755" s="191"/>
      <c r="E755" s="191"/>
      <c r="F755" s="191"/>
      <c r="G755" s="191"/>
      <c r="H755" s="191"/>
      <c r="I755" s="191"/>
      <c r="J755" s="191"/>
      <c r="K755" s="191"/>
      <c r="L755" s="191"/>
      <c r="M755" s="191"/>
      <c r="N755" s="191"/>
      <c r="O755" s="191"/>
      <c r="P755" s="191"/>
      <c r="Q755" s="191"/>
      <c r="R755" s="191"/>
      <c r="S755" s="191"/>
      <c r="T755" s="191"/>
      <c r="U755" s="191"/>
      <c r="V755" s="191"/>
      <c r="W755" s="191"/>
      <c r="X755" s="191"/>
      <c r="Y755" s="191"/>
      <c r="Z755" s="191"/>
      <c r="AA755" s="191"/>
      <c r="AB755" s="191"/>
      <c r="AC755" s="190"/>
      <c r="AD755" s="190"/>
      <c r="AE755" s="190"/>
      <c r="AF755" s="190"/>
      <c r="AG755" s="190"/>
      <c r="AH755" s="190"/>
      <c r="AI755" s="190"/>
      <c r="AJ755" s="190"/>
      <c r="AK755" s="190"/>
      <c r="AL755" s="190"/>
      <c r="AM755" s="190"/>
    </row>
    <row r="756" spans="2:39">
      <c r="B756" s="162"/>
      <c r="C756" s="162"/>
      <c r="D756" s="191"/>
      <c r="E756" s="191"/>
      <c r="F756" s="191"/>
      <c r="G756" s="191"/>
      <c r="H756" s="191"/>
      <c r="I756" s="191"/>
      <c r="J756" s="191"/>
      <c r="K756" s="191"/>
      <c r="L756" s="191"/>
      <c r="M756" s="191"/>
      <c r="N756" s="191"/>
      <c r="O756" s="191"/>
      <c r="P756" s="191"/>
      <c r="Q756" s="191"/>
      <c r="R756" s="191"/>
      <c r="S756" s="191"/>
      <c r="T756" s="191"/>
      <c r="U756" s="191"/>
      <c r="V756" s="191"/>
      <c r="W756" s="191"/>
      <c r="X756" s="191"/>
      <c r="Y756" s="191"/>
      <c r="Z756" s="191"/>
      <c r="AA756" s="191"/>
      <c r="AB756" s="191"/>
      <c r="AC756" s="190"/>
      <c r="AD756" s="190"/>
      <c r="AE756" s="190"/>
      <c r="AF756" s="190"/>
      <c r="AG756" s="190"/>
      <c r="AH756" s="190"/>
      <c r="AI756" s="190"/>
      <c r="AJ756" s="190"/>
      <c r="AK756" s="190"/>
      <c r="AL756" s="190"/>
      <c r="AM756" s="190"/>
    </row>
    <row r="757" spans="2:39">
      <c r="B757" s="162"/>
      <c r="C757" s="162"/>
      <c r="D757" s="191"/>
      <c r="E757" s="191"/>
      <c r="F757" s="191"/>
      <c r="G757" s="191"/>
      <c r="H757" s="191"/>
      <c r="I757" s="191"/>
      <c r="J757" s="191"/>
      <c r="K757" s="191"/>
      <c r="L757" s="191"/>
      <c r="M757" s="191"/>
      <c r="N757" s="191"/>
      <c r="O757" s="191"/>
      <c r="P757" s="191"/>
      <c r="Q757" s="191"/>
      <c r="R757" s="191"/>
      <c r="S757" s="191"/>
      <c r="T757" s="191"/>
      <c r="U757" s="191"/>
      <c r="V757" s="191"/>
      <c r="W757" s="191"/>
      <c r="X757" s="191"/>
      <c r="Y757" s="191"/>
      <c r="Z757" s="191"/>
      <c r="AA757" s="191"/>
      <c r="AB757" s="191"/>
      <c r="AC757" s="190"/>
      <c r="AD757" s="190"/>
      <c r="AE757" s="190"/>
      <c r="AF757" s="190"/>
      <c r="AG757" s="190"/>
      <c r="AH757" s="190"/>
      <c r="AI757" s="190"/>
      <c r="AJ757" s="190"/>
      <c r="AK757" s="190"/>
      <c r="AL757" s="190"/>
      <c r="AM757" s="190"/>
    </row>
    <row r="758" spans="2:39">
      <c r="B758" s="162"/>
      <c r="C758" s="162"/>
      <c r="D758" s="191"/>
      <c r="E758" s="191"/>
      <c r="F758" s="191"/>
      <c r="G758" s="191"/>
      <c r="H758" s="191"/>
      <c r="I758" s="191"/>
      <c r="J758" s="191"/>
      <c r="K758" s="191"/>
      <c r="L758" s="191"/>
      <c r="M758" s="191"/>
      <c r="N758" s="191"/>
      <c r="O758" s="191"/>
      <c r="P758" s="191"/>
      <c r="Q758" s="191"/>
      <c r="R758" s="191"/>
      <c r="S758" s="191"/>
      <c r="T758" s="191"/>
      <c r="U758" s="191"/>
      <c r="V758" s="191"/>
      <c r="W758" s="191"/>
      <c r="X758" s="191"/>
      <c r="Y758" s="191"/>
      <c r="Z758" s="191"/>
      <c r="AA758" s="191"/>
      <c r="AB758" s="191"/>
      <c r="AC758" s="190"/>
      <c r="AD758" s="190"/>
      <c r="AE758" s="190"/>
      <c r="AF758" s="190"/>
      <c r="AG758" s="190"/>
      <c r="AH758" s="190"/>
      <c r="AI758" s="190"/>
      <c r="AJ758" s="190"/>
      <c r="AK758" s="190"/>
      <c r="AL758" s="190"/>
      <c r="AM758" s="190"/>
    </row>
    <row r="759" spans="2:39">
      <c r="B759" s="162"/>
      <c r="C759" s="162"/>
      <c r="D759" s="191"/>
      <c r="E759" s="191"/>
      <c r="F759" s="191"/>
      <c r="G759" s="191"/>
      <c r="H759" s="191"/>
      <c r="I759" s="191"/>
      <c r="J759" s="191"/>
      <c r="K759" s="191"/>
      <c r="L759" s="191"/>
      <c r="M759" s="191"/>
      <c r="N759" s="191"/>
      <c r="O759" s="191"/>
      <c r="P759" s="191"/>
      <c r="Q759" s="191"/>
      <c r="R759" s="191"/>
      <c r="S759" s="191"/>
      <c r="T759" s="191"/>
      <c r="U759" s="191"/>
      <c r="V759" s="191"/>
      <c r="W759" s="191"/>
      <c r="X759" s="191"/>
      <c r="Y759" s="191"/>
      <c r="Z759" s="191"/>
      <c r="AA759" s="191"/>
      <c r="AB759" s="191"/>
      <c r="AC759" s="190"/>
      <c r="AD759" s="190"/>
      <c r="AE759" s="190"/>
      <c r="AF759" s="190"/>
      <c r="AG759" s="190"/>
      <c r="AH759" s="190"/>
      <c r="AI759" s="190"/>
      <c r="AJ759" s="190"/>
      <c r="AK759" s="190"/>
      <c r="AL759" s="190"/>
      <c r="AM759" s="190"/>
    </row>
    <row r="760" spans="2:39">
      <c r="B760" s="162"/>
      <c r="C760" s="162"/>
      <c r="D760" s="191"/>
      <c r="E760" s="191"/>
      <c r="F760" s="191"/>
      <c r="G760" s="191"/>
      <c r="H760" s="191"/>
      <c r="I760" s="191"/>
      <c r="J760" s="191"/>
      <c r="K760" s="191"/>
      <c r="L760" s="191"/>
      <c r="M760" s="191"/>
      <c r="N760" s="191"/>
      <c r="O760" s="191"/>
      <c r="P760" s="191"/>
      <c r="Q760" s="191"/>
      <c r="R760" s="191"/>
      <c r="S760" s="191"/>
      <c r="T760" s="191"/>
      <c r="U760" s="191"/>
      <c r="V760" s="191"/>
      <c r="W760" s="191"/>
      <c r="X760" s="191"/>
      <c r="Y760" s="191"/>
      <c r="Z760" s="191"/>
      <c r="AA760" s="191"/>
      <c r="AB760" s="191"/>
      <c r="AC760" s="190"/>
      <c r="AD760" s="190"/>
      <c r="AE760" s="190"/>
      <c r="AF760" s="190"/>
      <c r="AG760" s="190"/>
      <c r="AH760" s="190"/>
      <c r="AI760" s="190"/>
      <c r="AJ760" s="190"/>
      <c r="AK760" s="190"/>
      <c r="AL760" s="190"/>
      <c r="AM760" s="190"/>
    </row>
    <row r="761" spans="2:39">
      <c r="B761" s="162"/>
      <c r="C761" s="162"/>
      <c r="D761" s="191"/>
      <c r="E761" s="191"/>
      <c r="F761" s="191"/>
      <c r="G761" s="191"/>
      <c r="H761" s="191"/>
      <c r="I761" s="191"/>
      <c r="J761" s="191"/>
      <c r="K761" s="191"/>
      <c r="L761" s="191"/>
      <c r="M761" s="191"/>
      <c r="N761" s="191"/>
      <c r="O761" s="191"/>
      <c r="P761" s="191"/>
      <c r="Q761" s="191"/>
      <c r="R761" s="191"/>
      <c r="S761" s="191"/>
      <c r="T761" s="191"/>
      <c r="U761" s="191"/>
      <c r="V761" s="191"/>
      <c r="W761" s="191"/>
      <c r="X761" s="191"/>
      <c r="Y761" s="191"/>
      <c r="Z761" s="191"/>
      <c r="AA761" s="191"/>
      <c r="AB761" s="191"/>
      <c r="AC761" s="190"/>
      <c r="AD761" s="190"/>
      <c r="AE761" s="190"/>
      <c r="AF761" s="190"/>
      <c r="AG761" s="190"/>
      <c r="AH761" s="190"/>
      <c r="AI761" s="190"/>
      <c r="AJ761" s="190"/>
      <c r="AK761" s="190"/>
      <c r="AL761" s="190"/>
      <c r="AM761" s="190"/>
    </row>
    <row r="762" spans="2:39">
      <c r="B762" s="162"/>
      <c r="C762" s="162"/>
      <c r="D762" s="191"/>
      <c r="E762" s="191"/>
      <c r="F762" s="191"/>
      <c r="G762" s="191"/>
      <c r="H762" s="191"/>
      <c r="I762" s="191"/>
      <c r="J762" s="191"/>
      <c r="K762" s="191"/>
      <c r="L762" s="191"/>
      <c r="M762" s="191"/>
      <c r="N762" s="191"/>
      <c r="O762" s="191"/>
      <c r="P762" s="191"/>
      <c r="Q762" s="191"/>
      <c r="R762" s="191"/>
      <c r="S762" s="191"/>
      <c r="T762" s="191"/>
      <c r="U762" s="191"/>
      <c r="V762" s="191"/>
      <c r="W762" s="191"/>
      <c r="X762" s="191"/>
      <c r="Y762" s="191"/>
      <c r="Z762" s="191"/>
      <c r="AA762" s="191"/>
      <c r="AB762" s="191"/>
      <c r="AC762" s="190"/>
      <c r="AD762" s="190"/>
      <c r="AE762" s="190"/>
      <c r="AF762" s="190"/>
      <c r="AG762" s="190"/>
      <c r="AH762" s="190"/>
      <c r="AI762" s="190"/>
      <c r="AJ762" s="190"/>
      <c r="AK762" s="190"/>
      <c r="AL762" s="190"/>
      <c r="AM762" s="190"/>
    </row>
    <row r="763" spans="2:39">
      <c r="B763" s="162"/>
      <c r="C763" s="162"/>
      <c r="D763" s="191"/>
      <c r="E763" s="191"/>
      <c r="F763" s="191"/>
      <c r="G763" s="191"/>
      <c r="H763" s="191"/>
      <c r="I763" s="191"/>
      <c r="J763" s="191"/>
      <c r="K763" s="191"/>
      <c r="L763" s="191"/>
      <c r="M763" s="191"/>
      <c r="N763" s="191"/>
      <c r="O763" s="191"/>
      <c r="P763" s="191"/>
      <c r="Q763" s="191"/>
      <c r="R763" s="191"/>
      <c r="S763" s="191"/>
      <c r="T763" s="191"/>
      <c r="U763" s="191"/>
      <c r="V763" s="191"/>
      <c r="W763" s="191"/>
      <c r="X763" s="191"/>
      <c r="Y763" s="191"/>
      <c r="Z763" s="191"/>
      <c r="AA763" s="191"/>
      <c r="AB763" s="191"/>
      <c r="AC763" s="190"/>
      <c r="AD763" s="190"/>
      <c r="AE763" s="190"/>
      <c r="AF763" s="190"/>
      <c r="AG763" s="190"/>
      <c r="AH763" s="190"/>
      <c r="AI763" s="190"/>
      <c r="AJ763" s="190"/>
      <c r="AK763" s="190"/>
      <c r="AL763" s="190"/>
      <c r="AM763" s="190"/>
    </row>
    <row r="764" spans="2:39">
      <c r="B764" s="162"/>
      <c r="C764" s="162"/>
      <c r="D764" s="191"/>
      <c r="E764" s="191"/>
      <c r="F764" s="191"/>
      <c r="G764" s="191"/>
      <c r="H764" s="191"/>
      <c r="I764" s="191"/>
      <c r="J764" s="191"/>
      <c r="K764" s="191"/>
      <c r="L764" s="191"/>
      <c r="M764" s="191"/>
      <c r="N764" s="191"/>
      <c r="O764" s="191"/>
      <c r="P764" s="191"/>
      <c r="Q764" s="191"/>
      <c r="R764" s="191"/>
      <c r="S764" s="191"/>
      <c r="T764" s="191"/>
      <c r="U764" s="191"/>
      <c r="V764" s="191"/>
      <c r="W764" s="191"/>
      <c r="X764" s="191"/>
      <c r="Y764" s="191"/>
      <c r="Z764" s="191"/>
      <c r="AA764" s="191"/>
      <c r="AB764" s="191"/>
      <c r="AC764" s="190"/>
      <c r="AD764" s="190"/>
      <c r="AE764" s="190"/>
      <c r="AF764" s="190"/>
      <c r="AG764" s="190"/>
      <c r="AH764" s="190"/>
      <c r="AI764" s="190"/>
      <c r="AJ764" s="190"/>
      <c r="AK764" s="190"/>
      <c r="AL764" s="190"/>
      <c r="AM764" s="190"/>
    </row>
    <row r="765" spans="2:39">
      <c r="B765" s="162"/>
      <c r="C765" s="162"/>
      <c r="D765" s="191"/>
      <c r="E765" s="191"/>
      <c r="F765" s="191"/>
      <c r="G765" s="191"/>
      <c r="H765" s="191"/>
      <c r="I765" s="191"/>
      <c r="J765" s="191"/>
      <c r="K765" s="191"/>
      <c r="L765" s="191"/>
      <c r="M765" s="191"/>
      <c r="N765" s="191"/>
      <c r="O765" s="191"/>
      <c r="P765" s="191"/>
      <c r="Q765" s="191"/>
      <c r="R765" s="191"/>
      <c r="S765" s="191"/>
      <c r="T765" s="191"/>
      <c r="U765" s="191"/>
      <c r="V765" s="191"/>
      <c r="W765" s="191"/>
      <c r="X765" s="191"/>
      <c r="Y765" s="191"/>
      <c r="Z765" s="191"/>
      <c r="AA765" s="191"/>
      <c r="AB765" s="191"/>
      <c r="AC765" s="190"/>
      <c r="AD765" s="190"/>
      <c r="AE765" s="190"/>
      <c r="AF765" s="190"/>
      <c r="AG765" s="190"/>
      <c r="AH765" s="190"/>
      <c r="AI765" s="190"/>
      <c r="AJ765" s="190"/>
      <c r="AK765" s="190"/>
      <c r="AL765" s="190"/>
      <c r="AM765" s="190"/>
    </row>
    <row r="766" spans="2:39">
      <c r="B766" s="162"/>
      <c r="C766" s="162"/>
      <c r="D766" s="191"/>
      <c r="E766" s="191"/>
      <c r="F766" s="191"/>
      <c r="G766" s="191"/>
      <c r="H766" s="191"/>
      <c r="I766" s="191"/>
      <c r="J766" s="191"/>
      <c r="K766" s="191"/>
      <c r="L766" s="191"/>
      <c r="M766" s="191"/>
      <c r="N766" s="191"/>
      <c r="O766" s="191"/>
      <c r="P766" s="191"/>
      <c r="Q766" s="191"/>
      <c r="R766" s="191"/>
      <c r="S766" s="191"/>
      <c r="T766" s="191"/>
      <c r="U766" s="191"/>
      <c r="V766" s="191"/>
      <c r="W766" s="191"/>
      <c r="X766" s="191"/>
      <c r="Y766" s="191"/>
      <c r="Z766" s="191"/>
      <c r="AA766" s="191"/>
      <c r="AB766" s="191"/>
      <c r="AC766" s="190"/>
      <c r="AD766" s="190"/>
      <c r="AE766" s="190"/>
      <c r="AF766" s="190"/>
      <c r="AG766" s="190"/>
      <c r="AH766" s="190"/>
      <c r="AI766" s="190"/>
      <c r="AJ766" s="190"/>
      <c r="AK766" s="190"/>
      <c r="AL766" s="190"/>
      <c r="AM766" s="190"/>
    </row>
    <row r="767" spans="2:39">
      <c r="B767" s="162"/>
      <c r="C767" s="162"/>
      <c r="D767" s="191"/>
      <c r="E767" s="191"/>
      <c r="F767" s="191"/>
      <c r="G767" s="191"/>
      <c r="H767" s="191"/>
      <c r="I767" s="191"/>
      <c r="J767" s="191"/>
      <c r="K767" s="191"/>
      <c r="L767" s="191"/>
      <c r="M767" s="191"/>
      <c r="N767" s="191"/>
      <c r="O767" s="191"/>
      <c r="P767" s="191"/>
      <c r="Q767" s="191"/>
      <c r="R767" s="191"/>
      <c r="S767" s="191"/>
      <c r="T767" s="191"/>
      <c r="U767" s="191"/>
      <c r="V767" s="191"/>
      <c r="W767" s="191"/>
      <c r="X767" s="191"/>
      <c r="Y767" s="191"/>
      <c r="Z767" s="191"/>
      <c r="AA767" s="191"/>
      <c r="AB767" s="191"/>
      <c r="AC767" s="190"/>
      <c r="AD767" s="190"/>
      <c r="AE767" s="190"/>
      <c r="AF767" s="190"/>
      <c r="AG767" s="190"/>
      <c r="AH767" s="190"/>
      <c r="AI767" s="190"/>
      <c r="AJ767" s="190"/>
      <c r="AK767" s="190"/>
      <c r="AL767" s="190"/>
      <c r="AM767" s="190"/>
    </row>
    <row r="768" spans="2:39">
      <c r="B768" s="162"/>
      <c r="C768" s="162"/>
      <c r="D768" s="191"/>
      <c r="E768" s="191"/>
      <c r="F768" s="191"/>
      <c r="G768" s="191"/>
      <c r="H768" s="191"/>
      <c r="I768" s="191"/>
      <c r="J768" s="191"/>
      <c r="K768" s="191"/>
      <c r="L768" s="191"/>
      <c r="M768" s="191"/>
      <c r="N768" s="191"/>
      <c r="O768" s="191"/>
      <c r="P768" s="191"/>
      <c r="Q768" s="191"/>
      <c r="R768" s="191"/>
      <c r="S768" s="191"/>
      <c r="T768" s="191"/>
      <c r="U768" s="191"/>
      <c r="V768" s="191"/>
      <c r="W768" s="191"/>
      <c r="X768" s="191"/>
      <c r="Y768" s="191"/>
      <c r="Z768" s="191"/>
      <c r="AA768" s="191"/>
      <c r="AB768" s="191"/>
      <c r="AC768" s="190"/>
      <c r="AD768" s="190"/>
      <c r="AE768" s="190"/>
      <c r="AF768" s="190"/>
      <c r="AG768" s="190"/>
      <c r="AH768" s="190"/>
      <c r="AI768" s="190"/>
      <c r="AJ768" s="190"/>
      <c r="AK768" s="190"/>
      <c r="AL768" s="190"/>
      <c r="AM768" s="190"/>
    </row>
    <row r="769" spans="2:39">
      <c r="B769" s="162"/>
      <c r="C769" s="162"/>
      <c r="D769" s="191"/>
      <c r="E769" s="191"/>
      <c r="F769" s="191"/>
      <c r="G769" s="191"/>
      <c r="H769" s="191"/>
      <c r="I769" s="191"/>
      <c r="J769" s="191"/>
      <c r="K769" s="191"/>
      <c r="L769" s="191"/>
      <c r="M769" s="191"/>
      <c r="N769" s="191"/>
      <c r="O769" s="191"/>
      <c r="P769" s="191"/>
      <c r="Q769" s="191"/>
      <c r="R769" s="191"/>
      <c r="S769" s="191"/>
      <c r="T769" s="191"/>
      <c r="U769" s="191"/>
      <c r="V769" s="191"/>
      <c r="W769" s="191"/>
      <c r="X769" s="191"/>
      <c r="Y769" s="191"/>
      <c r="Z769" s="191"/>
      <c r="AA769" s="191"/>
      <c r="AB769" s="191"/>
      <c r="AC769" s="190"/>
      <c r="AD769" s="190"/>
      <c r="AE769" s="190"/>
      <c r="AF769" s="190"/>
      <c r="AG769" s="190"/>
      <c r="AH769" s="190"/>
      <c r="AI769" s="190"/>
      <c r="AJ769" s="190"/>
      <c r="AK769" s="190"/>
      <c r="AL769" s="190"/>
      <c r="AM769" s="190"/>
    </row>
    <row r="770" spans="2:39">
      <c r="B770" s="162"/>
      <c r="C770" s="162"/>
      <c r="D770" s="191"/>
      <c r="E770" s="191"/>
      <c r="F770" s="191"/>
      <c r="G770" s="191"/>
      <c r="H770" s="191"/>
      <c r="I770" s="191"/>
      <c r="J770" s="191"/>
      <c r="K770" s="191"/>
      <c r="L770" s="191"/>
      <c r="M770" s="191"/>
      <c r="N770" s="191"/>
      <c r="O770" s="191"/>
      <c r="P770" s="191"/>
      <c r="Q770" s="191"/>
      <c r="R770" s="191"/>
      <c r="S770" s="191"/>
      <c r="T770" s="191"/>
      <c r="U770" s="191"/>
      <c r="V770" s="191"/>
      <c r="W770" s="191"/>
      <c r="X770" s="191"/>
      <c r="Y770" s="191"/>
      <c r="Z770" s="191"/>
      <c r="AA770" s="191"/>
      <c r="AB770" s="191"/>
      <c r="AC770" s="190"/>
      <c r="AD770" s="190"/>
      <c r="AE770" s="190"/>
      <c r="AF770" s="190"/>
      <c r="AG770" s="190"/>
      <c r="AH770" s="190"/>
      <c r="AI770" s="190"/>
      <c r="AJ770" s="190"/>
      <c r="AK770" s="190"/>
      <c r="AL770" s="190"/>
      <c r="AM770" s="190"/>
    </row>
    <row r="771" spans="2:39">
      <c r="B771" s="162"/>
      <c r="C771" s="162"/>
      <c r="D771" s="191"/>
      <c r="E771" s="191"/>
      <c r="F771" s="191"/>
      <c r="G771" s="191"/>
      <c r="H771" s="191"/>
      <c r="I771" s="191"/>
      <c r="J771" s="191"/>
      <c r="K771" s="191"/>
      <c r="L771" s="191"/>
      <c r="M771" s="191"/>
      <c r="N771" s="191"/>
      <c r="O771" s="191"/>
      <c r="P771" s="191"/>
      <c r="Q771" s="191"/>
      <c r="R771" s="191"/>
      <c r="S771" s="191"/>
      <c r="T771" s="191"/>
      <c r="U771" s="191"/>
      <c r="V771" s="191"/>
      <c r="W771" s="191"/>
      <c r="X771" s="191"/>
      <c r="Y771" s="191"/>
      <c r="Z771" s="191"/>
      <c r="AA771" s="191"/>
      <c r="AB771" s="191"/>
      <c r="AC771" s="190"/>
      <c r="AD771" s="190"/>
      <c r="AE771" s="190"/>
      <c r="AF771" s="190"/>
      <c r="AG771" s="190"/>
      <c r="AH771" s="190"/>
      <c r="AI771" s="190"/>
      <c r="AJ771" s="190"/>
      <c r="AK771" s="190"/>
      <c r="AL771" s="190"/>
      <c r="AM771" s="190"/>
    </row>
    <row r="772" spans="2:39">
      <c r="B772" s="162"/>
      <c r="C772" s="162"/>
      <c r="D772" s="191"/>
      <c r="E772" s="191"/>
      <c r="F772" s="191"/>
      <c r="G772" s="191"/>
      <c r="H772" s="191"/>
      <c r="I772" s="191"/>
      <c r="J772" s="191"/>
      <c r="K772" s="191"/>
      <c r="L772" s="191"/>
      <c r="M772" s="191"/>
      <c r="N772" s="191"/>
      <c r="O772" s="191"/>
      <c r="P772" s="191"/>
      <c r="Q772" s="191"/>
      <c r="R772" s="191"/>
      <c r="S772" s="191"/>
      <c r="T772" s="191"/>
      <c r="U772" s="191"/>
      <c r="V772" s="191"/>
      <c r="W772" s="191"/>
      <c r="X772" s="191"/>
      <c r="Y772" s="191"/>
      <c r="Z772" s="191"/>
      <c r="AA772" s="191"/>
      <c r="AB772" s="191"/>
      <c r="AC772" s="190"/>
      <c r="AD772" s="190"/>
      <c r="AE772" s="190"/>
      <c r="AF772" s="190"/>
      <c r="AG772" s="190"/>
      <c r="AH772" s="190"/>
      <c r="AI772" s="190"/>
      <c r="AJ772" s="190"/>
      <c r="AK772" s="190"/>
      <c r="AL772" s="190"/>
      <c r="AM772" s="190"/>
    </row>
    <row r="773" spans="2:39">
      <c r="B773" s="162"/>
      <c r="C773" s="162"/>
      <c r="D773" s="191"/>
      <c r="E773" s="191"/>
      <c r="F773" s="191"/>
      <c r="G773" s="191"/>
      <c r="H773" s="191"/>
      <c r="I773" s="191"/>
      <c r="J773" s="191"/>
      <c r="K773" s="191"/>
      <c r="L773" s="191"/>
      <c r="M773" s="191"/>
      <c r="N773" s="191"/>
      <c r="O773" s="191"/>
      <c r="P773" s="191"/>
      <c r="Q773" s="191"/>
      <c r="R773" s="191"/>
      <c r="S773" s="191"/>
      <c r="T773" s="191"/>
      <c r="U773" s="191"/>
      <c r="V773" s="191"/>
      <c r="W773" s="191"/>
      <c r="X773" s="191"/>
      <c r="Y773" s="191"/>
      <c r="Z773" s="191"/>
      <c r="AA773" s="191"/>
      <c r="AB773" s="191"/>
      <c r="AC773" s="190"/>
      <c r="AD773" s="190"/>
      <c r="AE773" s="190"/>
      <c r="AF773" s="190"/>
      <c r="AG773" s="190"/>
      <c r="AH773" s="190"/>
      <c r="AI773" s="190"/>
      <c r="AJ773" s="190"/>
      <c r="AK773" s="190"/>
      <c r="AL773" s="190"/>
      <c r="AM773" s="190"/>
    </row>
    <row r="774" spans="2:39">
      <c r="B774" s="162"/>
      <c r="C774" s="162"/>
      <c r="D774" s="191"/>
      <c r="E774" s="191"/>
      <c r="F774" s="191"/>
      <c r="G774" s="191"/>
      <c r="H774" s="191"/>
      <c r="I774" s="191"/>
      <c r="J774" s="191"/>
      <c r="K774" s="191"/>
      <c r="L774" s="191"/>
      <c r="M774" s="191"/>
      <c r="N774" s="191"/>
      <c r="O774" s="191"/>
      <c r="P774" s="191"/>
      <c r="Q774" s="191"/>
      <c r="R774" s="191"/>
      <c r="S774" s="191"/>
      <c r="T774" s="191"/>
      <c r="U774" s="191"/>
      <c r="V774" s="191"/>
      <c r="W774" s="191"/>
      <c r="X774" s="191"/>
      <c r="Y774" s="191"/>
      <c r="Z774" s="191"/>
      <c r="AA774" s="191"/>
      <c r="AB774" s="191"/>
      <c r="AC774" s="190"/>
      <c r="AD774" s="190"/>
      <c r="AE774" s="190"/>
      <c r="AF774" s="190"/>
      <c r="AG774" s="190"/>
      <c r="AH774" s="190"/>
      <c r="AI774" s="190"/>
      <c r="AJ774" s="190"/>
      <c r="AK774" s="190"/>
      <c r="AL774" s="190"/>
      <c r="AM774" s="190"/>
    </row>
    <row r="775" spans="2:39">
      <c r="B775" s="162"/>
      <c r="C775" s="162"/>
      <c r="D775" s="191"/>
      <c r="E775" s="191"/>
      <c r="F775" s="191"/>
      <c r="G775" s="191"/>
      <c r="H775" s="191"/>
      <c r="I775" s="191"/>
      <c r="J775" s="191"/>
      <c r="K775" s="191"/>
      <c r="L775" s="191"/>
      <c r="M775" s="191"/>
      <c r="N775" s="191"/>
      <c r="O775" s="191"/>
      <c r="P775" s="191"/>
      <c r="Q775" s="191"/>
      <c r="R775" s="191"/>
      <c r="S775" s="191"/>
      <c r="T775" s="191"/>
      <c r="U775" s="191"/>
      <c r="V775" s="191"/>
      <c r="W775" s="191"/>
      <c r="X775" s="191"/>
      <c r="Y775" s="191"/>
      <c r="Z775" s="191"/>
      <c r="AA775" s="191"/>
      <c r="AB775" s="191"/>
      <c r="AC775" s="190"/>
      <c r="AD775" s="190"/>
      <c r="AE775" s="190"/>
      <c r="AF775" s="190"/>
      <c r="AG775" s="190"/>
      <c r="AH775" s="190"/>
      <c r="AI775" s="190"/>
      <c r="AJ775" s="190"/>
      <c r="AK775" s="190"/>
      <c r="AL775" s="190"/>
      <c r="AM775" s="190"/>
    </row>
    <row r="776" spans="2:39">
      <c r="B776" s="162"/>
      <c r="C776" s="162"/>
      <c r="D776" s="191"/>
      <c r="E776" s="191"/>
      <c r="F776" s="191"/>
      <c r="G776" s="191"/>
      <c r="H776" s="191"/>
      <c r="I776" s="191"/>
      <c r="J776" s="191"/>
      <c r="K776" s="191"/>
      <c r="L776" s="191"/>
      <c r="M776" s="191"/>
      <c r="N776" s="191"/>
      <c r="O776" s="191"/>
      <c r="P776" s="191"/>
      <c r="Q776" s="191"/>
      <c r="R776" s="191"/>
      <c r="S776" s="191"/>
      <c r="T776" s="191"/>
      <c r="U776" s="191"/>
      <c r="V776" s="191"/>
      <c r="W776" s="191"/>
      <c r="X776" s="191"/>
      <c r="Y776" s="191"/>
      <c r="Z776" s="191"/>
      <c r="AA776" s="191"/>
      <c r="AB776" s="191"/>
      <c r="AC776" s="190"/>
      <c r="AD776" s="190"/>
      <c r="AE776" s="190"/>
      <c r="AF776" s="190"/>
      <c r="AG776" s="190"/>
      <c r="AH776" s="190"/>
      <c r="AI776" s="190"/>
      <c r="AJ776" s="190"/>
      <c r="AK776" s="190"/>
      <c r="AL776" s="190"/>
      <c r="AM776" s="190"/>
    </row>
    <row r="777" spans="2:39">
      <c r="B777" s="162"/>
      <c r="C777" s="162"/>
      <c r="D777" s="191"/>
      <c r="E777" s="191"/>
      <c r="F777" s="191"/>
      <c r="G777" s="191"/>
      <c r="H777" s="191"/>
      <c r="I777" s="191"/>
      <c r="J777" s="191"/>
      <c r="K777" s="191"/>
      <c r="L777" s="191"/>
      <c r="M777" s="191"/>
      <c r="N777" s="191"/>
      <c r="O777" s="191"/>
      <c r="P777" s="191"/>
      <c r="Q777" s="191"/>
      <c r="R777" s="191"/>
      <c r="S777" s="191"/>
      <c r="T777" s="191"/>
      <c r="U777" s="191"/>
      <c r="V777" s="191"/>
      <c r="W777" s="191"/>
      <c r="X777" s="191"/>
      <c r="Y777" s="191"/>
      <c r="Z777" s="191"/>
      <c r="AA777" s="191"/>
      <c r="AB777" s="191"/>
      <c r="AC777" s="190"/>
      <c r="AD777" s="190"/>
      <c r="AE777" s="190"/>
      <c r="AF777" s="190"/>
      <c r="AG777" s="190"/>
      <c r="AH777" s="190"/>
      <c r="AI777" s="190"/>
      <c r="AJ777" s="190"/>
      <c r="AK777" s="190"/>
      <c r="AL777" s="190"/>
      <c r="AM777" s="190"/>
    </row>
    <row r="778" spans="2:39">
      <c r="B778" s="162"/>
      <c r="C778" s="162"/>
      <c r="D778" s="191"/>
      <c r="E778" s="191"/>
      <c r="F778" s="191"/>
      <c r="G778" s="191"/>
      <c r="H778" s="191"/>
      <c r="I778" s="191"/>
      <c r="J778" s="191"/>
      <c r="K778" s="191"/>
      <c r="L778" s="191"/>
      <c r="M778" s="191"/>
      <c r="N778" s="191"/>
      <c r="O778" s="191"/>
      <c r="P778" s="191"/>
      <c r="Q778" s="191"/>
      <c r="R778" s="191"/>
      <c r="S778" s="191"/>
      <c r="T778" s="191"/>
      <c r="U778" s="191"/>
      <c r="V778" s="191"/>
      <c r="W778" s="191"/>
      <c r="X778" s="191"/>
      <c r="Y778" s="191"/>
      <c r="Z778" s="191"/>
      <c r="AA778" s="191"/>
      <c r="AB778" s="191"/>
      <c r="AC778" s="190"/>
      <c r="AD778" s="190"/>
      <c r="AE778" s="190"/>
      <c r="AF778" s="190"/>
      <c r="AG778" s="190"/>
      <c r="AH778" s="190"/>
      <c r="AI778" s="190"/>
      <c r="AJ778" s="190"/>
      <c r="AK778" s="190"/>
      <c r="AL778" s="190"/>
      <c r="AM778" s="190"/>
    </row>
    <row r="779" spans="2:39">
      <c r="B779" s="162"/>
      <c r="C779" s="162"/>
      <c r="D779" s="191"/>
      <c r="E779" s="191"/>
      <c r="F779" s="191"/>
      <c r="G779" s="191"/>
      <c r="H779" s="191"/>
      <c r="I779" s="191"/>
      <c r="J779" s="191"/>
      <c r="K779" s="191"/>
      <c r="L779" s="191"/>
      <c r="M779" s="191"/>
      <c r="N779" s="191"/>
      <c r="O779" s="191"/>
      <c r="P779" s="191"/>
      <c r="Q779" s="191"/>
      <c r="R779" s="191"/>
      <c r="S779" s="191"/>
      <c r="T779" s="191"/>
      <c r="U779" s="191"/>
      <c r="V779" s="191"/>
      <c r="W779" s="191"/>
      <c r="X779" s="191"/>
      <c r="Y779" s="191"/>
      <c r="Z779" s="191"/>
      <c r="AA779" s="191"/>
      <c r="AB779" s="191"/>
      <c r="AC779" s="190"/>
      <c r="AD779" s="190"/>
      <c r="AE779" s="190"/>
      <c r="AF779" s="190"/>
      <c r="AG779" s="190"/>
      <c r="AH779" s="190"/>
      <c r="AI779" s="190"/>
      <c r="AJ779" s="190"/>
      <c r="AK779" s="190"/>
      <c r="AL779" s="190"/>
      <c r="AM779" s="190"/>
    </row>
    <row r="780" spans="2:39">
      <c r="B780" s="162"/>
      <c r="C780" s="162"/>
      <c r="D780" s="191"/>
      <c r="E780" s="191"/>
      <c r="F780" s="191"/>
      <c r="G780" s="191"/>
      <c r="H780" s="191"/>
      <c r="I780" s="191"/>
      <c r="J780" s="191"/>
      <c r="K780" s="191"/>
      <c r="L780" s="191"/>
      <c r="M780" s="191"/>
      <c r="N780" s="191"/>
      <c r="O780" s="191"/>
      <c r="P780" s="191"/>
      <c r="Q780" s="191"/>
      <c r="R780" s="191"/>
      <c r="S780" s="191"/>
      <c r="T780" s="191"/>
      <c r="U780" s="191"/>
      <c r="V780" s="191"/>
      <c r="W780" s="191"/>
      <c r="X780" s="191"/>
      <c r="Y780" s="191"/>
      <c r="Z780" s="191"/>
      <c r="AA780" s="191"/>
      <c r="AB780" s="191"/>
      <c r="AC780" s="190"/>
      <c r="AD780" s="190"/>
      <c r="AE780" s="190"/>
      <c r="AF780" s="190"/>
      <c r="AG780" s="190"/>
      <c r="AH780" s="190"/>
      <c r="AI780" s="190"/>
      <c r="AJ780" s="190"/>
      <c r="AK780" s="190"/>
      <c r="AL780" s="190"/>
      <c r="AM780" s="190"/>
    </row>
    <row r="781" spans="2:39">
      <c r="B781" s="162"/>
      <c r="C781" s="162"/>
      <c r="D781" s="191"/>
      <c r="E781" s="191"/>
      <c r="F781" s="191"/>
      <c r="G781" s="191"/>
      <c r="H781" s="191"/>
      <c r="I781" s="191"/>
      <c r="J781" s="191"/>
      <c r="K781" s="191"/>
      <c r="L781" s="191"/>
      <c r="M781" s="191"/>
      <c r="N781" s="191"/>
      <c r="O781" s="191"/>
      <c r="P781" s="191"/>
      <c r="Q781" s="191"/>
      <c r="R781" s="191"/>
      <c r="S781" s="191"/>
      <c r="T781" s="191"/>
      <c r="U781" s="191"/>
      <c r="V781" s="191"/>
      <c r="W781" s="191"/>
      <c r="X781" s="191"/>
      <c r="Y781" s="191"/>
      <c r="Z781" s="191"/>
      <c r="AA781" s="191"/>
      <c r="AB781" s="191"/>
      <c r="AC781" s="190"/>
      <c r="AD781" s="190"/>
      <c r="AE781" s="190"/>
      <c r="AF781" s="190"/>
      <c r="AG781" s="190"/>
      <c r="AH781" s="190"/>
      <c r="AI781" s="190"/>
      <c r="AJ781" s="190"/>
      <c r="AK781" s="190"/>
      <c r="AL781" s="190"/>
      <c r="AM781" s="190"/>
    </row>
    <row r="782" spans="2:39">
      <c r="B782" s="162"/>
      <c r="C782" s="162"/>
      <c r="D782" s="191"/>
      <c r="E782" s="191"/>
      <c r="F782" s="191"/>
      <c r="G782" s="191"/>
      <c r="H782" s="191"/>
      <c r="I782" s="191"/>
      <c r="J782" s="191"/>
      <c r="K782" s="191"/>
      <c r="L782" s="191"/>
      <c r="M782" s="191"/>
      <c r="N782" s="191"/>
      <c r="O782" s="191"/>
      <c r="P782" s="191"/>
      <c r="Q782" s="191"/>
      <c r="R782" s="191"/>
      <c r="S782" s="191"/>
      <c r="T782" s="191"/>
      <c r="U782" s="191"/>
      <c r="V782" s="191"/>
      <c r="W782" s="191"/>
      <c r="X782" s="191"/>
      <c r="Y782" s="191"/>
      <c r="Z782" s="191"/>
      <c r="AA782" s="191"/>
      <c r="AB782" s="191"/>
      <c r="AC782" s="190"/>
      <c r="AD782" s="190"/>
      <c r="AE782" s="190"/>
      <c r="AF782" s="190"/>
      <c r="AG782" s="190"/>
      <c r="AH782" s="190"/>
      <c r="AI782" s="190"/>
      <c r="AJ782" s="190"/>
      <c r="AK782" s="190"/>
      <c r="AL782" s="190"/>
      <c r="AM782" s="190"/>
    </row>
    <row r="783" spans="2:39">
      <c r="B783" s="162"/>
      <c r="C783" s="162"/>
      <c r="D783" s="191"/>
      <c r="E783" s="191"/>
      <c r="F783" s="191"/>
      <c r="G783" s="191"/>
      <c r="H783" s="191"/>
      <c r="I783" s="191"/>
      <c r="J783" s="191"/>
      <c r="K783" s="191"/>
      <c r="L783" s="191"/>
      <c r="M783" s="191"/>
      <c r="N783" s="191"/>
      <c r="O783" s="191"/>
      <c r="P783" s="191"/>
      <c r="Q783" s="191"/>
      <c r="R783" s="191"/>
      <c r="S783" s="191"/>
      <c r="T783" s="191"/>
      <c r="U783" s="191"/>
      <c r="V783" s="191"/>
      <c r="W783" s="191"/>
      <c r="X783" s="191"/>
      <c r="Y783" s="191"/>
      <c r="Z783" s="191"/>
      <c r="AA783" s="191"/>
      <c r="AB783" s="191"/>
      <c r="AC783" s="190"/>
      <c r="AD783" s="190"/>
      <c r="AE783" s="190"/>
      <c r="AF783" s="190"/>
      <c r="AG783" s="190"/>
      <c r="AH783" s="190"/>
      <c r="AI783" s="190"/>
      <c r="AJ783" s="190"/>
      <c r="AK783" s="190"/>
      <c r="AL783" s="190"/>
      <c r="AM783" s="190"/>
    </row>
    <row r="784" spans="2:39">
      <c r="B784" s="162"/>
      <c r="C784" s="162"/>
      <c r="D784" s="191"/>
      <c r="E784" s="191"/>
      <c r="F784" s="191"/>
      <c r="G784" s="191"/>
      <c r="H784" s="191"/>
      <c r="I784" s="191"/>
      <c r="J784" s="191"/>
      <c r="K784" s="191"/>
      <c r="L784" s="191"/>
      <c r="M784" s="191"/>
      <c r="N784" s="191"/>
      <c r="O784" s="191"/>
      <c r="P784" s="191"/>
      <c r="Q784" s="191"/>
      <c r="R784" s="191"/>
      <c r="S784" s="191"/>
      <c r="T784" s="191"/>
      <c r="U784" s="191"/>
      <c r="V784" s="191"/>
      <c r="W784" s="191"/>
      <c r="X784" s="191"/>
      <c r="Y784" s="191"/>
      <c r="Z784" s="191"/>
      <c r="AA784" s="191"/>
      <c r="AB784" s="191"/>
      <c r="AC784" s="190"/>
      <c r="AD784" s="190"/>
      <c r="AE784" s="190"/>
      <c r="AF784" s="190"/>
      <c r="AG784" s="190"/>
      <c r="AH784" s="190"/>
      <c r="AI784" s="190"/>
      <c r="AJ784" s="190"/>
      <c r="AK784" s="190"/>
      <c r="AL784" s="190"/>
      <c r="AM784" s="190"/>
    </row>
    <row r="785" spans="2:39">
      <c r="B785" s="162"/>
      <c r="C785" s="162"/>
      <c r="D785" s="191"/>
      <c r="E785" s="191"/>
      <c r="F785" s="191"/>
      <c r="G785" s="191"/>
      <c r="H785" s="191"/>
      <c r="I785" s="191"/>
      <c r="J785" s="191"/>
      <c r="K785" s="191"/>
      <c r="L785" s="191"/>
      <c r="M785" s="191"/>
      <c r="N785" s="191"/>
      <c r="O785" s="191"/>
      <c r="P785" s="191"/>
      <c r="Q785" s="191"/>
      <c r="R785" s="191"/>
      <c r="S785" s="191"/>
      <c r="T785" s="191"/>
      <c r="U785" s="191"/>
      <c r="V785" s="191"/>
      <c r="W785" s="191"/>
      <c r="X785" s="191"/>
      <c r="Y785" s="191"/>
      <c r="Z785" s="191"/>
      <c r="AA785" s="191"/>
      <c r="AB785" s="191"/>
      <c r="AC785" s="190"/>
      <c r="AD785" s="190"/>
      <c r="AE785" s="190"/>
      <c r="AF785" s="190"/>
      <c r="AG785" s="190"/>
      <c r="AH785" s="190"/>
      <c r="AI785" s="190"/>
      <c r="AJ785" s="190"/>
      <c r="AK785" s="190"/>
      <c r="AL785" s="190"/>
      <c r="AM785" s="190"/>
    </row>
    <row r="786" spans="2:39">
      <c r="B786" s="162"/>
      <c r="C786" s="162"/>
      <c r="D786" s="191"/>
      <c r="E786" s="191"/>
      <c r="F786" s="191"/>
      <c r="G786" s="191"/>
      <c r="H786" s="191"/>
      <c r="I786" s="191"/>
      <c r="J786" s="191"/>
      <c r="K786" s="191"/>
      <c r="L786" s="191"/>
      <c r="M786" s="191"/>
      <c r="N786" s="191"/>
      <c r="O786" s="191"/>
      <c r="P786" s="191"/>
      <c r="Q786" s="191"/>
      <c r="R786" s="191"/>
      <c r="S786" s="191"/>
      <c r="T786" s="191"/>
      <c r="U786" s="191"/>
      <c r="V786" s="191"/>
      <c r="W786" s="191"/>
      <c r="X786" s="191"/>
      <c r="Y786" s="191"/>
      <c r="Z786" s="191"/>
      <c r="AA786" s="191"/>
      <c r="AB786" s="191"/>
      <c r="AC786" s="190"/>
      <c r="AD786" s="190"/>
      <c r="AE786" s="190"/>
      <c r="AF786" s="190"/>
      <c r="AG786" s="190"/>
      <c r="AH786" s="190"/>
      <c r="AI786" s="190"/>
      <c r="AJ786" s="190"/>
      <c r="AK786" s="190"/>
      <c r="AL786" s="190"/>
      <c r="AM786" s="190"/>
    </row>
    <row r="787" spans="2:39">
      <c r="B787" s="162"/>
      <c r="C787" s="162"/>
      <c r="D787" s="191"/>
      <c r="E787" s="191"/>
      <c r="F787" s="191"/>
      <c r="G787" s="191"/>
      <c r="H787" s="191"/>
      <c r="I787" s="191"/>
      <c r="J787" s="191"/>
      <c r="K787" s="191"/>
      <c r="L787" s="191"/>
      <c r="M787" s="191"/>
      <c r="N787" s="191"/>
      <c r="O787" s="191"/>
      <c r="P787" s="191"/>
      <c r="Q787" s="191"/>
      <c r="R787" s="191"/>
      <c r="S787" s="191"/>
      <c r="T787" s="191"/>
      <c r="U787" s="191"/>
      <c r="V787" s="191"/>
      <c r="W787" s="191"/>
      <c r="X787" s="191"/>
      <c r="Y787" s="191"/>
      <c r="Z787" s="191"/>
      <c r="AA787" s="191"/>
      <c r="AB787" s="191"/>
      <c r="AC787" s="190"/>
      <c r="AD787" s="190"/>
      <c r="AE787" s="190"/>
      <c r="AF787" s="190"/>
      <c r="AG787" s="190"/>
      <c r="AH787" s="190"/>
      <c r="AI787" s="190"/>
      <c r="AJ787" s="190"/>
      <c r="AK787" s="190"/>
      <c r="AL787" s="190"/>
      <c r="AM787" s="190"/>
    </row>
    <row r="788" spans="2:39">
      <c r="B788" s="162"/>
      <c r="C788" s="162"/>
      <c r="D788" s="191"/>
      <c r="E788" s="191"/>
      <c r="F788" s="191"/>
      <c r="G788" s="191"/>
      <c r="H788" s="191"/>
      <c r="I788" s="191"/>
      <c r="J788" s="191"/>
      <c r="K788" s="191"/>
      <c r="L788" s="191"/>
      <c r="M788" s="191"/>
      <c r="N788" s="191"/>
      <c r="O788" s="191"/>
      <c r="P788" s="191"/>
      <c r="Q788" s="191"/>
      <c r="R788" s="191"/>
      <c r="S788" s="191"/>
      <c r="T788" s="191"/>
      <c r="U788" s="191"/>
      <c r="V788" s="191"/>
      <c r="W788" s="191"/>
      <c r="X788" s="191"/>
      <c r="Y788" s="191"/>
      <c r="Z788" s="191"/>
      <c r="AA788" s="191"/>
      <c r="AB788" s="191"/>
      <c r="AC788" s="190"/>
      <c r="AD788" s="190"/>
      <c r="AE788" s="190"/>
      <c r="AF788" s="190"/>
      <c r="AG788" s="190"/>
      <c r="AH788" s="190"/>
      <c r="AI788" s="190"/>
      <c r="AJ788" s="190"/>
      <c r="AK788" s="190"/>
      <c r="AL788" s="190"/>
      <c r="AM788" s="190"/>
    </row>
    <row r="789" spans="2:39">
      <c r="B789" s="162"/>
      <c r="C789" s="162"/>
      <c r="D789" s="191"/>
      <c r="E789" s="191"/>
      <c r="F789" s="191"/>
      <c r="G789" s="191"/>
      <c r="H789" s="191"/>
      <c r="I789" s="191"/>
      <c r="J789" s="191"/>
      <c r="K789" s="191"/>
      <c r="L789" s="191"/>
      <c r="M789" s="191"/>
      <c r="N789" s="191"/>
      <c r="O789" s="191"/>
      <c r="P789" s="191"/>
      <c r="Q789" s="191"/>
      <c r="R789" s="191"/>
      <c r="S789" s="191"/>
      <c r="T789" s="191"/>
      <c r="U789" s="191"/>
      <c r="V789" s="191"/>
      <c r="W789" s="191"/>
      <c r="X789" s="191"/>
      <c r="Y789" s="191"/>
      <c r="Z789" s="191"/>
      <c r="AA789" s="191"/>
      <c r="AB789" s="191"/>
      <c r="AC789" s="190"/>
      <c r="AD789" s="190"/>
      <c r="AE789" s="190"/>
      <c r="AF789" s="190"/>
      <c r="AG789" s="190"/>
      <c r="AH789" s="190"/>
      <c r="AI789" s="190"/>
      <c r="AJ789" s="190"/>
      <c r="AK789" s="190"/>
      <c r="AL789" s="190"/>
      <c r="AM789" s="190"/>
    </row>
    <row r="790" spans="2:39">
      <c r="B790" s="162"/>
      <c r="C790" s="162"/>
      <c r="D790" s="191"/>
      <c r="E790" s="191"/>
      <c r="F790" s="191"/>
      <c r="G790" s="191"/>
      <c r="H790" s="191"/>
      <c r="I790" s="191"/>
      <c r="J790" s="191"/>
      <c r="K790" s="191"/>
      <c r="L790" s="191"/>
      <c r="M790" s="191"/>
      <c r="N790" s="191"/>
      <c r="O790" s="191"/>
      <c r="P790" s="191"/>
      <c r="Q790" s="191"/>
      <c r="R790" s="191"/>
      <c r="S790" s="191"/>
      <c r="T790" s="191"/>
      <c r="U790" s="191"/>
      <c r="V790" s="191"/>
      <c r="W790" s="191"/>
      <c r="X790" s="191"/>
      <c r="Y790" s="191"/>
      <c r="Z790" s="191"/>
      <c r="AA790" s="191"/>
      <c r="AB790" s="191"/>
      <c r="AC790" s="190"/>
      <c r="AD790" s="190"/>
      <c r="AE790" s="190"/>
      <c r="AF790" s="190"/>
      <c r="AG790" s="190"/>
      <c r="AH790" s="190"/>
      <c r="AI790" s="190"/>
      <c r="AJ790" s="190"/>
      <c r="AK790" s="190"/>
      <c r="AL790" s="190"/>
      <c r="AM790" s="190"/>
    </row>
    <row r="791" spans="2:39">
      <c r="B791" s="162"/>
      <c r="C791" s="162"/>
      <c r="D791" s="191"/>
      <c r="E791" s="191"/>
      <c r="F791" s="191"/>
      <c r="G791" s="191"/>
      <c r="H791" s="191"/>
      <c r="I791" s="191"/>
      <c r="J791" s="191"/>
      <c r="K791" s="191"/>
      <c r="L791" s="191"/>
      <c r="M791" s="191"/>
      <c r="N791" s="191"/>
      <c r="O791" s="191"/>
      <c r="P791" s="191"/>
      <c r="Q791" s="191"/>
      <c r="R791" s="191"/>
      <c r="S791" s="191"/>
      <c r="T791" s="191"/>
      <c r="U791" s="191"/>
      <c r="V791" s="191"/>
      <c r="W791" s="191"/>
      <c r="X791" s="191"/>
      <c r="Y791" s="191"/>
      <c r="Z791" s="191"/>
      <c r="AA791" s="191"/>
      <c r="AB791" s="191"/>
      <c r="AC791" s="190"/>
      <c r="AD791" s="190"/>
      <c r="AE791" s="190"/>
      <c r="AF791" s="190"/>
      <c r="AG791" s="190"/>
      <c r="AH791" s="190"/>
      <c r="AI791" s="190"/>
      <c r="AJ791" s="190"/>
      <c r="AK791" s="190"/>
      <c r="AL791" s="190"/>
      <c r="AM791" s="190"/>
    </row>
    <row r="792" spans="2:39">
      <c r="B792" s="162"/>
      <c r="C792" s="162"/>
      <c r="D792" s="191"/>
      <c r="E792" s="191"/>
      <c r="F792" s="191"/>
      <c r="G792" s="191"/>
      <c r="H792" s="191"/>
      <c r="I792" s="191"/>
      <c r="J792" s="191"/>
      <c r="K792" s="191"/>
      <c r="L792" s="191"/>
      <c r="M792" s="191"/>
      <c r="N792" s="191"/>
      <c r="O792" s="191"/>
      <c r="P792" s="191"/>
      <c r="Q792" s="191"/>
      <c r="R792" s="191"/>
      <c r="S792" s="191"/>
      <c r="T792" s="191"/>
      <c r="U792" s="191"/>
      <c r="V792" s="191"/>
      <c r="W792" s="191"/>
      <c r="X792" s="191"/>
      <c r="Y792" s="191"/>
      <c r="Z792" s="191"/>
      <c r="AA792" s="191"/>
      <c r="AB792" s="191"/>
      <c r="AC792" s="190"/>
      <c r="AD792" s="190"/>
      <c r="AE792" s="190"/>
      <c r="AF792" s="190"/>
      <c r="AG792" s="190"/>
      <c r="AH792" s="190"/>
      <c r="AI792" s="190"/>
      <c r="AJ792" s="190"/>
      <c r="AK792" s="190"/>
      <c r="AL792" s="190"/>
      <c r="AM792" s="190"/>
    </row>
    <row r="793" spans="2:39">
      <c r="B793" s="162"/>
      <c r="C793" s="162"/>
      <c r="D793" s="191"/>
      <c r="E793" s="191"/>
      <c r="F793" s="191"/>
      <c r="G793" s="191"/>
      <c r="H793" s="191"/>
      <c r="I793" s="191"/>
      <c r="J793" s="191"/>
      <c r="K793" s="191"/>
      <c r="L793" s="191"/>
      <c r="M793" s="191"/>
      <c r="N793" s="191"/>
      <c r="O793" s="191"/>
      <c r="P793" s="191"/>
      <c r="Q793" s="191"/>
      <c r="R793" s="191"/>
      <c r="S793" s="191"/>
      <c r="T793" s="191"/>
      <c r="U793" s="191"/>
      <c r="V793" s="191"/>
      <c r="W793" s="191"/>
      <c r="X793" s="191"/>
      <c r="Y793" s="191"/>
      <c r="Z793" s="191"/>
      <c r="AA793" s="191"/>
      <c r="AB793" s="191"/>
      <c r="AC793" s="190"/>
      <c r="AD793" s="190"/>
      <c r="AE793" s="190"/>
      <c r="AF793" s="190"/>
      <c r="AG793" s="190"/>
      <c r="AH793" s="190"/>
      <c r="AI793" s="190"/>
      <c r="AJ793" s="190"/>
      <c r="AK793" s="190"/>
      <c r="AL793" s="190"/>
      <c r="AM793" s="190"/>
    </row>
    <row r="794" spans="2:39">
      <c r="B794" s="162"/>
      <c r="C794" s="162"/>
      <c r="D794" s="191"/>
      <c r="E794" s="191"/>
      <c r="F794" s="191"/>
      <c r="G794" s="191"/>
      <c r="H794" s="191"/>
      <c r="I794" s="191"/>
      <c r="J794" s="191"/>
      <c r="K794" s="191"/>
      <c r="L794" s="191"/>
      <c r="M794" s="191"/>
      <c r="N794" s="191"/>
      <c r="O794" s="191"/>
      <c r="P794" s="191"/>
      <c r="Q794" s="191"/>
      <c r="R794" s="191"/>
      <c r="S794" s="191"/>
      <c r="T794" s="191"/>
      <c r="U794" s="191"/>
      <c r="V794" s="191"/>
      <c r="W794" s="191"/>
      <c r="X794" s="191"/>
      <c r="Y794" s="191"/>
      <c r="Z794" s="191"/>
      <c r="AA794" s="191"/>
      <c r="AB794" s="191"/>
      <c r="AC794" s="190"/>
      <c r="AD794" s="190"/>
      <c r="AE794" s="190"/>
      <c r="AF794" s="190"/>
      <c r="AG794" s="190"/>
      <c r="AH794" s="190"/>
      <c r="AI794" s="190"/>
      <c r="AJ794" s="190"/>
      <c r="AK794" s="190"/>
      <c r="AL794" s="190"/>
      <c r="AM794" s="190"/>
    </row>
    <row r="795" spans="2:39">
      <c r="B795" s="162"/>
      <c r="C795" s="162"/>
      <c r="D795" s="191"/>
      <c r="E795" s="191"/>
      <c r="F795" s="191"/>
      <c r="G795" s="191"/>
      <c r="H795" s="191"/>
      <c r="I795" s="191"/>
      <c r="J795" s="191"/>
      <c r="K795" s="191"/>
      <c r="L795" s="191"/>
      <c r="M795" s="191"/>
      <c r="N795" s="191"/>
      <c r="O795" s="191"/>
      <c r="P795" s="191"/>
      <c r="Q795" s="191"/>
      <c r="R795" s="191"/>
      <c r="S795" s="191"/>
      <c r="T795" s="191"/>
      <c r="U795" s="191"/>
      <c r="V795" s="191"/>
      <c r="W795" s="191"/>
      <c r="X795" s="191"/>
      <c r="Y795" s="191"/>
      <c r="Z795" s="191"/>
      <c r="AA795" s="191"/>
      <c r="AB795" s="191"/>
      <c r="AC795" s="190"/>
      <c r="AD795" s="190"/>
      <c r="AE795" s="190"/>
      <c r="AF795" s="190"/>
      <c r="AG795" s="190"/>
      <c r="AH795" s="190"/>
      <c r="AI795" s="190"/>
      <c r="AJ795" s="190"/>
      <c r="AK795" s="190"/>
      <c r="AL795" s="190"/>
      <c r="AM795" s="190"/>
    </row>
    <row r="796" spans="2:39">
      <c r="B796" s="162"/>
      <c r="C796" s="162"/>
      <c r="D796" s="191"/>
      <c r="E796" s="191"/>
      <c r="F796" s="191"/>
      <c r="G796" s="191"/>
      <c r="H796" s="191"/>
      <c r="I796" s="191"/>
      <c r="J796" s="191"/>
      <c r="K796" s="191"/>
      <c r="L796" s="191"/>
      <c r="M796" s="191"/>
      <c r="N796" s="191"/>
      <c r="O796" s="191"/>
      <c r="P796" s="191"/>
      <c r="Q796" s="191"/>
      <c r="R796" s="191"/>
      <c r="S796" s="191"/>
      <c r="T796" s="191"/>
      <c r="U796" s="191"/>
      <c r="V796" s="191"/>
      <c r="W796" s="191"/>
      <c r="X796" s="191"/>
      <c r="Y796" s="191"/>
      <c r="Z796" s="191"/>
      <c r="AA796" s="191"/>
      <c r="AB796" s="191"/>
      <c r="AC796" s="190"/>
      <c r="AD796" s="190"/>
      <c r="AE796" s="190"/>
      <c r="AF796" s="190"/>
      <c r="AG796" s="190"/>
      <c r="AH796" s="190"/>
      <c r="AI796" s="190"/>
      <c r="AJ796" s="190"/>
      <c r="AK796" s="190"/>
      <c r="AL796" s="190"/>
      <c r="AM796" s="190"/>
    </row>
    <row r="797" spans="2:39">
      <c r="B797" s="162"/>
      <c r="C797" s="162"/>
      <c r="D797" s="191"/>
      <c r="E797" s="191"/>
      <c r="F797" s="191"/>
      <c r="G797" s="191"/>
      <c r="H797" s="191"/>
      <c r="I797" s="191"/>
      <c r="J797" s="191"/>
      <c r="K797" s="191"/>
      <c r="L797" s="191"/>
      <c r="M797" s="191"/>
      <c r="N797" s="191"/>
      <c r="O797" s="191"/>
      <c r="P797" s="191"/>
      <c r="Q797" s="191"/>
      <c r="R797" s="191"/>
      <c r="S797" s="191"/>
      <c r="T797" s="191"/>
      <c r="U797" s="191"/>
      <c r="V797" s="191"/>
      <c r="W797" s="191"/>
      <c r="X797" s="191"/>
      <c r="Y797" s="191"/>
      <c r="Z797" s="191"/>
      <c r="AA797" s="191"/>
      <c r="AB797" s="191"/>
      <c r="AC797" s="190"/>
      <c r="AD797" s="190"/>
      <c r="AE797" s="190"/>
      <c r="AF797" s="190"/>
      <c r="AG797" s="190"/>
      <c r="AH797" s="190"/>
      <c r="AI797" s="190"/>
      <c r="AJ797" s="190"/>
      <c r="AK797" s="190"/>
      <c r="AL797" s="190"/>
      <c r="AM797" s="190"/>
    </row>
    <row r="798" spans="2:39">
      <c r="B798" s="162"/>
      <c r="C798" s="162"/>
      <c r="D798" s="191"/>
      <c r="E798" s="191"/>
      <c r="F798" s="191"/>
      <c r="G798" s="191"/>
      <c r="H798" s="191"/>
      <c r="I798" s="191"/>
      <c r="J798" s="191"/>
      <c r="K798" s="191"/>
      <c r="L798" s="191"/>
      <c r="M798" s="191"/>
      <c r="N798" s="191"/>
      <c r="O798" s="191"/>
      <c r="P798" s="191"/>
      <c r="Q798" s="191"/>
      <c r="R798" s="191"/>
      <c r="S798" s="191"/>
      <c r="T798" s="191"/>
      <c r="U798" s="191"/>
      <c r="V798" s="191"/>
      <c r="W798" s="191"/>
      <c r="X798" s="191"/>
      <c r="Y798" s="191"/>
      <c r="Z798" s="191"/>
      <c r="AA798" s="191"/>
      <c r="AB798" s="191"/>
      <c r="AC798" s="190"/>
      <c r="AD798" s="190"/>
      <c r="AE798" s="190"/>
      <c r="AF798" s="190"/>
      <c r="AG798" s="190"/>
      <c r="AH798" s="190"/>
      <c r="AI798" s="190"/>
      <c r="AJ798" s="190"/>
      <c r="AK798" s="190"/>
      <c r="AL798" s="190"/>
      <c r="AM798" s="190"/>
    </row>
    <row r="799" spans="2:39">
      <c r="B799" s="162"/>
      <c r="C799" s="162"/>
      <c r="D799" s="191"/>
      <c r="E799" s="191"/>
      <c r="F799" s="191"/>
      <c r="G799" s="191"/>
      <c r="H799" s="191"/>
      <c r="I799" s="191"/>
      <c r="J799" s="191"/>
      <c r="K799" s="191"/>
      <c r="L799" s="191"/>
      <c r="M799" s="191"/>
      <c r="N799" s="191"/>
      <c r="O799" s="191"/>
      <c r="P799" s="191"/>
      <c r="Q799" s="191"/>
      <c r="R799" s="191"/>
      <c r="S799" s="191"/>
      <c r="T799" s="191"/>
      <c r="U799" s="191"/>
      <c r="V799" s="191"/>
      <c r="W799" s="191"/>
      <c r="X799" s="191"/>
      <c r="Y799" s="191"/>
      <c r="Z799" s="191"/>
      <c r="AA799" s="191"/>
      <c r="AB799" s="191"/>
      <c r="AC799" s="190"/>
      <c r="AD799" s="190"/>
      <c r="AE799" s="190"/>
      <c r="AF799" s="190"/>
      <c r="AG799" s="190"/>
      <c r="AH799" s="190"/>
      <c r="AI799" s="190"/>
      <c r="AJ799" s="190"/>
      <c r="AK799" s="190"/>
      <c r="AL799" s="190"/>
      <c r="AM799" s="190"/>
    </row>
    <row r="800" spans="2:39">
      <c r="B800" s="162"/>
      <c r="C800" s="162"/>
      <c r="D800" s="191"/>
      <c r="E800" s="191"/>
      <c r="F800" s="191"/>
      <c r="G800" s="191"/>
      <c r="H800" s="191"/>
      <c r="I800" s="191"/>
      <c r="J800" s="191"/>
      <c r="K800" s="191"/>
      <c r="L800" s="191"/>
      <c r="M800" s="191"/>
      <c r="N800" s="191"/>
      <c r="O800" s="191"/>
      <c r="P800" s="191"/>
      <c r="Q800" s="191"/>
      <c r="R800" s="191"/>
      <c r="S800" s="191"/>
      <c r="T800" s="191"/>
      <c r="U800" s="191"/>
      <c r="V800" s="191"/>
      <c r="W800" s="191"/>
      <c r="X800" s="191"/>
      <c r="Y800" s="191"/>
      <c r="Z800" s="191"/>
      <c r="AA800" s="191"/>
      <c r="AB800" s="191"/>
      <c r="AC800" s="190"/>
      <c r="AD800" s="190"/>
      <c r="AE800" s="190"/>
      <c r="AF800" s="190"/>
      <c r="AG800" s="190"/>
      <c r="AH800" s="190"/>
      <c r="AI800" s="190"/>
      <c r="AJ800" s="190"/>
      <c r="AK800" s="190"/>
      <c r="AL800" s="190"/>
      <c r="AM800" s="190"/>
    </row>
    <row r="801" spans="2:39">
      <c r="B801" s="162"/>
      <c r="C801" s="162"/>
      <c r="D801" s="191"/>
      <c r="E801" s="191"/>
      <c r="F801" s="191"/>
      <c r="G801" s="191"/>
      <c r="H801" s="191"/>
      <c r="I801" s="191"/>
      <c r="J801" s="191"/>
      <c r="K801" s="191"/>
      <c r="L801" s="191"/>
      <c r="M801" s="191"/>
      <c r="N801" s="191"/>
      <c r="O801" s="191"/>
      <c r="P801" s="191"/>
      <c r="Q801" s="191"/>
      <c r="R801" s="191"/>
      <c r="S801" s="191"/>
      <c r="T801" s="191"/>
      <c r="U801" s="191"/>
      <c r="V801" s="191"/>
      <c r="W801" s="191"/>
      <c r="X801" s="191"/>
      <c r="Y801" s="191"/>
      <c r="Z801" s="191"/>
      <c r="AA801" s="191"/>
      <c r="AB801" s="191"/>
      <c r="AC801" s="190"/>
      <c r="AD801" s="190"/>
      <c r="AE801" s="190"/>
      <c r="AF801" s="190"/>
      <c r="AG801" s="190"/>
      <c r="AH801" s="190"/>
      <c r="AI801" s="190"/>
      <c r="AJ801" s="190"/>
      <c r="AK801" s="190"/>
      <c r="AL801" s="190"/>
      <c r="AM801" s="190"/>
    </row>
    <row r="802" spans="2:39">
      <c r="B802" s="162"/>
      <c r="C802" s="162"/>
      <c r="D802" s="191"/>
      <c r="E802" s="191"/>
      <c r="F802" s="191"/>
      <c r="G802" s="191"/>
      <c r="H802" s="191"/>
      <c r="I802" s="191"/>
      <c r="J802" s="191"/>
      <c r="K802" s="191"/>
      <c r="L802" s="191"/>
      <c r="M802" s="191"/>
      <c r="N802" s="191"/>
      <c r="O802" s="191"/>
      <c r="P802" s="191"/>
      <c r="Q802" s="191"/>
      <c r="R802" s="191"/>
      <c r="S802" s="191"/>
      <c r="T802" s="191"/>
      <c r="U802" s="191"/>
      <c r="V802" s="191"/>
      <c r="W802" s="191"/>
      <c r="X802" s="191"/>
      <c r="Y802" s="191"/>
      <c r="Z802" s="191"/>
      <c r="AA802" s="191"/>
      <c r="AB802" s="191"/>
      <c r="AC802" s="190"/>
      <c r="AD802" s="190"/>
      <c r="AE802" s="190"/>
      <c r="AF802" s="190"/>
      <c r="AG802" s="190"/>
      <c r="AH802" s="190"/>
      <c r="AI802" s="190"/>
      <c r="AJ802" s="190"/>
      <c r="AK802" s="190"/>
      <c r="AL802" s="190"/>
      <c r="AM802" s="190"/>
    </row>
    <row r="803" spans="2:39">
      <c r="B803" s="162"/>
      <c r="C803" s="162"/>
      <c r="D803" s="191"/>
      <c r="E803" s="191"/>
      <c r="F803" s="191"/>
      <c r="G803" s="191"/>
      <c r="H803" s="191"/>
      <c r="I803" s="191"/>
      <c r="J803" s="191"/>
      <c r="K803" s="191"/>
      <c r="L803" s="191"/>
      <c r="M803" s="191"/>
      <c r="N803" s="191"/>
      <c r="O803" s="191"/>
      <c r="P803" s="191"/>
      <c r="Q803" s="191"/>
      <c r="R803" s="191"/>
      <c r="S803" s="191"/>
      <c r="T803" s="191"/>
      <c r="U803" s="191"/>
      <c r="V803" s="191"/>
      <c r="W803" s="191"/>
      <c r="X803" s="191"/>
      <c r="Y803" s="191"/>
      <c r="Z803" s="191"/>
      <c r="AA803" s="191"/>
      <c r="AB803" s="191"/>
      <c r="AC803" s="190"/>
      <c r="AD803" s="190"/>
      <c r="AE803" s="190"/>
      <c r="AF803" s="190"/>
      <c r="AG803" s="190"/>
      <c r="AH803" s="190"/>
      <c r="AI803" s="190"/>
      <c r="AJ803" s="190"/>
      <c r="AK803" s="190"/>
      <c r="AL803" s="190"/>
      <c r="AM803" s="190"/>
    </row>
    <row r="804" spans="2:39">
      <c r="B804" s="162"/>
      <c r="C804" s="162"/>
      <c r="D804" s="191"/>
      <c r="E804" s="191"/>
      <c r="F804" s="191"/>
      <c r="G804" s="191"/>
      <c r="H804" s="191"/>
      <c r="I804" s="191"/>
      <c r="J804" s="191"/>
      <c r="K804" s="191"/>
      <c r="L804" s="191"/>
      <c r="M804" s="191"/>
      <c r="N804" s="191"/>
      <c r="O804" s="191"/>
      <c r="P804" s="191"/>
      <c r="Q804" s="191"/>
      <c r="R804" s="191"/>
      <c r="S804" s="191"/>
      <c r="T804" s="191"/>
      <c r="U804" s="191"/>
      <c r="V804" s="191"/>
      <c r="W804" s="191"/>
      <c r="X804" s="191"/>
      <c r="Y804" s="191"/>
      <c r="Z804" s="191"/>
      <c r="AA804" s="191"/>
      <c r="AB804" s="191"/>
      <c r="AC804" s="190"/>
      <c r="AD804" s="190"/>
      <c r="AE804" s="190"/>
      <c r="AF804" s="190"/>
      <c r="AG804" s="190"/>
      <c r="AH804" s="190"/>
      <c r="AI804" s="190"/>
      <c r="AJ804" s="190"/>
      <c r="AK804" s="190"/>
      <c r="AL804" s="190"/>
      <c r="AM804" s="190"/>
    </row>
    <row r="805" spans="2:39">
      <c r="B805" s="162"/>
      <c r="C805" s="162"/>
      <c r="D805" s="191"/>
      <c r="E805" s="191"/>
      <c r="F805" s="191"/>
      <c r="G805" s="191"/>
      <c r="H805" s="191"/>
      <c r="I805" s="191"/>
      <c r="J805" s="191"/>
      <c r="K805" s="191"/>
      <c r="L805" s="191"/>
      <c r="M805" s="191"/>
      <c r="N805" s="191"/>
      <c r="O805" s="191"/>
      <c r="P805" s="191"/>
      <c r="Q805" s="191"/>
      <c r="R805" s="191"/>
      <c r="S805" s="191"/>
      <c r="T805" s="191"/>
      <c r="U805" s="191"/>
      <c r="V805" s="191"/>
      <c r="W805" s="191"/>
      <c r="X805" s="191"/>
      <c r="Y805" s="191"/>
      <c r="Z805" s="191"/>
      <c r="AA805" s="191"/>
      <c r="AB805" s="191"/>
      <c r="AC805" s="190"/>
      <c r="AD805" s="190"/>
      <c r="AE805" s="190"/>
      <c r="AF805" s="190"/>
      <c r="AG805" s="190"/>
      <c r="AH805" s="190"/>
      <c r="AI805" s="190"/>
      <c r="AJ805" s="190"/>
      <c r="AK805" s="190"/>
      <c r="AL805" s="190"/>
      <c r="AM805" s="190"/>
    </row>
    <row r="806" spans="2:39">
      <c r="B806" s="162"/>
      <c r="C806" s="162"/>
      <c r="D806" s="191"/>
      <c r="E806" s="191"/>
      <c r="F806" s="191"/>
      <c r="G806" s="191"/>
      <c r="H806" s="191"/>
      <c r="I806" s="191"/>
      <c r="J806" s="191"/>
      <c r="K806" s="191"/>
      <c r="L806" s="191"/>
      <c r="M806" s="191"/>
      <c r="N806" s="191"/>
      <c r="O806" s="191"/>
      <c r="P806" s="191"/>
      <c r="Q806" s="191"/>
      <c r="R806" s="191"/>
      <c r="S806" s="191"/>
      <c r="T806" s="191"/>
      <c r="U806" s="191"/>
      <c r="V806" s="191"/>
      <c r="W806" s="191"/>
      <c r="X806" s="191"/>
      <c r="Y806" s="191"/>
      <c r="Z806" s="191"/>
      <c r="AA806" s="191"/>
      <c r="AB806" s="191"/>
      <c r="AC806" s="190"/>
      <c r="AD806" s="190"/>
      <c r="AE806" s="190"/>
      <c r="AF806" s="190"/>
      <c r="AG806" s="190"/>
      <c r="AH806" s="190"/>
      <c r="AI806" s="190"/>
      <c r="AJ806" s="190"/>
      <c r="AK806" s="190"/>
      <c r="AL806" s="190"/>
      <c r="AM806" s="190"/>
    </row>
    <row r="807" spans="2:39">
      <c r="B807" s="162"/>
      <c r="C807" s="162"/>
      <c r="D807" s="191"/>
      <c r="E807" s="191"/>
      <c r="F807" s="191"/>
      <c r="G807" s="191"/>
      <c r="H807" s="191"/>
      <c r="I807" s="191"/>
      <c r="J807" s="191"/>
      <c r="K807" s="191"/>
      <c r="L807" s="191"/>
      <c r="M807" s="191"/>
      <c r="N807" s="191"/>
      <c r="O807" s="191"/>
      <c r="P807" s="191"/>
      <c r="Q807" s="191"/>
      <c r="R807" s="191"/>
      <c r="S807" s="191"/>
      <c r="T807" s="191"/>
      <c r="U807" s="191"/>
      <c r="V807" s="191"/>
      <c r="W807" s="191"/>
      <c r="X807" s="191"/>
      <c r="Y807" s="191"/>
      <c r="Z807" s="191"/>
      <c r="AA807" s="191"/>
      <c r="AB807" s="191"/>
      <c r="AC807" s="190"/>
      <c r="AD807" s="190"/>
      <c r="AE807" s="190"/>
      <c r="AF807" s="190"/>
      <c r="AG807" s="190"/>
      <c r="AH807" s="190"/>
      <c r="AI807" s="190"/>
      <c r="AJ807" s="190"/>
      <c r="AK807" s="190"/>
      <c r="AL807" s="190"/>
      <c r="AM807" s="190"/>
    </row>
    <row r="808" spans="2:39">
      <c r="B808" s="162"/>
      <c r="C808" s="162"/>
      <c r="D808" s="191"/>
      <c r="E808" s="191"/>
      <c r="F808" s="191"/>
      <c r="G808" s="191"/>
      <c r="H808" s="191"/>
      <c r="I808" s="191"/>
      <c r="J808" s="191"/>
      <c r="K808" s="191"/>
      <c r="L808" s="191"/>
      <c r="M808" s="191"/>
      <c r="N808" s="191"/>
      <c r="O808" s="191"/>
      <c r="P808" s="191"/>
      <c r="Q808" s="191"/>
      <c r="R808" s="191"/>
      <c r="S808" s="191"/>
      <c r="T808" s="191"/>
      <c r="U808" s="191"/>
      <c r="V808" s="191"/>
      <c r="W808" s="191"/>
      <c r="X808" s="191"/>
      <c r="Y808" s="191"/>
      <c r="Z808" s="191"/>
      <c r="AA808" s="191"/>
      <c r="AB808" s="191"/>
      <c r="AC808" s="190"/>
      <c r="AD808" s="190"/>
      <c r="AE808" s="190"/>
      <c r="AF808" s="190"/>
      <c r="AG808" s="190"/>
      <c r="AH808" s="190"/>
      <c r="AI808" s="190"/>
      <c r="AJ808" s="190"/>
      <c r="AK808" s="190"/>
      <c r="AL808" s="190"/>
      <c r="AM808" s="190"/>
    </row>
    <row r="809" spans="2:39">
      <c r="B809" s="162"/>
      <c r="C809" s="162"/>
      <c r="D809" s="191"/>
      <c r="E809" s="191"/>
      <c r="F809" s="191"/>
      <c r="G809" s="191"/>
      <c r="H809" s="191"/>
      <c r="I809" s="191"/>
      <c r="J809" s="191"/>
      <c r="K809" s="191"/>
      <c r="L809" s="191"/>
      <c r="M809" s="191"/>
      <c r="N809" s="191"/>
      <c r="O809" s="191"/>
      <c r="P809" s="191"/>
      <c r="Q809" s="191"/>
      <c r="R809" s="191"/>
      <c r="S809" s="191"/>
      <c r="T809" s="191"/>
      <c r="U809" s="191"/>
      <c r="V809" s="191"/>
      <c r="W809" s="191"/>
      <c r="X809" s="191"/>
      <c r="Y809" s="191"/>
      <c r="Z809" s="191"/>
      <c r="AA809" s="191"/>
      <c r="AB809" s="191"/>
      <c r="AC809" s="190"/>
      <c r="AD809" s="190"/>
      <c r="AE809" s="190"/>
      <c r="AF809" s="190"/>
      <c r="AG809" s="190"/>
      <c r="AH809" s="190"/>
      <c r="AI809" s="190"/>
      <c r="AJ809" s="190"/>
      <c r="AK809" s="190"/>
      <c r="AL809" s="190"/>
      <c r="AM809" s="190"/>
    </row>
    <row r="810" spans="2:39">
      <c r="B810" s="162"/>
      <c r="C810" s="162"/>
      <c r="D810" s="191"/>
      <c r="E810" s="191"/>
      <c r="F810" s="191"/>
      <c r="G810" s="191"/>
      <c r="H810" s="191"/>
      <c r="I810" s="191"/>
      <c r="J810" s="191"/>
      <c r="K810" s="191"/>
      <c r="L810" s="191"/>
      <c r="M810" s="191"/>
      <c r="N810" s="191"/>
      <c r="O810" s="191"/>
      <c r="P810" s="191"/>
      <c r="Q810" s="191"/>
      <c r="R810" s="191"/>
      <c r="S810" s="191"/>
      <c r="T810" s="191"/>
      <c r="U810" s="191"/>
      <c r="V810" s="191"/>
      <c r="W810" s="191"/>
      <c r="X810" s="191"/>
      <c r="Y810" s="191"/>
      <c r="Z810" s="191"/>
      <c r="AA810" s="191"/>
      <c r="AB810" s="191"/>
      <c r="AC810" s="190"/>
      <c r="AD810" s="190"/>
      <c r="AE810" s="190"/>
      <c r="AF810" s="190"/>
      <c r="AG810" s="190"/>
      <c r="AH810" s="190"/>
      <c r="AI810" s="190"/>
      <c r="AJ810" s="190"/>
      <c r="AK810" s="190"/>
      <c r="AL810" s="190"/>
      <c r="AM810" s="190"/>
    </row>
    <row r="811" spans="2:39">
      <c r="B811" s="162"/>
      <c r="C811" s="162"/>
      <c r="D811" s="191"/>
      <c r="E811" s="191"/>
      <c r="F811" s="191"/>
      <c r="G811" s="191"/>
      <c r="H811" s="191"/>
      <c r="I811" s="191"/>
      <c r="J811" s="191"/>
      <c r="K811" s="191"/>
      <c r="L811" s="191"/>
      <c r="M811" s="191"/>
      <c r="N811" s="191"/>
      <c r="O811" s="191"/>
      <c r="P811" s="191"/>
      <c r="Q811" s="191"/>
      <c r="R811" s="191"/>
      <c r="S811" s="191"/>
      <c r="T811" s="191"/>
      <c r="U811" s="191"/>
      <c r="V811" s="191"/>
      <c r="W811" s="191"/>
      <c r="X811" s="191"/>
      <c r="Y811" s="191"/>
      <c r="Z811" s="191"/>
      <c r="AA811" s="191"/>
      <c r="AB811" s="191"/>
      <c r="AC811" s="190"/>
      <c r="AD811" s="190"/>
      <c r="AE811" s="190"/>
      <c r="AF811" s="190"/>
      <c r="AG811" s="190"/>
      <c r="AH811" s="190"/>
      <c r="AI811" s="190"/>
      <c r="AJ811" s="190"/>
      <c r="AK811" s="190"/>
      <c r="AL811" s="190"/>
      <c r="AM811" s="190"/>
    </row>
    <row r="812" spans="2:39">
      <c r="B812" s="162"/>
      <c r="C812" s="162"/>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c r="AA812" s="191"/>
      <c r="AB812" s="191"/>
      <c r="AC812" s="190"/>
      <c r="AD812" s="190"/>
      <c r="AE812" s="190"/>
      <c r="AF812" s="190"/>
      <c r="AG812" s="190"/>
      <c r="AH812" s="190"/>
      <c r="AI812" s="190"/>
      <c r="AJ812" s="190"/>
      <c r="AK812" s="190"/>
      <c r="AL812" s="190"/>
      <c r="AM812" s="190"/>
    </row>
    <row r="813" spans="2:39">
      <c r="B813" s="162"/>
      <c r="C813" s="162"/>
      <c r="D813" s="191"/>
      <c r="E813" s="191"/>
      <c r="F813" s="191"/>
      <c r="G813" s="191"/>
      <c r="H813" s="191"/>
      <c r="I813" s="191"/>
      <c r="J813" s="191"/>
      <c r="K813" s="191"/>
      <c r="L813" s="191"/>
      <c r="M813" s="191"/>
      <c r="N813" s="191"/>
      <c r="O813" s="191"/>
      <c r="P813" s="191"/>
      <c r="Q813" s="191"/>
      <c r="R813" s="191"/>
      <c r="S813" s="191"/>
      <c r="T813" s="191"/>
      <c r="U813" s="191"/>
      <c r="V813" s="191"/>
      <c r="W813" s="191"/>
      <c r="X813" s="191"/>
      <c r="Y813" s="191"/>
      <c r="Z813" s="191"/>
      <c r="AA813" s="191"/>
      <c r="AB813" s="191"/>
      <c r="AC813" s="190"/>
      <c r="AD813" s="190"/>
      <c r="AE813" s="190"/>
      <c r="AF813" s="190"/>
      <c r="AG813" s="190"/>
      <c r="AH813" s="190"/>
      <c r="AI813" s="190"/>
      <c r="AJ813" s="190"/>
      <c r="AK813" s="190"/>
      <c r="AL813" s="190"/>
      <c r="AM813" s="190"/>
    </row>
    <row r="814" spans="2:39">
      <c r="B814" s="162"/>
      <c r="C814" s="162"/>
      <c r="D814" s="191"/>
      <c r="E814" s="191"/>
      <c r="F814" s="191"/>
      <c r="G814" s="191"/>
      <c r="H814" s="191"/>
      <c r="I814" s="191"/>
      <c r="J814" s="191"/>
      <c r="K814" s="191"/>
      <c r="L814" s="191"/>
      <c r="M814" s="191"/>
      <c r="N814" s="191"/>
      <c r="O814" s="191"/>
      <c r="P814" s="191"/>
      <c r="Q814" s="191"/>
      <c r="R814" s="191"/>
      <c r="S814" s="191"/>
      <c r="T814" s="191"/>
      <c r="U814" s="191"/>
      <c r="V814" s="191"/>
      <c r="W814" s="191"/>
      <c r="X814" s="191"/>
      <c r="Y814" s="191"/>
      <c r="Z814" s="191"/>
      <c r="AA814" s="191"/>
      <c r="AB814" s="191"/>
      <c r="AC814" s="190"/>
      <c r="AD814" s="190"/>
      <c r="AE814" s="190"/>
      <c r="AF814" s="190"/>
      <c r="AG814" s="190"/>
      <c r="AH814" s="190"/>
      <c r="AI814" s="190"/>
      <c r="AJ814" s="190"/>
      <c r="AK814" s="190"/>
      <c r="AL814" s="190"/>
      <c r="AM814" s="190"/>
    </row>
    <row r="815" spans="2:39">
      <c r="B815" s="162"/>
      <c r="C815" s="162"/>
      <c r="D815" s="191"/>
      <c r="E815" s="191"/>
      <c r="F815" s="191"/>
      <c r="G815" s="191"/>
      <c r="H815" s="191"/>
      <c r="I815" s="191"/>
      <c r="J815" s="191"/>
      <c r="K815" s="191"/>
      <c r="L815" s="191"/>
      <c r="M815" s="191"/>
      <c r="N815" s="191"/>
      <c r="O815" s="191"/>
      <c r="P815" s="191"/>
      <c r="Q815" s="191"/>
      <c r="R815" s="191"/>
      <c r="S815" s="191"/>
      <c r="T815" s="191"/>
      <c r="U815" s="191"/>
      <c r="V815" s="191"/>
      <c r="W815" s="191"/>
      <c r="X815" s="191"/>
      <c r="Y815" s="191"/>
      <c r="Z815" s="191"/>
      <c r="AA815" s="191"/>
      <c r="AB815" s="191"/>
      <c r="AC815" s="190"/>
      <c r="AD815" s="190"/>
      <c r="AE815" s="190"/>
      <c r="AF815" s="190"/>
      <c r="AG815" s="190"/>
      <c r="AH815" s="190"/>
      <c r="AI815" s="190"/>
      <c r="AJ815" s="190"/>
      <c r="AK815" s="190"/>
      <c r="AL815" s="190"/>
      <c r="AM815" s="190"/>
    </row>
    <row r="816" spans="2:39">
      <c r="B816" s="162"/>
      <c r="C816" s="162"/>
      <c r="D816" s="191"/>
      <c r="E816" s="191"/>
      <c r="F816" s="191"/>
      <c r="G816" s="191"/>
      <c r="H816" s="191"/>
      <c r="I816" s="191"/>
      <c r="J816" s="191"/>
      <c r="K816" s="191"/>
      <c r="L816" s="191"/>
      <c r="M816" s="191"/>
      <c r="N816" s="191"/>
      <c r="O816" s="191"/>
      <c r="P816" s="191"/>
      <c r="Q816" s="191"/>
      <c r="R816" s="191"/>
      <c r="S816" s="191"/>
      <c r="T816" s="191"/>
      <c r="U816" s="191"/>
      <c r="V816" s="191"/>
      <c r="W816" s="191"/>
      <c r="X816" s="191"/>
      <c r="Y816" s="191"/>
      <c r="Z816" s="191"/>
      <c r="AA816" s="191"/>
      <c r="AB816" s="191"/>
      <c r="AC816" s="190"/>
      <c r="AD816" s="190"/>
      <c r="AE816" s="190"/>
      <c r="AF816" s="190"/>
      <c r="AG816" s="190"/>
      <c r="AH816" s="190"/>
      <c r="AI816" s="190"/>
      <c r="AJ816" s="190"/>
      <c r="AK816" s="190"/>
      <c r="AL816" s="190"/>
      <c r="AM816" s="190"/>
    </row>
    <row r="817" spans="2:39">
      <c r="B817" s="162"/>
      <c r="C817" s="162"/>
      <c r="D817" s="191"/>
      <c r="E817" s="191"/>
      <c r="F817" s="191"/>
      <c r="G817" s="191"/>
      <c r="H817" s="191"/>
      <c r="I817" s="191"/>
      <c r="J817" s="191"/>
      <c r="K817" s="191"/>
      <c r="L817" s="191"/>
      <c r="M817" s="191"/>
      <c r="N817" s="191"/>
      <c r="O817" s="191"/>
      <c r="P817" s="191"/>
      <c r="Q817" s="191"/>
      <c r="R817" s="191"/>
      <c r="S817" s="191"/>
      <c r="T817" s="191"/>
      <c r="U817" s="191"/>
      <c r="V817" s="191"/>
      <c r="W817" s="191"/>
      <c r="X817" s="191"/>
      <c r="Y817" s="191"/>
      <c r="Z817" s="191"/>
      <c r="AA817" s="191"/>
      <c r="AB817" s="191"/>
      <c r="AC817" s="190"/>
      <c r="AD817" s="190"/>
      <c r="AE817" s="190"/>
      <c r="AF817" s="190"/>
      <c r="AG817" s="190"/>
      <c r="AH817" s="190"/>
      <c r="AI817" s="190"/>
      <c r="AJ817" s="190"/>
      <c r="AK817" s="190"/>
      <c r="AL817" s="190"/>
      <c r="AM817" s="190"/>
    </row>
    <row r="818" spans="2:39">
      <c r="B818" s="162"/>
      <c r="C818" s="162"/>
      <c r="D818" s="191"/>
      <c r="E818" s="191"/>
      <c r="F818" s="191"/>
      <c r="G818" s="191"/>
      <c r="H818" s="191"/>
      <c r="I818" s="191"/>
      <c r="J818" s="191"/>
      <c r="K818" s="191"/>
      <c r="L818" s="191"/>
      <c r="M818" s="191"/>
      <c r="N818" s="191"/>
      <c r="O818" s="191"/>
      <c r="P818" s="191"/>
      <c r="Q818" s="191"/>
      <c r="R818" s="191"/>
      <c r="S818" s="191"/>
      <c r="T818" s="191"/>
      <c r="U818" s="191"/>
      <c r="V818" s="191"/>
      <c r="W818" s="191"/>
      <c r="X818" s="191"/>
      <c r="Y818" s="191"/>
      <c r="Z818" s="191"/>
      <c r="AA818" s="191"/>
      <c r="AB818" s="191"/>
      <c r="AC818" s="190"/>
      <c r="AD818" s="190"/>
      <c r="AE818" s="190"/>
      <c r="AF818" s="190"/>
      <c r="AG818" s="190"/>
      <c r="AH818" s="190"/>
      <c r="AI818" s="190"/>
      <c r="AJ818" s="190"/>
      <c r="AK818" s="190"/>
      <c r="AL818" s="190"/>
      <c r="AM818" s="190"/>
    </row>
    <row r="819" spans="2:39">
      <c r="B819" s="162"/>
      <c r="C819" s="162"/>
      <c r="D819" s="191"/>
      <c r="E819" s="191"/>
      <c r="F819" s="191"/>
      <c r="G819" s="191"/>
      <c r="H819" s="191"/>
      <c r="I819" s="191"/>
      <c r="J819" s="191"/>
      <c r="K819" s="191"/>
      <c r="L819" s="191"/>
      <c r="M819" s="191"/>
      <c r="N819" s="191"/>
      <c r="O819" s="191"/>
      <c r="P819" s="191"/>
      <c r="Q819" s="191"/>
      <c r="R819" s="191"/>
      <c r="S819" s="191"/>
      <c r="T819" s="191"/>
      <c r="U819" s="191"/>
      <c r="V819" s="191"/>
      <c r="W819" s="191"/>
      <c r="X819" s="191"/>
      <c r="Y819" s="191"/>
      <c r="Z819" s="191"/>
      <c r="AA819" s="191"/>
      <c r="AB819" s="191"/>
      <c r="AC819" s="190"/>
      <c r="AD819" s="190"/>
      <c r="AE819" s="190"/>
      <c r="AF819" s="190"/>
      <c r="AG819" s="190"/>
      <c r="AH819" s="190"/>
      <c r="AI819" s="190"/>
      <c r="AJ819" s="190"/>
      <c r="AK819" s="190"/>
      <c r="AL819" s="190"/>
      <c r="AM819" s="190"/>
    </row>
    <row r="820" spans="2:39">
      <c r="B820" s="162"/>
      <c r="C820" s="162"/>
      <c r="D820" s="191"/>
      <c r="E820" s="191"/>
      <c r="F820" s="191"/>
      <c r="G820" s="191"/>
      <c r="H820" s="191"/>
      <c r="I820" s="191"/>
      <c r="J820" s="191"/>
      <c r="K820" s="191"/>
      <c r="L820" s="191"/>
      <c r="M820" s="191"/>
      <c r="N820" s="191"/>
      <c r="O820" s="191"/>
      <c r="P820" s="191"/>
      <c r="Q820" s="191"/>
      <c r="R820" s="191"/>
      <c r="S820" s="191"/>
      <c r="T820" s="191"/>
      <c r="U820" s="191"/>
      <c r="V820" s="191"/>
      <c r="W820" s="191"/>
      <c r="X820" s="191"/>
      <c r="Y820" s="191"/>
      <c r="Z820" s="191"/>
      <c r="AA820" s="191"/>
      <c r="AB820" s="191"/>
      <c r="AC820" s="190"/>
      <c r="AD820" s="190"/>
      <c r="AE820" s="190"/>
      <c r="AF820" s="190"/>
      <c r="AG820" s="190"/>
      <c r="AH820" s="190"/>
      <c r="AI820" s="190"/>
      <c r="AJ820" s="190"/>
      <c r="AK820" s="190"/>
      <c r="AL820" s="190"/>
      <c r="AM820" s="190"/>
    </row>
    <row r="821" spans="2:39">
      <c r="B821" s="162"/>
      <c r="C821" s="162"/>
      <c r="D821" s="191"/>
      <c r="E821" s="191"/>
      <c r="F821" s="191"/>
      <c r="G821" s="191"/>
      <c r="H821" s="191"/>
      <c r="I821" s="191"/>
      <c r="J821" s="191"/>
      <c r="K821" s="191"/>
      <c r="L821" s="191"/>
      <c r="M821" s="191"/>
      <c r="N821" s="191"/>
      <c r="O821" s="191"/>
      <c r="P821" s="191"/>
      <c r="Q821" s="191"/>
      <c r="R821" s="191"/>
      <c r="S821" s="191"/>
      <c r="T821" s="191"/>
      <c r="U821" s="191"/>
      <c r="V821" s="191"/>
      <c r="W821" s="191"/>
      <c r="X821" s="191"/>
      <c r="Y821" s="191"/>
      <c r="Z821" s="191"/>
      <c r="AA821" s="191"/>
      <c r="AB821" s="191"/>
      <c r="AC821" s="190"/>
      <c r="AD821" s="190"/>
      <c r="AE821" s="190"/>
      <c r="AF821" s="190"/>
      <c r="AG821" s="190"/>
      <c r="AH821" s="190"/>
      <c r="AI821" s="190"/>
      <c r="AJ821" s="190"/>
      <c r="AK821" s="190"/>
      <c r="AL821" s="190"/>
      <c r="AM821" s="190"/>
    </row>
    <row r="822" spans="2:39">
      <c r="B822" s="162"/>
      <c r="C822" s="162"/>
      <c r="D822" s="191"/>
      <c r="E822" s="191"/>
      <c r="F822" s="191"/>
      <c r="G822" s="191"/>
      <c r="H822" s="191"/>
      <c r="I822" s="191"/>
      <c r="J822" s="191"/>
      <c r="K822" s="191"/>
      <c r="L822" s="191"/>
      <c r="M822" s="191"/>
      <c r="N822" s="191"/>
      <c r="O822" s="191"/>
      <c r="P822" s="191"/>
      <c r="Q822" s="191"/>
      <c r="R822" s="191"/>
      <c r="S822" s="191"/>
      <c r="T822" s="191"/>
      <c r="U822" s="191"/>
      <c r="V822" s="191"/>
      <c r="W822" s="191"/>
      <c r="X822" s="191"/>
      <c r="Y822" s="191"/>
      <c r="Z822" s="191"/>
      <c r="AA822" s="191"/>
      <c r="AB822" s="191"/>
      <c r="AC822" s="190"/>
      <c r="AD822" s="190"/>
      <c r="AE822" s="190"/>
      <c r="AF822" s="190"/>
      <c r="AG822" s="190"/>
      <c r="AH822" s="190"/>
      <c r="AI822" s="190"/>
      <c r="AJ822" s="190"/>
      <c r="AK822" s="190"/>
      <c r="AL822" s="190"/>
      <c r="AM822" s="190"/>
    </row>
    <row r="823" spans="2:39">
      <c r="B823" s="162"/>
      <c r="C823" s="162"/>
      <c r="D823" s="191"/>
      <c r="E823" s="191"/>
      <c r="F823" s="191"/>
      <c r="G823" s="191"/>
      <c r="H823" s="191"/>
      <c r="I823" s="191"/>
      <c r="J823" s="191"/>
      <c r="K823" s="191"/>
      <c r="L823" s="191"/>
      <c r="M823" s="191"/>
      <c r="N823" s="191"/>
      <c r="O823" s="191"/>
      <c r="P823" s="191"/>
      <c r="Q823" s="191"/>
      <c r="R823" s="191"/>
      <c r="S823" s="191"/>
      <c r="T823" s="191"/>
      <c r="U823" s="191"/>
      <c r="V823" s="191"/>
      <c r="W823" s="191"/>
      <c r="X823" s="191"/>
      <c r="Y823" s="191"/>
      <c r="Z823" s="191"/>
      <c r="AA823" s="191"/>
      <c r="AB823" s="191"/>
      <c r="AC823" s="190"/>
      <c r="AD823" s="190"/>
      <c r="AE823" s="190"/>
      <c r="AF823" s="190"/>
      <c r="AG823" s="190"/>
      <c r="AH823" s="190"/>
      <c r="AI823" s="190"/>
      <c r="AJ823" s="190"/>
      <c r="AK823" s="190"/>
      <c r="AL823" s="190"/>
      <c r="AM823" s="190"/>
    </row>
    <row r="824" spans="2:39">
      <c r="B824" s="162"/>
      <c r="C824" s="162"/>
      <c r="D824" s="191"/>
      <c r="E824" s="191"/>
      <c r="F824" s="191"/>
      <c r="G824" s="191"/>
      <c r="H824" s="191"/>
      <c r="I824" s="191"/>
      <c r="J824" s="191"/>
      <c r="K824" s="191"/>
      <c r="L824" s="191"/>
      <c r="M824" s="191"/>
      <c r="N824" s="191"/>
      <c r="O824" s="191"/>
      <c r="P824" s="191"/>
      <c r="Q824" s="191"/>
      <c r="R824" s="191"/>
      <c r="S824" s="191"/>
      <c r="T824" s="191"/>
      <c r="U824" s="191"/>
      <c r="V824" s="191"/>
      <c r="W824" s="191"/>
      <c r="X824" s="191"/>
      <c r="Y824" s="191"/>
      <c r="Z824" s="191"/>
      <c r="AA824" s="191"/>
      <c r="AB824" s="191"/>
      <c r="AC824" s="190"/>
      <c r="AD824" s="190"/>
      <c r="AE824" s="190"/>
      <c r="AF824" s="190"/>
      <c r="AG824" s="190"/>
      <c r="AH824" s="190"/>
      <c r="AI824" s="190"/>
      <c r="AJ824" s="190"/>
      <c r="AK824" s="190"/>
      <c r="AL824" s="190"/>
      <c r="AM824" s="190"/>
    </row>
    <row r="825" spans="2:39">
      <c r="B825" s="162"/>
      <c r="C825" s="162"/>
      <c r="D825" s="191"/>
      <c r="E825" s="191"/>
      <c r="F825" s="191"/>
      <c r="G825" s="191"/>
      <c r="H825" s="191"/>
      <c r="I825" s="191"/>
      <c r="J825" s="191"/>
      <c r="K825" s="191"/>
      <c r="L825" s="191"/>
      <c r="M825" s="191"/>
      <c r="N825" s="191"/>
      <c r="O825" s="191"/>
      <c r="P825" s="191"/>
      <c r="Q825" s="191"/>
      <c r="R825" s="191"/>
      <c r="S825" s="191"/>
      <c r="T825" s="191"/>
      <c r="U825" s="191"/>
      <c r="V825" s="191"/>
      <c r="W825" s="191"/>
      <c r="X825" s="191"/>
      <c r="Y825" s="191"/>
      <c r="Z825" s="191"/>
      <c r="AA825" s="191"/>
      <c r="AB825" s="191"/>
      <c r="AC825" s="190"/>
      <c r="AD825" s="190"/>
      <c r="AE825" s="190"/>
      <c r="AF825" s="190"/>
      <c r="AG825" s="190"/>
      <c r="AH825" s="190"/>
      <c r="AI825" s="190"/>
      <c r="AJ825" s="190"/>
      <c r="AK825" s="190"/>
      <c r="AL825" s="190"/>
      <c r="AM825" s="190"/>
    </row>
    <row r="826" spans="2:39">
      <c r="B826" s="162"/>
      <c r="C826" s="162"/>
      <c r="D826" s="191"/>
      <c r="E826" s="191"/>
      <c r="F826" s="191"/>
      <c r="G826" s="191"/>
      <c r="H826" s="191"/>
      <c r="I826" s="191"/>
      <c r="J826" s="191"/>
      <c r="K826" s="191"/>
      <c r="L826" s="191"/>
      <c r="M826" s="191"/>
      <c r="N826" s="191"/>
      <c r="O826" s="191"/>
      <c r="P826" s="191"/>
      <c r="Q826" s="191"/>
      <c r="R826" s="191"/>
      <c r="S826" s="191"/>
      <c r="T826" s="191"/>
      <c r="U826" s="191"/>
      <c r="V826" s="191"/>
      <c r="W826" s="191"/>
      <c r="X826" s="191"/>
      <c r="Y826" s="191"/>
      <c r="Z826" s="191"/>
      <c r="AA826" s="191"/>
      <c r="AB826" s="191"/>
      <c r="AC826" s="190"/>
      <c r="AD826" s="190"/>
      <c r="AE826" s="190"/>
      <c r="AF826" s="190"/>
      <c r="AG826" s="190"/>
      <c r="AH826" s="190"/>
      <c r="AI826" s="190"/>
      <c r="AJ826" s="190"/>
      <c r="AK826" s="190"/>
      <c r="AL826" s="190"/>
      <c r="AM826" s="190"/>
    </row>
    <row r="827" spans="2:39">
      <c r="B827" s="162"/>
      <c r="C827" s="162"/>
      <c r="D827" s="191"/>
      <c r="E827" s="191"/>
      <c r="F827" s="191"/>
      <c r="G827" s="191"/>
      <c r="H827" s="191"/>
      <c r="I827" s="191"/>
      <c r="J827" s="191"/>
      <c r="K827" s="191"/>
      <c r="L827" s="191"/>
      <c r="M827" s="191"/>
      <c r="N827" s="191"/>
      <c r="O827" s="191"/>
      <c r="P827" s="191"/>
      <c r="Q827" s="191"/>
      <c r="R827" s="191"/>
      <c r="S827" s="191"/>
      <c r="T827" s="191"/>
      <c r="U827" s="191"/>
      <c r="V827" s="191"/>
      <c r="W827" s="191"/>
      <c r="X827" s="191"/>
      <c r="Y827" s="191"/>
      <c r="Z827" s="191"/>
      <c r="AA827" s="191"/>
      <c r="AB827" s="191"/>
      <c r="AC827" s="190"/>
      <c r="AD827" s="190"/>
      <c r="AE827" s="190"/>
      <c r="AF827" s="190"/>
      <c r="AG827" s="190"/>
      <c r="AH827" s="190"/>
      <c r="AI827" s="190"/>
      <c r="AJ827" s="190"/>
      <c r="AK827" s="190"/>
      <c r="AL827" s="190"/>
      <c r="AM827" s="190"/>
    </row>
    <row r="828" spans="2:39">
      <c r="B828" s="162"/>
      <c r="C828" s="162"/>
      <c r="D828" s="191"/>
      <c r="E828" s="191"/>
      <c r="F828" s="191"/>
      <c r="G828" s="191"/>
      <c r="H828" s="191"/>
      <c r="I828" s="191"/>
      <c r="J828" s="191"/>
      <c r="K828" s="191"/>
      <c r="L828" s="191"/>
      <c r="M828" s="191"/>
      <c r="N828" s="191"/>
      <c r="O828" s="191"/>
      <c r="P828" s="191"/>
      <c r="Q828" s="191"/>
      <c r="R828" s="191"/>
      <c r="S828" s="191"/>
      <c r="T828" s="191"/>
      <c r="U828" s="191"/>
      <c r="V828" s="191"/>
      <c r="W828" s="191"/>
      <c r="X828" s="191"/>
      <c r="Y828" s="191"/>
      <c r="Z828" s="191"/>
      <c r="AA828" s="191"/>
      <c r="AB828" s="191"/>
      <c r="AC828" s="190"/>
      <c r="AD828" s="190"/>
      <c r="AE828" s="190"/>
      <c r="AF828" s="190"/>
      <c r="AG828" s="190"/>
      <c r="AH828" s="190"/>
      <c r="AI828" s="190"/>
      <c r="AJ828" s="190"/>
      <c r="AK828" s="190"/>
      <c r="AL828" s="190"/>
      <c r="AM828" s="190"/>
    </row>
    <row r="829" spans="2:39">
      <c r="B829" s="162"/>
      <c r="C829" s="162"/>
      <c r="D829" s="191"/>
      <c r="E829" s="191"/>
      <c r="F829" s="191"/>
      <c r="G829" s="191"/>
      <c r="H829" s="191"/>
      <c r="I829" s="191"/>
      <c r="J829" s="191"/>
      <c r="K829" s="191"/>
      <c r="L829" s="191"/>
      <c r="M829" s="191"/>
      <c r="N829" s="191"/>
      <c r="O829" s="191"/>
      <c r="P829" s="191"/>
      <c r="Q829" s="191"/>
      <c r="R829" s="191"/>
      <c r="S829" s="191"/>
      <c r="T829" s="191"/>
      <c r="U829" s="191"/>
      <c r="V829" s="191"/>
      <c r="W829" s="191"/>
      <c r="X829" s="191"/>
      <c r="Y829" s="191"/>
      <c r="Z829" s="191"/>
      <c r="AA829" s="191"/>
      <c r="AB829" s="191"/>
      <c r="AC829" s="190"/>
      <c r="AD829" s="190"/>
      <c r="AE829" s="190"/>
      <c r="AF829" s="190"/>
      <c r="AG829" s="190"/>
      <c r="AH829" s="190"/>
      <c r="AI829" s="190"/>
      <c r="AJ829" s="190"/>
      <c r="AK829" s="190"/>
      <c r="AL829" s="190"/>
      <c r="AM829" s="190"/>
    </row>
    <row r="830" spans="2:39">
      <c r="B830" s="162"/>
      <c r="C830" s="162"/>
      <c r="D830" s="191"/>
      <c r="E830" s="191"/>
      <c r="F830" s="191"/>
      <c r="G830" s="191"/>
      <c r="H830" s="191"/>
      <c r="I830" s="191"/>
      <c r="J830" s="191"/>
      <c r="K830" s="191"/>
      <c r="L830" s="191"/>
      <c r="M830" s="191"/>
      <c r="N830" s="191"/>
      <c r="O830" s="191"/>
      <c r="P830" s="191"/>
      <c r="Q830" s="191"/>
      <c r="R830" s="191"/>
      <c r="S830" s="191"/>
      <c r="T830" s="191"/>
      <c r="U830" s="191"/>
      <c r="V830" s="191"/>
      <c r="W830" s="191"/>
      <c r="X830" s="191"/>
      <c r="Y830" s="191"/>
      <c r="Z830" s="191"/>
      <c r="AA830" s="191"/>
      <c r="AB830" s="191"/>
      <c r="AC830" s="190"/>
      <c r="AD830" s="190"/>
      <c r="AE830" s="190"/>
      <c r="AF830" s="190"/>
      <c r="AG830" s="190"/>
      <c r="AH830" s="190"/>
      <c r="AI830" s="190"/>
      <c r="AJ830" s="190"/>
      <c r="AK830" s="190"/>
      <c r="AL830" s="190"/>
      <c r="AM830" s="190"/>
    </row>
    <row r="831" spans="2:39">
      <c r="B831" s="162"/>
      <c r="C831" s="162"/>
      <c r="D831" s="191"/>
      <c r="E831" s="191"/>
      <c r="F831" s="191"/>
      <c r="G831" s="191"/>
      <c r="H831" s="191"/>
      <c r="I831" s="191"/>
      <c r="J831" s="191"/>
      <c r="K831" s="191"/>
      <c r="L831" s="191"/>
      <c r="M831" s="191"/>
      <c r="N831" s="191"/>
      <c r="O831" s="191"/>
      <c r="P831" s="191"/>
      <c r="Q831" s="191"/>
      <c r="R831" s="191"/>
      <c r="S831" s="191"/>
      <c r="T831" s="191"/>
      <c r="U831" s="191"/>
      <c r="V831" s="191"/>
      <c r="W831" s="191"/>
      <c r="X831" s="191"/>
      <c r="Y831" s="191"/>
      <c r="Z831" s="191"/>
      <c r="AA831" s="191"/>
      <c r="AB831" s="191"/>
      <c r="AC831" s="190"/>
      <c r="AD831" s="190"/>
      <c r="AE831" s="190"/>
      <c r="AF831" s="190"/>
      <c r="AG831" s="190"/>
      <c r="AH831" s="190"/>
      <c r="AI831" s="190"/>
      <c r="AJ831" s="190"/>
      <c r="AK831" s="190"/>
      <c r="AL831" s="190"/>
      <c r="AM831" s="190"/>
    </row>
    <row r="832" spans="2:39">
      <c r="B832" s="162"/>
      <c r="C832" s="162"/>
      <c r="D832" s="191"/>
      <c r="E832" s="191"/>
      <c r="F832" s="191"/>
      <c r="G832" s="191"/>
      <c r="H832" s="191"/>
      <c r="I832" s="191"/>
      <c r="J832" s="191"/>
      <c r="K832" s="191"/>
      <c r="L832" s="191"/>
      <c r="M832" s="191"/>
      <c r="N832" s="191"/>
      <c r="O832" s="191"/>
      <c r="P832" s="191"/>
      <c r="Q832" s="191"/>
      <c r="R832" s="191"/>
      <c r="S832" s="191"/>
      <c r="T832" s="191"/>
      <c r="U832" s="191"/>
      <c r="V832" s="191"/>
      <c r="W832" s="191"/>
      <c r="X832" s="191"/>
      <c r="Y832" s="191"/>
      <c r="Z832" s="191"/>
      <c r="AA832" s="191"/>
      <c r="AB832" s="191"/>
      <c r="AC832" s="190"/>
      <c r="AD832" s="190"/>
      <c r="AE832" s="190"/>
      <c r="AF832" s="190"/>
      <c r="AG832" s="190"/>
      <c r="AH832" s="190"/>
      <c r="AI832" s="190"/>
      <c r="AJ832" s="190"/>
      <c r="AK832" s="190"/>
      <c r="AL832" s="190"/>
      <c r="AM832" s="190"/>
    </row>
    <row r="833" spans="2:39">
      <c r="B833" s="162"/>
      <c r="C833" s="162"/>
      <c r="D833" s="191"/>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c r="AA833" s="191"/>
      <c r="AB833" s="191"/>
      <c r="AC833" s="190"/>
      <c r="AD833" s="190"/>
      <c r="AE833" s="190"/>
      <c r="AF833" s="190"/>
      <c r="AG833" s="190"/>
      <c r="AH833" s="190"/>
      <c r="AI833" s="190"/>
      <c r="AJ833" s="190"/>
      <c r="AK833" s="190"/>
      <c r="AL833" s="190"/>
      <c r="AM833" s="190"/>
    </row>
    <row r="834" spans="2:39">
      <c r="B834" s="162"/>
      <c r="C834" s="162"/>
      <c r="D834" s="191"/>
      <c r="E834" s="191"/>
      <c r="F834" s="191"/>
      <c r="G834" s="191"/>
      <c r="H834" s="191"/>
      <c r="I834" s="191"/>
      <c r="J834" s="191"/>
      <c r="K834" s="191"/>
      <c r="L834" s="191"/>
      <c r="M834" s="191"/>
      <c r="N834" s="191"/>
      <c r="O834" s="191"/>
      <c r="P834" s="191"/>
      <c r="Q834" s="191"/>
      <c r="R834" s="191"/>
      <c r="S834" s="191"/>
      <c r="T834" s="191"/>
      <c r="U834" s="191"/>
      <c r="V834" s="191"/>
      <c r="W834" s="191"/>
      <c r="X834" s="191"/>
      <c r="Y834" s="191"/>
      <c r="Z834" s="191"/>
      <c r="AA834" s="191"/>
      <c r="AB834" s="191"/>
      <c r="AC834" s="190"/>
      <c r="AD834" s="190"/>
      <c r="AE834" s="190"/>
      <c r="AF834" s="190"/>
      <c r="AG834" s="190"/>
      <c r="AH834" s="190"/>
      <c r="AI834" s="190"/>
      <c r="AJ834" s="190"/>
      <c r="AK834" s="190"/>
      <c r="AL834" s="190"/>
      <c r="AM834" s="190"/>
    </row>
    <row r="835" spans="2:39">
      <c r="B835" s="162"/>
      <c r="C835" s="162"/>
      <c r="D835" s="191"/>
      <c r="E835" s="191"/>
      <c r="F835" s="191"/>
      <c r="G835" s="191"/>
      <c r="H835" s="191"/>
      <c r="I835" s="191"/>
      <c r="J835" s="191"/>
      <c r="K835" s="191"/>
      <c r="L835" s="191"/>
      <c r="M835" s="191"/>
      <c r="N835" s="191"/>
      <c r="O835" s="191"/>
      <c r="P835" s="191"/>
      <c r="Q835" s="191"/>
      <c r="R835" s="191"/>
      <c r="S835" s="191"/>
      <c r="T835" s="191"/>
      <c r="U835" s="191"/>
      <c r="V835" s="191"/>
      <c r="W835" s="191"/>
      <c r="X835" s="191"/>
      <c r="Y835" s="191"/>
      <c r="Z835" s="191"/>
      <c r="AA835" s="191"/>
      <c r="AB835" s="191"/>
      <c r="AC835" s="190"/>
      <c r="AD835" s="190"/>
      <c r="AE835" s="190"/>
      <c r="AF835" s="190"/>
      <c r="AG835" s="190"/>
      <c r="AH835" s="190"/>
      <c r="AI835" s="190"/>
      <c r="AJ835" s="190"/>
      <c r="AK835" s="190"/>
      <c r="AL835" s="190"/>
      <c r="AM835" s="190"/>
    </row>
    <row r="836" spans="2:39">
      <c r="B836" s="162"/>
      <c r="C836" s="162"/>
      <c r="D836" s="191"/>
      <c r="E836" s="191"/>
      <c r="F836" s="191"/>
      <c r="G836" s="191"/>
      <c r="H836" s="191"/>
      <c r="I836" s="191"/>
      <c r="J836" s="191"/>
      <c r="K836" s="191"/>
      <c r="L836" s="191"/>
      <c r="M836" s="191"/>
      <c r="N836" s="191"/>
      <c r="O836" s="191"/>
      <c r="P836" s="191"/>
      <c r="Q836" s="191"/>
      <c r="R836" s="191"/>
      <c r="S836" s="191"/>
      <c r="T836" s="191"/>
      <c r="U836" s="191"/>
      <c r="V836" s="191"/>
      <c r="W836" s="191"/>
      <c r="X836" s="191"/>
      <c r="Y836" s="191"/>
      <c r="Z836" s="191"/>
      <c r="AA836" s="191"/>
      <c r="AB836" s="191"/>
      <c r="AC836" s="190"/>
      <c r="AD836" s="190"/>
      <c r="AE836" s="190"/>
      <c r="AF836" s="190"/>
      <c r="AG836" s="190"/>
      <c r="AH836" s="190"/>
      <c r="AI836" s="190"/>
      <c r="AJ836" s="190"/>
      <c r="AK836" s="190"/>
      <c r="AL836" s="190"/>
      <c r="AM836" s="190"/>
    </row>
    <row r="837" spans="2:39">
      <c r="B837" s="162"/>
      <c r="C837" s="162"/>
      <c r="D837" s="191"/>
      <c r="E837" s="191"/>
      <c r="F837" s="191"/>
      <c r="G837" s="191"/>
      <c r="H837" s="191"/>
      <c r="I837" s="191"/>
      <c r="J837" s="191"/>
      <c r="K837" s="191"/>
      <c r="L837" s="191"/>
      <c r="M837" s="191"/>
      <c r="N837" s="191"/>
      <c r="O837" s="191"/>
      <c r="P837" s="191"/>
      <c r="Q837" s="191"/>
      <c r="R837" s="191"/>
      <c r="S837" s="191"/>
      <c r="T837" s="191"/>
      <c r="U837" s="191"/>
      <c r="V837" s="191"/>
      <c r="W837" s="191"/>
      <c r="X837" s="191"/>
      <c r="Y837" s="191"/>
      <c r="Z837" s="191"/>
      <c r="AA837" s="191"/>
      <c r="AB837" s="191"/>
      <c r="AC837" s="190"/>
      <c r="AD837" s="190"/>
      <c r="AE837" s="190"/>
      <c r="AF837" s="190"/>
      <c r="AG837" s="190"/>
      <c r="AH837" s="190"/>
      <c r="AI837" s="190"/>
      <c r="AJ837" s="190"/>
      <c r="AK837" s="190"/>
      <c r="AL837" s="190"/>
      <c r="AM837" s="190"/>
    </row>
    <row r="838" spans="2:39">
      <c r="B838" s="162"/>
      <c r="C838" s="162"/>
      <c r="D838" s="191"/>
      <c r="E838" s="191"/>
      <c r="F838" s="191"/>
      <c r="G838" s="191"/>
      <c r="H838" s="191"/>
      <c r="I838" s="191"/>
      <c r="J838" s="191"/>
      <c r="K838" s="191"/>
      <c r="L838" s="191"/>
      <c r="M838" s="191"/>
      <c r="N838" s="191"/>
      <c r="O838" s="191"/>
      <c r="P838" s="191"/>
      <c r="Q838" s="191"/>
      <c r="R838" s="191"/>
      <c r="S838" s="191"/>
      <c r="T838" s="191"/>
      <c r="U838" s="191"/>
      <c r="V838" s="191"/>
      <c r="W838" s="191"/>
      <c r="X838" s="191"/>
      <c r="Y838" s="191"/>
      <c r="Z838" s="191"/>
      <c r="AA838" s="191"/>
      <c r="AB838" s="191"/>
      <c r="AC838" s="190"/>
      <c r="AD838" s="190"/>
      <c r="AE838" s="190"/>
      <c r="AF838" s="190"/>
      <c r="AG838" s="190"/>
      <c r="AH838" s="190"/>
      <c r="AI838" s="190"/>
      <c r="AJ838" s="190"/>
      <c r="AK838" s="190"/>
      <c r="AL838" s="190"/>
      <c r="AM838" s="190"/>
    </row>
    <row r="839" spans="2:39">
      <c r="B839" s="162"/>
      <c r="C839" s="162"/>
      <c r="D839" s="191"/>
      <c r="E839" s="191"/>
      <c r="F839" s="191"/>
      <c r="G839" s="191"/>
      <c r="H839" s="191"/>
      <c r="I839" s="191"/>
      <c r="J839" s="191"/>
      <c r="K839" s="191"/>
      <c r="L839" s="191"/>
      <c r="M839" s="191"/>
      <c r="N839" s="191"/>
      <c r="O839" s="191"/>
      <c r="P839" s="191"/>
      <c r="Q839" s="191"/>
      <c r="R839" s="191"/>
      <c r="S839" s="191"/>
      <c r="T839" s="191"/>
      <c r="U839" s="191"/>
      <c r="V839" s="191"/>
      <c r="W839" s="191"/>
      <c r="X839" s="191"/>
      <c r="Y839" s="191"/>
      <c r="Z839" s="191"/>
      <c r="AA839" s="191"/>
      <c r="AB839" s="191"/>
      <c r="AC839" s="190"/>
      <c r="AD839" s="190"/>
      <c r="AE839" s="190"/>
      <c r="AF839" s="190"/>
      <c r="AG839" s="190"/>
      <c r="AH839" s="190"/>
      <c r="AI839" s="190"/>
      <c r="AJ839" s="190"/>
      <c r="AK839" s="190"/>
      <c r="AL839" s="190"/>
      <c r="AM839" s="190"/>
    </row>
    <row r="840" spans="2:39">
      <c r="B840" s="162"/>
      <c r="C840" s="162"/>
      <c r="D840" s="191"/>
      <c r="E840" s="191"/>
      <c r="F840" s="191"/>
      <c r="G840" s="191"/>
      <c r="H840" s="191"/>
      <c r="I840" s="191"/>
      <c r="J840" s="191"/>
      <c r="K840" s="191"/>
      <c r="L840" s="191"/>
      <c r="M840" s="191"/>
      <c r="N840" s="191"/>
      <c r="O840" s="191"/>
      <c r="P840" s="191"/>
      <c r="Q840" s="191"/>
      <c r="R840" s="191"/>
      <c r="S840" s="191"/>
      <c r="T840" s="191"/>
      <c r="U840" s="191"/>
      <c r="V840" s="191"/>
      <c r="W840" s="191"/>
      <c r="X840" s="191"/>
      <c r="Y840" s="191"/>
      <c r="Z840" s="191"/>
      <c r="AA840" s="191"/>
      <c r="AB840" s="191"/>
      <c r="AC840" s="190"/>
      <c r="AD840" s="190"/>
      <c r="AE840" s="190"/>
      <c r="AF840" s="190"/>
      <c r="AG840" s="190"/>
      <c r="AH840" s="190"/>
      <c r="AI840" s="190"/>
      <c r="AJ840" s="190"/>
      <c r="AK840" s="190"/>
      <c r="AL840" s="190"/>
      <c r="AM840" s="190"/>
    </row>
    <row r="841" spans="2:39">
      <c r="B841" s="162"/>
      <c r="C841" s="162"/>
      <c r="D841" s="191"/>
      <c r="E841" s="191"/>
      <c r="F841" s="191"/>
      <c r="G841" s="191"/>
      <c r="H841" s="191"/>
      <c r="I841" s="191"/>
      <c r="J841" s="191"/>
      <c r="K841" s="191"/>
      <c r="L841" s="191"/>
      <c r="M841" s="191"/>
      <c r="N841" s="191"/>
      <c r="O841" s="191"/>
      <c r="P841" s="191"/>
      <c r="Q841" s="191"/>
      <c r="R841" s="191"/>
      <c r="S841" s="191"/>
      <c r="T841" s="191"/>
      <c r="U841" s="191"/>
      <c r="V841" s="191"/>
      <c r="W841" s="191"/>
      <c r="X841" s="191"/>
      <c r="Y841" s="191"/>
      <c r="Z841" s="191"/>
      <c r="AA841" s="191"/>
      <c r="AB841" s="191"/>
      <c r="AC841" s="190"/>
      <c r="AD841" s="190"/>
      <c r="AE841" s="190"/>
      <c r="AF841" s="190"/>
      <c r="AG841" s="190"/>
      <c r="AH841" s="190"/>
      <c r="AI841" s="190"/>
      <c r="AJ841" s="190"/>
      <c r="AK841" s="190"/>
      <c r="AL841" s="190"/>
      <c r="AM841" s="190"/>
    </row>
    <row r="842" spans="2:39">
      <c r="B842" s="162"/>
      <c r="C842" s="162"/>
      <c r="D842" s="191"/>
      <c r="E842" s="191"/>
      <c r="F842" s="191"/>
      <c r="G842" s="191"/>
      <c r="H842" s="191"/>
      <c r="I842" s="191"/>
      <c r="J842" s="191"/>
      <c r="K842" s="191"/>
      <c r="L842" s="191"/>
      <c r="M842" s="191"/>
      <c r="N842" s="191"/>
      <c r="O842" s="191"/>
      <c r="P842" s="191"/>
      <c r="Q842" s="191"/>
      <c r="R842" s="191"/>
      <c r="S842" s="191"/>
      <c r="T842" s="191"/>
      <c r="U842" s="191"/>
      <c r="V842" s="191"/>
      <c r="W842" s="191"/>
      <c r="X842" s="191"/>
      <c r="Y842" s="191"/>
      <c r="Z842" s="191"/>
      <c r="AA842" s="191"/>
      <c r="AB842" s="191"/>
      <c r="AC842" s="190"/>
      <c r="AD842" s="190"/>
      <c r="AE842" s="190"/>
      <c r="AF842" s="190"/>
      <c r="AG842" s="190"/>
      <c r="AH842" s="190"/>
      <c r="AI842" s="190"/>
      <c r="AJ842" s="190"/>
      <c r="AK842" s="190"/>
      <c r="AL842" s="190"/>
      <c r="AM842" s="190"/>
    </row>
    <row r="843" spans="2:39">
      <c r="B843" s="162"/>
      <c r="C843" s="162"/>
      <c r="D843" s="191"/>
      <c r="E843" s="191"/>
      <c r="F843" s="191"/>
      <c r="G843" s="191"/>
      <c r="H843" s="191"/>
      <c r="I843" s="191"/>
      <c r="J843" s="191"/>
      <c r="K843" s="191"/>
      <c r="L843" s="191"/>
      <c r="M843" s="191"/>
      <c r="N843" s="191"/>
      <c r="O843" s="191"/>
      <c r="P843" s="191"/>
      <c r="Q843" s="191"/>
      <c r="R843" s="191"/>
      <c r="S843" s="191"/>
      <c r="T843" s="191"/>
      <c r="U843" s="191"/>
      <c r="V843" s="191"/>
      <c r="W843" s="191"/>
      <c r="X843" s="191"/>
      <c r="Y843" s="191"/>
      <c r="Z843" s="191"/>
      <c r="AA843" s="191"/>
      <c r="AB843" s="191"/>
      <c r="AC843" s="190"/>
      <c r="AD843" s="190"/>
      <c r="AE843" s="190"/>
      <c r="AF843" s="190"/>
      <c r="AG843" s="190"/>
      <c r="AH843" s="190"/>
      <c r="AI843" s="190"/>
      <c r="AJ843" s="190"/>
      <c r="AK843" s="190"/>
      <c r="AL843" s="190"/>
      <c r="AM843" s="190"/>
    </row>
    <row r="844" spans="2:39">
      <c r="B844" s="162"/>
      <c r="C844" s="162"/>
      <c r="D844" s="191"/>
      <c r="E844" s="191"/>
      <c r="F844" s="191"/>
      <c r="G844" s="191"/>
      <c r="H844" s="191"/>
      <c r="I844" s="191"/>
      <c r="J844" s="191"/>
      <c r="K844" s="191"/>
      <c r="L844" s="191"/>
      <c r="M844" s="191"/>
      <c r="N844" s="191"/>
      <c r="O844" s="191"/>
      <c r="P844" s="191"/>
      <c r="Q844" s="191"/>
      <c r="R844" s="191"/>
      <c r="S844" s="191"/>
      <c r="T844" s="191"/>
      <c r="U844" s="191"/>
      <c r="V844" s="191"/>
      <c r="W844" s="191"/>
      <c r="X844" s="191"/>
      <c r="Y844" s="191"/>
      <c r="Z844" s="191"/>
      <c r="AA844" s="191"/>
      <c r="AB844" s="191"/>
      <c r="AC844" s="190"/>
      <c r="AD844" s="190"/>
      <c r="AE844" s="190"/>
      <c r="AF844" s="190"/>
      <c r="AG844" s="190"/>
      <c r="AH844" s="190"/>
      <c r="AI844" s="190"/>
      <c r="AJ844" s="190"/>
      <c r="AK844" s="190"/>
      <c r="AL844" s="190"/>
      <c r="AM844" s="190"/>
    </row>
    <row r="845" spans="2:39">
      <c r="B845" s="162"/>
      <c r="C845" s="162"/>
      <c r="D845" s="191"/>
      <c r="E845" s="191"/>
      <c r="F845" s="191"/>
      <c r="G845" s="191"/>
      <c r="H845" s="191"/>
      <c r="I845" s="191"/>
      <c r="J845" s="191"/>
      <c r="K845" s="191"/>
      <c r="L845" s="191"/>
      <c r="M845" s="191"/>
      <c r="N845" s="191"/>
      <c r="O845" s="191"/>
      <c r="P845" s="191"/>
      <c r="Q845" s="191"/>
      <c r="R845" s="191"/>
      <c r="S845" s="191"/>
      <c r="T845" s="191"/>
      <c r="U845" s="191"/>
      <c r="V845" s="191"/>
      <c r="W845" s="191"/>
      <c r="X845" s="191"/>
      <c r="Y845" s="191"/>
      <c r="Z845" s="191"/>
      <c r="AA845" s="191"/>
      <c r="AB845" s="191"/>
      <c r="AC845" s="190"/>
      <c r="AD845" s="190"/>
      <c r="AE845" s="190"/>
      <c r="AF845" s="190"/>
      <c r="AG845" s="190"/>
      <c r="AH845" s="190"/>
      <c r="AI845" s="190"/>
      <c r="AJ845" s="190"/>
      <c r="AK845" s="190"/>
      <c r="AL845" s="190"/>
      <c r="AM845" s="190"/>
    </row>
    <row r="846" spans="2:39">
      <c r="B846" s="162"/>
      <c r="C846" s="162"/>
      <c r="D846" s="191"/>
      <c r="E846" s="191"/>
      <c r="F846" s="191"/>
      <c r="G846" s="191"/>
      <c r="H846" s="191"/>
      <c r="I846" s="191"/>
      <c r="J846" s="191"/>
      <c r="K846" s="191"/>
      <c r="L846" s="191"/>
      <c r="M846" s="191"/>
      <c r="N846" s="191"/>
      <c r="O846" s="191"/>
      <c r="P846" s="191"/>
      <c r="Q846" s="191"/>
      <c r="R846" s="191"/>
      <c r="S846" s="191"/>
      <c r="T846" s="191"/>
      <c r="U846" s="191"/>
      <c r="V846" s="191"/>
      <c r="W846" s="191"/>
      <c r="X846" s="191"/>
      <c r="Y846" s="191"/>
      <c r="Z846" s="191"/>
      <c r="AA846" s="191"/>
      <c r="AB846" s="191"/>
      <c r="AC846" s="190"/>
      <c r="AD846" s="190"/>
      <c r="AE846" s="190"/>
      <c r="AF846" s="190"/>
      <c r="AG846" s="190"/>
      <c r="AH846" s="190"/>
      <c r="AI846" s="190"/>
      <c r="AJ846" s="190"/>
      <c r="AK846" s="190"/>
      <c r="AL846" s="190"/>
      <c r="AM846" s="190"/>
    </row>
    <row r="847" spans="2:39">
      <c r="B847" s="162"/>
      <c r="C847" s="162"/>
      <c r="D847" s="191"/>
      <c r="E847" s="191"/>
      <c r="F847" s="191"/>
      <c r="G847" s="191"/>
      <c r="H847" s="191"/>
      <c r="I847" s="191"/>
      <c r="J847" s="191"/>
      <c r="K847" s="191"/>
      <c r="L847" s="191"/>
      <c r="M847" s="191"/>
      <c r="N847" s="191"/>
      <c r="O847" s="191"/>
      <c r="P847" s="191"/>
      <c r="Q847" s="191"/>
      <c r="R847" s="191"/>
      <c r="S847" s="191"/>
      <c r="T847" s="191"/>
      <c r="U847" s="191"/>
      <c r="V847" s="191"/>
      <c r="W847" s="191"/>
      <c r="X847" s="191"/>
      <c r="Y847" s="191"/>
      <c r="Z847" s="191"/>
      <c r="AA847" s="191"/>
      <c r="AB847" s="191"/>
      <c r="AC847" s="190"/>
      <c r="AD847" s="190"/>
      <c r="AE847" s="190"/>
      <c r="AF847" s="190"/>
      <c r="AG847" s="190"/>
      <c r="AH847" s="190"/>
      <c r="AI847" s="190"/>
      <c r="AJ847" s="190"/>
      <c r="AK847" s="190"/>
      <c r="AL847" s="190"/>
      <c r="AM847" s="190"/>
    </row>
    <row r="848" spans="2:39">
      <c r="B848" s="162"/>
      <c r="C848" s="162"/>
      <c r="D848" s="191"/>
      <c r="E848" s="191"/>
      <c r="F848" s="191"/>
      <c r="G848" s="191"/>
      <c r="H848" s="191"/>
      <c r="I848" s="191"/>
      <c r="J848" s="191"/>
      <c r="K848" s="191"/>
      <c r="L848" s="191"/>
      <c r="M848" s="191"/>
      <c r="N848" s="191"/>
      <c r="O848" s="191"/>
      <c r="P848" s="191"/>
      <c r="Q848" s="191"/>
      <c r="R848" s="191"/>
      <c r="S848" s="191"/>
      <c r="T848" s="191"/>
      <c r="U848" s="191"/>
      <c r="V848" s="191"/>
      <c r="W848" s="191"/>
      <c r="X848" s="191"/>
      <c r="Y848" s="191"/>
      <c r="Z848" s="191"/>
      <c r="AA848" s="191"/>
      <c r="AB848" s="191"/>
      <c r="AC848" s="190"/>
      <c r="AD848" s="190"/>
      <c r="AE848" s="190"/>
      <c r="AF848" s="190"/>
      <c r="AG848" s="190"/>
      <c r="AH848" s="190"/>
      <c r="AI848" s="190"/>
      <c r="AJ848" s="190"/>
      <c r="AK848" s="190"/>
      <c r="AL848" s="190"/>
      <c r="AM848" s="190"/>
    </row>
    <row r="849" spans="2:39">
      <c r="B849" s="162"/>
      <c r="C849" s="162"/>
      <c r="D849" s="191"/>
      <c r="E849" s="191"/>
      <c r="F849" s="191"/>
      <c r="G849" s="191"/>
      <c r="H849" s="191"/>
      <c r="I849" s="191"/>
      <c r="J849" s="191"/>
      <c r="K849" s="191"/>
      <c r="L849" s="191"/>
      <c r="M849" s="191"/>
      <c r="N849" s="191"/>
      <c r="O849" s="191"/>
      <c r="P849" s="191"/>
      <c r="Q849" s="191"/>
      <c r="R849" s="191"/>
      <c r="S849" s="191"/>
      <c r="T849" s="191"/>
      <c r="U849" s="191"/>
      <c r="V849" s="191"/>
      <c r="W849" s="191"/>
      <c r="X849" s="191"/>
      <c r="Y849" s="191"/>
      <c r="Z849" s="191"/>
      <c r="AA849" s="191"/>
      <c r="AB849" s="191"/>
      <c r="AC849" s="190"/>
      <c r="AD849" s="190"/>
      <c r="AE849" s="190"/>
      <c r="AF849" s="190"/>
      <c r="AG849" s="190"/>
      <c r="AH849" s="190"/>
      <c r="AI849" s="190"/>
      <c r="AJ849" s="190"/>
      <c r="AK849" s="190"/>
      <c r="AL849" s="190"/>
      <c r="AM849" s="190"/>
    </row>
    <row r="850" spans="2:39">
      <c r="B850" s="162"/>
      <c r="C850" s="162"/>
      <c r="D850" s="191"/>
      <c r="E850" s="191"/>
      <c r="F850" s="191"/>
      <c r="G850" s="191"/>
      <c r="H850" s="191"/>
      <c r="I850" s="191"/>
      <c r="J850" s="191"/>
      <c r="K850" s="191"/>
      <c r="L850" s="191"/>
      <c r="M850" s="191"/>
      <c r="N850" s="191"/>
      <c r="O850" s="191"/>
      <c r="P850" s="191"/>
      <c r="Q850" s="191"/>
      <c r="R850" s="191"/>
      <c r="S850" s="191"/>
      <c r="T850" s="191"/>
      <c r="U850" s="191"/>
      <c r="V850" s="191"/>
      <c r="W850" s="191"/>
      <c r="X850" s="191"/>
      <c r="Y850" s="191"/>
      <c r="Z850" s="191"/>
      <c r="AA850" s="191"/>
      <c r="AB850" s="191"/>
      <c r="AC850" s="190"/>
      <c r="AD850" s="190"/>
      <c r="AE850" s="190"/>
      <c r="AF850" s="190"/>
      <c r="AG850" s="190"/>
      <c r="AH850" s="190"/>
      <c r="AI850" s="190"/>
      <c r="AJ850" s="190"/>
      <c r="AK850" s="190"/>
      <c r="AL850" s="190"/>
      <c r="AM850" s="190"/>
    </row>
    <row r="851" spans="2:39">
      <c r="B851" s="162"/>
      <c r="C851" s="162"/>
      <c r="D851" s="191"/>
      <c r="E851" s="191"/>
      <c r="F851" s="191"/>
      <c r="G851" s="191"/>
      <c r="H851" s="191"/>
      <c r="I851" s="191"/>
      <c r="J851" s="191"/>
      <c r="K851" s="191"/>
      <c r="L851" s="191"/>
      <c r="M851" s="191"/>
      <c r="N851" s="191"/>
      <c r="O851" s="191"/>
      <c r="P851" s="191"/>
      <c r="Q851" s="191"/>
      <c r="R851" s="191"/>
      <c r="S851" s="191"/>
      <c r="T851" s="191"/>
      <c r="U851" s="191"/>
      <c r="V851" s="191"/>
      <c r="W851" s="191"/>
      <c r="X851" s="191"/>
      <c r="Y851" s="191"/>
      <c r="Z851" s="191"/>
      <c r="AA851" s="191"/>
      <c r="AB851" s="191"/>
      <c r="AC851" s="190"/>
      <c r="AD851" s="190"/>
      <c r="AE851" s="190"/>
      <c r="AF851" s="190"/>
      <c r="AG851" s="190"/>
      <c r="AH851" s="190"/>
      <c r="AI851" s="190"/>
      <c r="AJ851" s="190"/>
      <c r="AK851" s="190"/>
      <c r="AL851" s="190"/>
      <c r="AM851" s="190"/>
    </row>
    <row r="852" spans="2:39">
      <c r="B852" s="162"/>
      <c r="C852" s="162"/>
      <c r="D852" s="191"/>
      <c r="E852" s="191"/>
      <c r="F852" s="191"/>
      <c r="G852" s="191"/>
      <c r="H852" s="191"/>
      <c r="I852" s="191"/>
      <c r="J852" s="191"/>
      <c r="K852" s="191"/>
      <c r="L852" s="191"/>
      <c r="M852" s="191"/>
      <c r="N852" s="191"/>
      <c r="O852" s="191"/>
      <c r="P852" s="191"/>
      <c r="Q852" s="191"/>
      <c r="R852" s="191"/>
      <c r="S852" s="191"/>
      <c r="T852" s="191"/>
      <c r="U852" s="191"/>
      <c r="V852" s="191"/>
      <c r="W852" s="191"/>
      <c r="X852" s="191"/>
      <c r="Y852" s="191"/>
      <c r="Z852" s="191"/>
      <c r="AA852" s="191"/>
      <c r="AB852" s="191"/>
      <c r="AC852" s="190"/>
      <c r="AD852" s="190"/>
      <c r="AE852" s="190"/>
      <c r="AF852" s="190"/>
      <c r="AG852" s="190"/>
      <c r="AH852" s="190"/>
      <c r="AI852" s="190"/>
      <c r="AJ852" s="190"/>
      <c r="AK852" s="190"/>
      <c r="AL852" s="190"/>
      <c r="AM852" s="190"/>
    </row>
    <row r="853" spans="2:39">
      <c r="B853" s="162"/>
      <c r="C853" s="162"/>
      <c r="D853" s="191"/>
      <c r="E853" s="191"/>
      <c r="F853" s="191"/>
      <c r="G853" s="191"/>
      <c r="H853" s="191"/>
      <c r="I853" s="191"/>
      <c r="J853" s="191"/>
      <c r="K853" s="191"/>
      <c r="L853" s="191"/>
      <c r="M853" s="191"/>
      <c r="N853" s="191"/>
      <c r="O853" s="191"/>
      <c r="P853" s="191"/>
      <c r="Q853" s="191"/>
      <c r="R853" s="191"/>
      <c r="S853" s="191"/>
      <c r="T853" s="191"/>
      <c r="U853" s="191"/>
      <c r="V853" s="191"/>
      <c r="W853" s="191"/>
      <c r="X853" s="191"/>
      <c r="Y853" s="191"/>
      <c r="Z853" s="191"/>
      <c r="AA853" s="191"/>
      <c r="AB853" s="191"/>
      <c r="AC853" s="190"/>
      <c r="AD853" s="190"/>
      <c r="AE853" s="190"/>
      <c r="AF853" s="190"/>
      <c r="AG853" s="190"/>
      <c r="AH853" s="190"/>
      <c r="AI853" s="190"/>
      <c r="AJ853" s="190"/>
      <c r="AK853" s="190"/>
      <c r="AL853" s="190"/>
      <c r="AM853" s="190"/>
    </row>
    <row r="854" spans="2:39">
      <c r="B854" s="162"/>
      <c r="C854" s="162"/>
      <c r="D854" s="191"/>
      <c r="E854" s="191"/>
      <c r="F854" s="191"/>
      <c r="G854" s="191"/>
      <c r="H854" s="191"/>
      <c r="I854" s="191"/>
      <c r="J854" s="191"/>
      <c r="K854" s="191"/>
      <c r="L854" s="191"/>
      <c r="M854" s="191"/>
      <c r="N854" s="191"/>
      <c r="O854" s="191"/>
      <c r="P854" s="191"/>
      <c r="Q854" s="191"/>
      <c r="R854" s="191"/>
      <c r="S854" s="191"/>
      <c r="T854" s="191"/>
      <c r="U854" s="191"/>
      <c r="V854" s="191"/>
      <c r="W854" s="191"/>
      <c r="X854" s="191"/>
      <c r="Y854" s="191"/>
      <c r="Z854" s="191"/>
      <c r="AA854" s="191"/>
      <c r="AB854" s="191"/>
      <c r="AC854" s="190"/>
      <c r="AD854" s="190"/>
      <c r="AE854" s="190"/>
      <c r="AF854" s="190"/>
      <c r="AG854" s="190"/>
      <c r="AH854" s="190"/>
      <c r="AI854" s="190"/>
      <c r="AJ854" s="190"/>
      <c r="AK854" s="190"/>
      <c r="AL854" s="190"/>
      <c r="AM854" s="190"/>
    </row>
    <row r="855" spans="2:39">
      <c r="B855" s="162"/>
      <c r="C855" s="162"/>
      <c r="D855" s="191"/>
      <c r="E855" s="191"/>
      <c r="F855" s="191"/>
      <c r="G855" s="191"/>
      <c r="H855" s="191"/>
      <c r="I855" s="191"/>
      <c r="J855" s="191"/>
      <c r="K855" s="191"/>
      <c r="L855" s="191"/>
      <c r="M855" s="191"/>
      <c r="N855" s="191"/>
      <c r="O855" s="191"/>
      <c r="P855" s="191"/>
      <c r="Q855" s="191"/>
      <c r="R855" s="191"/>
      <c r="S855" s="191"/>
      <c r="T855" s="191"/>
      <c r="U855" s="191"/>
      <c r="V855" s="191"/>
      <c r="W855" s="191"/>
      <c r="X855" s="191"/>
      <c r="Y855" s="191"/>
      <c r="Z855" s="191"/>
      <c r="AA855" s="191"/>
      <c r="AB855" s="191"/>
      <c r="AC855" s="190"/>
      <c r="AD855" s="190"/>
      <c r="AE855" s="190"/>
      <c r="AF855" s="190"/>
      <c r="AG855" s="190"/>
      <c r="AH855" s="190"/>
      <c r="AI855" s="190"/>
      <c r="AJ855" s="190"/>
      <c r="AK855" s="190"/>
      <c r="AL855" s="190"/>
      <c r="AM855" s="190"/>
    </row>
    <row r="856" spans="2:39">
      <c r="B856" s="162"/>
      <c r="C856" s="162"/>
      <c r="D856" s="191"/>
      <c r="E856" s="191"/>
      <c r="F856" s="191"/>
      <c r="G856" s="191"/>
      <c r="H856" s="191"/>
      <c r="I856" s="191"/>
      <c r="J856" s="191"/>
      <c r="K856" s="191"/>
      <c r="L856" s="191"/>
      <c r="M856" s="191"/>
      <c r="N856" s="191"/>
      <c r="O856" s="191"/>
      <c r="P856" s="191"/>
      <c r="Q856" s="191"/>
      <c r="R856" s="191"/>
      <c r="S856" s="191"/>
      <c r="T856" s="191"/>
      <c r="U856" s="191"/>
      <c r="V856" s="191"/>
      <c r="W856" s="191"/>
      <c r="X856" s="191"/>
      <c r="Y856" s="191"/>
      <c r="Z856" s="191"/>
      <c r="AA856" s="191"/>
      <c r="AB856" s="191"/>
      <c r="AC856" s="190"/>
      <c r="AD856" s="190"/>
      <c r="AE856" s="190"/>
      <c r="AF856" s="190"/>
      <c r="AG856" s="190"/>
      <c r="AH856" s="190"/>
      <c r="AI856" s="190"/>
      <c r="AJ856" s="190"/>
      <c r="AK856" s="190"/>
      <c r="AL856" s="190"/>
      <c r="AM856" s="190"/>
    </row>
    <row r="857" spans="2:39">
      <c r="B857" s="162"/>
      <c r="C857" s="162"/>
      <c r="D857" s="191"/>
      <c r="E857" s="191"/>
      <c r="F857" s="191"/>
      <c r="G857" s="191"/>
      <c r="H857" s="191"/>
      <c r="I857" s="191"/>
      <c r="J857" s="191"/>
      <c r="K857" s="191"/>
      <c r="L857" s="191"/>
      <c r="M857" s="191"/>
      <c r="N857" s="191"/>
      <c r="O857" s="191"/>
      <c r="P857" s="191"/>
      <c r="Q857" s="191"/>
      <c r="R857" s="191"/>
      <c r="S857" s="191"/>
      <c r="T857" s="191"/>
      <c r="U857" s="191"/>
      <c r="V857" s="191"/>
      <c r="W857" s="191"/>
      <c r="X857" s="191"/>
      <c r="Y857" s="191"/>
      <c r="Z857" s="191"/>
      <c r="AA857" s="191"/>
      <c r="AB857" s="191"/>
      <c r="AC857" s="190"/>
      <c r="AD857" s="190"/>
      <c r="AE857" s="190"/>
      <c r="AF857" s="190"/>
      <c r="AG857" s="190"/>
      <c r="AH857" s="190"/>
      <c r="AI857" s="190"/>
      <c r="AJ857" s="190"/>
      <c r="AK857" s="190"/>
      <c r="AL857" s="190"/>
      <c r="AM857" s="190"/>
    </row>
    <row r="858" spans="2:39">
      <c r="B858" s="162"/>
      <c r="C858" s="162"/>
      <c r="D858" s="191"/>
      <c r="E858" s="191"/>
      <c r="F858" s="191"/>
      <c r="G858" s="191"/>
      <c r="H858" s="191"/>
      <c r="I858" s="191"/>
      <c r="J858" s="191"/>
      <c r="K858" s="191"/>
      <c r="L858" s="191"/>
      <c r="M858" s="191"/>
      <c r="N858" s="191"/>
      <c r="O858" s="191"/>
      <c r="P858" s="191"/>
      <c r="Q858" s="191"/>
      <c r="R858" s="191"/>
      <c r="S858" s="191"/>
      <c r="T858" s="191"/>
      <c r="U858" s="191"/>
      <c r="V858" s="191"/>
      <c r="W858" s="191"/>
      <c r="X858" s="191"/>
      <c r="Y858" s="191"/>
      <c r="Z858" s="191"/>
      <c r="AA858" s="191"/>
      <c r="AB858" s="191"/>
      <c r="AC858" s="190"/>
      <c r="AD858" s="190"/>
      <c r="AE858" s="190"/>
      <c r="AF858" s="190"/>
      <c r="AG858" s="190"/>
      <c r="AH858" s="190"/>
      <c r="AI858" s="190"/>
      <c r="AJ858" s="190"/>
      <c r="AK858" s="190"/>
      <c r="AL858" s="190"/>
      <c r="AM858" s="190"/>
    </row>
    <row r="859" spans="2:39">
      <c r="B859" s="162"/>
      <c r="C859" s="162"/>
      <c r="D859" s="191"/>
      <c r="E859" s="191"/>
      <c r="F859" s="191"/>
      <c r="G859" s="191"/>
      <c r="H859" s="191"/>
      <c r="I859" s="191"/>
      <c r="J859" s="191"/>
      <c r="K859" s="191"/>
      <c r="L859" s="191"/>
      <c r="M859" s="191"/>
      <c r="N859" s="191"/>
      <c r="O859" s="191"/>
      <c r="P859" s="191"/>
      <c r="Q859" s="191"/>
      <c r="R859" s="191"/>
      <c r="S859" s="191"/>
      <c r="T859" s="191"/>
      <c r="U859" s="191"/>
      <c r="V859" s="191"/>
      <c r="W859" s="191"/>
      <c r="X859" s="191"/>
      <c r="Y859" s="191"/>
      <c r="Z859" s="191"/>
      <c r="AA859" s="191"/>
      <c r="AB859" s="191"/>
      <c r="AC859" s="190"/>
      <c r="AD859" s="190"/>
      <c r="AE859" s="190"/>
      <c r="AF859" s="190"/>
      <c r="AG859" s="190"/>
      <c r="AH859" s="190"/>
      <c r="AI859" s="190"/>
      <c r="AJ859" s="190"/>
      <c r="AK859" s="190"/>
      <c r="AL859" s="190"/>
      <c r="AM859" s="190"/>
    </row>
    <row r="860" spans="2:39">
      <c r="B860" s="162"/>
      <c r="C860" s="162"/>
      <c r="D860" s="191"/>
      <c r="E860" s="191"/>
      <c r="F860" s="191"/>
      <c r="G860" s="191"/>
      <c r="H860" s="191"/>
      <c r="I860" s="191"/>
      <c r="J860" s="191"/>
      <c r="K860" s="191"/>
      <c r="L860" s="191"/>
      <c r="M860" s="191"/>
      <c r="N860" s="191"/>
      <c r="O860" s="191"/>
      <c r="P860" s="191"/>
      <c r="Q860" s="191"/>
      <c r="R860" s="191"/>
      <c r="S860" s="191"/>
      <c r="T860" s="191"/>
      <c r="U860" s="191"/>
      <c r="V860" s="191"/>
      <c r="W860" s="191"/>
      <c r="X860" s="191"/>
      <c r="Y860" s="191"/>
      <c r="Z860" s="191"/>
      <c r="AA860" s="191"/>
      <c r="AB860" s="191"/>
      <c r="AC860" s="190"/>
      <c r="AD860" s="190"/>
      <c r="AE860" s="190"/>
      <c r="AF860" s="190"/>
      <c r="AG860" s="190"/>
      <c r="AH860" s="190"/>
      <c r="AI860" s="190"/>
      <c r="AJ860" s="190"/>
      <c r="AK860" s="190"/>
      <c r="AL860" s="190"/>
      <c r="AM860" s="190"/>
    </row>
    <row r="861" spans="2:39">
      <c r="B861" s="162"/>
      <c r="C861" s="162"/>
      <c r="D861" s="191"/>
      <c r="E861" s="191"/>
      <c r="F861" s="191"/>
      <c r="G861" s="191"/>
      <c r="H861" s="191"/>
      <c r="I861" s="191"/>
      <c r="J861" s="191"/>
      <c r="K861" s="191"/>
      <c r="L861" s="191"/>
      <c r="M861" s="191"/>
      <c r="N861" s="191"/>
      <c r="O861" s="191"/>
      <c r="P861" s="191"/>
      <c r="Q861" s="191"/>
      <c r="R861" s="191"/>
      <c r="S861" s="191"/>
      <c r="T861" s="191"/>
      <c r="U861" s="191"/>
      <c r="V861" s="191"/>
      <c r="W861" s="191"/>
      <c r="X861" s="191"/>
      <c r="Y861" s="191"/>
      <c r="Z861" s="191"/>
      <c r="AA861" s="191"/>
      <c r="AB861" s="191"/>
      <c r="AC861" s="190"/>
      <c r="AD861" s="190"/>
      <c r="AE861" s="190"/>
      <c r="AF861" s="190"/>
      <c r="AG861" s="190"/>
      <c r="AH861" s="190"/>
      <c r="AI861" s="190"/>
      <c r="AJ861" s="190"/>
      <c r="AK861" s="190"/>
      <c r="AL861" s="190"/>
      <c r="AM861" s="190"/>
    </row>
    <row r="862" spans="2:39">
      <c r="B862" s="162"/>
      <c r="C862" s="162"/>
      <c r="D862" s="191"/>
      <c r="E862" s="191"/>
      <c r="F862" s="191"/>
      <c r="G862" s="191"/>
      <c r="H862" s="191"/>
      <c r="I862" s="191"/>
      <c r="J862" s="191"/>
      <c r="K862" s="191"/>
      <c r="L862" s="191"/>
      <c r="M862" s="191"/>
      <c r="N862" s="191"/>
      <c r="O862" s="191"/>
      <c r="P862" s="191"/>
      <c r="Q862" s="191"/>
      <c r="R862" s="191"/>
      <c r="S862" s="191"/>
      <c r="T862" s="191"/>
      <c r="U862" s="191"/>
      <c r="V862" s="191"/>
      <c r="W862" s="191"/>
      <c r="X862" s="191"/>
      <c r="Y862" s="191"/>
      <c r="Z862" s="191"/>
      <c r="AA862" s="191"/>
      <c r="AB862" s="191"/>
      <c r="AC862" s="190"/>
      <c r="AD862" s="190"/>
      <c r="AE862" s="190"/>
      <c r="AF862" s="190"/>
      <c r="AG862" s="190"/>
      <c r="AH862" s="190"/>
      <c r="AI862" s="190"/>
      <c r="AJ862" s="190"/>
      <c r="AK862" s="190"/>
      <c r="AL862" s="190"/>
      <c r="AM862" s="190"/>
    </row>
    <row r="863" spans="2:39">
      <c r="B863" s="162"/>
      <c r="C863" s="162"/>
      <c r="D863" s="191"/>
      <c r="E863" s="191"/>
      <c r="F863" s="191"/>
      <c r="G863" s="191"/>
      <c r="H863" s="191"/>
      <c r="I863" s="191"/>
      <c r="J863" s="191"/>
      <c r="K863" s="191"/>
      <c r="L863" s="191"/>
      <c r="M863" s="191"/>
      <c r="N863" s="191"/>
      <c r="O863" s="191"/>
      <c r="P863" s="191"/>
      <c r="Q863" s="191"/>
      <c r="R863" s="191"/>
      <c r="S863" s="191"/>
      <c r="T863" s="191"/>
      <c r="U863" s="191"/>
      <c r="V863" s="191"/>
      <c r="W863" s="191"/>
      <c r="X863" s="191"/>
      <c r="Y863" s="191"/>
      <c r="Z863" s="191"/>
      <c r="AA863" s="191"/>
      <c r="AB863" s="191"/>
      <c r="AC863" s="190"/>
      <c r="AD863" s="190"/>
      <c r="AE863" s="190"/>
      <c r="AF863" s="190"/>
      <c r="AG863" s="190"/>
      <c r="AH863" s="190"/>
      <c r="AI863" s="190"/>
      <c r="AJ863" s="190"/>
      <c r="AK863" s="190"/>
      <c r="AL863" s="190"/>
      <c r="AM863" s="190"/>
    </row>
    <row r="864" spans="2:39">
      <c r="B864" s="162"/>
      <c r="C864" s="162"/>
      <c r="D864" s="191"/>
      <c r="E864" s="191"/>
      <c r="F864" s="191"/>
      <c r="G864" s="191"/>
      <c r="H864" s="191"/>
      <c r="I864" s="191"/>
      <c r="J864" s="191"/>
      <c r="K864" s="191"/>
      <c r="L864" s="191"/>
      <c r="M864" s="191"/>
      <c r="N864" s="191"/>
      <c r="O864" s="191"/>
      <c r="P864" s="191"/>
      <c r="Q864" s="191"/>
      <c r="R864" s="191"/>
      <c r="S864" s="191"/>
      <c r="T864" s="191"/>
      <c r="U864" s="191"/>
      <c r="V864" s="191"/>
      <c r="W864" s="191"/>
      <c r="X864" s="191"/>
      <c r="Y864" s="191"/>
      <c r="Z864" s="191"/>
      <c r="AA864" s="191"/>
      <c r="AB864" s="191"/>
      <c r="AC864" s="190"/>
      <c r="AD864" s="190"/>
      <c r="AE864" s="190"/>
      <c r="AF864" s="190"/>
      <c r="AG864" s="190"/>
      <c r="AH864" s="190"/>
      <c r="AI864" s="190"/>
      <c r="AJ864" s="190"/>
      <c r="AK864" s="190"/>
      <c r="AL864" s="190"/>
      <c r="AM864" s="190"/>
    </row>
    <row r="865" spans="2:39">
      <c r="B865" s="162"/>
      <c r="C865" s="162"/>
      <c r="D865" s="191"/>
      <c r="E865" s="191"/>
      <c r="F865" s="191"/>
      <c r="G865" s="191"/>
      <c r="H865" s="191"/>
      <c r="I865" s="191"/>
      <c r="J865" s="191"/>
      <c r="K865" s="191"/>
      <c r="L865" s="191"/>
      <c r="M865" s="191"/>
      <c r="N865" s="191"/>
      <c r="O865" s="191"/>
      <c r="P865" s="191"/>
      <c r="Q865" s="191"/>
      <c r="R865" s="191"/>
      <c r="S865" s="191"/>
      <c r="T865" s="191"/>
      <c r="U865" s="191"/>
      <c r="V865" s="191"/>
      <c r="W865" s="191"/>
      <c r="X865" s="191"/>
      <c r="Y865" s="191"/>
      <c r="Z865" s="191"/>
      <c r="AA865" s="191"/>
      <c r="AB865" s="191"/>
      <c r="AC865" s="190"/>
      <c r="AD865" s="190"/>
      <c r="AE865" s="190"/>
      <c r="AF865" s="190"/>
      <c r="AG865" s="190"/>
      <c r="AH865" s="190"/>
      <c r="AI865" s="190"/>
      <c r="AJ865" s="190"/>
      <c r="AK865" s="190"/>
      <c r="AL865" s="190"/>
      <c r="AM865" s="190"/>
    </row>
    <row r="866" spans="2:39">
      <c r="B866" s="162"/>
      <c r="C866" s="162"/>
      <c r="D866" s="191"/>
      <c r="E866" s="191"/>
      <c r="F866" s="191"/>
      <c r="G866" s="191"/>
      <c r="H866" s="191"/>
      <c r="I866" s="191"/>
      <c r="J866" s="191"/>
      <c r="K866" s="191"/>
      <c r="L866" s="191"/>
      <c r="M866" s="191"/>
      <c r="N866" s="191"/>
      <c r="O866" s="191"/>
      <c r="P866" s="191"/>
      <c r="Q866" s="191"/>
      <c r="R866" s="191"/>
      <c r="S866" s="191"/>
      <c r="T866" s="191"/>
      <c r="U866" s="191"/>
      <c r="V866" s="191"/>
      <c r="W866" s="191"/>
      <c r="X866" s="191"/>
      <c r="Y866" s="191"/>
      <c r="Z866" s="191"/>
      <c r="AA866" s="191"/>
      <c r="AB866" s="191"/>
      <c r="AC866" s="190"/>
      <c r="AD866" s="190"/>
      <c r="AE866" s="190"/>
      <c r="AF866" s="190"/>
      <c r="AG866" s="190"/>
      <c r="AH866" s="190"/>
      <c r="AI866" s="190"/>
      <c r="AJ866" s="190"/>
      <c r="AK866" s="190"/>
      <c r="AL866" s="190"/>
      <c r="AM866" s="190"/>
    </row>
    <row r="867" spans="2:39">
      <c r="B867" s="162"/>
      <c r="C867" s="162"/>
      <c r="D867" s="191"/>
      <c r="E867" s="191"/>
      <c r="F867" s="191"/>
      <c r="G867" s="191"/>
      <c r="H867" s="191"/>
      <c r="I867" s="191"/>
      <c r="J867" s="191"/>
      <c r="K867" s="191"/>
      <c r="L867" s="191"/>
      <c r="M867" s="191"/>
      <c r="N867" s="191"/>
      <c r="O867" s="191"/>
      <c r="P867" s="191"/>
      <c r="Q867" s="191"/>
      <c r="R867" s="191"/>
      <c r="S867" s="191"/>
      <c r="T867" s="191"/>
      <c r="U867" s="191"/>
      <c r="V867" s="191"/>
      <c r="W867" s="191"/>
      <c r="X867" s="191"/>
      <c r="Y867" s="191"/>
      <c r="Z867" s="191"/>
      <c r="AA867" s="191"/>
      <c r="AB867" s="191"/>
      <c r="AC867" s="190"/>
      <c r="AD867" s="190"/>
      <c r="AE867" s="190"/>
      <c r="AF867" s="190"/>
      <c r="AG867" s="190"/>
      <c r="AH867" s="190"/>
      <c r="AI867" s="190"/>
      <c r="AJ867" s="190"/>
      <c r="AK867" s="190"/>
      <c r="AL867" s="190"/>
      <c r="AM867" s="190"/>
    </row>
    <row r="868" spans="2:39">
      <c r="B868" s="162"/>
      <c r="C868" s="162"/>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c r="AA868" s="191"/>
      <c r="AB868" s="191"/>
      <c r="AC868" s="190"/>
      <c r="AD868" s="190"/>
      <c r="AE868" s="190"/>
      <c r="AF868" s="190"/>
      <c r="AG868" s="190"/>
      <c r="AH868" s="190"/>
      <c r="AI868" s="190"/>
      <c r="AJ868" s="190"/>
      <c r="AK868" s="190"/>
      <c r="AL868" s="190"/>
      <c r="AM868" s="190"/>
    </row>
    <row r="869" spans="2:39">
      <c r="B869" s="162"/>
      <c r="C869" s="162"/>
      <c r="D869" s="191"/>
      <c r="E869" s="191"/>
      <c r="F869" s="191"/>
      <c r="G869" s="191"/>
      <c r="H869" s="191"/>
      <c r="I869" s="191"/>
      <c r="J869" s="191"/>
      <c r="K869" s="191"/>
      <c r="L869" s="191"/>
      <c r="M869" s="191"/>
      <c r="N869" s="191"/>
      <c r="O869" s="191"/>
      <c r="P869" s="191"/>
      <c r="Q869" s="191"/>
      <c r="R869" s="191"/>
      <c r="S869" s="191"/>
      <c r="T869" s="191"/>
      <c r="U869" s="191"/>
      <c r="V869" s="191"/>
      <c r="W869" s="191"/>
      <c r="X869" s="191"/>
      <c r="Y869" s="191"/>
      <c r="Z869" s="191"/>
      <c r="AA869" s="191"/>
      <c r="AB869" s="191"/>
      <c r="AC869" s="190"/>
      <c r="AD869" s="190"/>
      <c r="AE869" s="190"/>
      <c r="AF869" s="190"/>
      <c r="AG869" s="190"/>
      <c r="AH869" s="190"/>
      <c r="AI869" s="190"/>
      <c r="AJ869" s="190"/>
      <c r="AK869" s="190"/>
      <c r="AL869" s="190"/>
      <c r="AM869" s="190"/>
    </row>
    <row r="870" spans="2:39">
      <c r="B870" s="162"/>
      <c r="C870" s="162"/>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c r="AA870" s="191"/>
      <c r="AB870" s="191"/>
      <c r="AC870" s="190"/>
      <c r="AD870" s="190"/>
      <c r="AE870" s="190"/>
      <c r="AF870" s="190"/>
      <c r="AG870" s="190"/>
      <c r="AH870" s="190"/>
      <c r="AI870" s="190"/>
      <c r="AJ870" s="190"/>
      <c r="AK870" s="190"/>
      <c r="AL870" s="190"/>
      <c r="AM870" s="190"/>
    </row>
    <row r="871" spans="2:39">
      <c r="B871" s="162"/>
      <c r="C871" s="162"/>
      <c r="D871" s="191"/>
      <c r="E871" s="191"/>
      <c r="F871" s="191"/>
      <c r="G871" s="191"/>
      <c r="H871" s="191"/>
      <c r="I871" s="191"/>
      <c r="J871" s="191"/>
      <c r="K871" s="191"/>
      <c r="L871" s="191"/>
      <c r="M871" s="191"/>
      <c r="N871" s="191"/>
      <c r="O871" s="191"/>
      <c r="P871" s="191"/>
      <c r="Q871" s="191"/>
      <c r="R871" s="191"/>
      <c r="S871" s="191"/>
      <c r="T871" s="191"/>
      <c r="U871" s="191"/>
      <c r="V871" s="191"/>
      <c r="W871" s="191"/>
      <c r="X871" s="191"/>
      <c r="Y871" s="191"/>
      <c r="Z871" s="191"/>
      <c r="AA871" s="191"/>
      <c r="AB871" s="191"/>
      <c r="AC871" s="190"/>
      <c r="AD871" s="190"/>
      <c r="AE871" s="190"/>
      <c r="AF871" s="190"/>
      <c r="AG871" s="190"/>
      <c r="AH871" s="190"/>
      <c r="AI871" s="190"/>
      <c r="AJ871" s="190"/>
      <c r="AK871" s="190"/>
      <c r="AL871" s="190"/>
      <c r="AM871" s="190"/>
    </row>
    <row r="872" spans="2:39">
      <c r="B872" s="162"/>
      <c r="C872" s="162"/>
      <c r="D872" s="191"/>
      <c r="E872" s="191"/>
      <c r="F872" s="191"/>
      <c r="G872" s="191"/>
      <c r="H872" s="191"/>
      <c r="I872" s="191"/>
      <c r="J872" s="191"/>
      <c r="K872" s="191"/>
      <c r="L872" s="191"/>
      <c r="M872" s="191"/>
      <c r="N872" s="191"/>
      <c r="O872" s="191"/>
      <c r="P872" s="191"/>
      <c r="Q872" s="191"/>
      <c r="R872" s="191"/>
      <c r="S872" s="191"/>
      <c r="T872" s="191"/>
      <c r="U872" s="191"/>
      <c r="V872" s="191"/>
      <c r="W872" s="191"/>
      <c r="X872" s="191"/>
      <c r="Y872" s="191"/>
      <c r="Z872" s="191"/>
      <c r="AA872" s="191"/>
      <c r="AB872" s="191"/>
      <c r="AC872" s="190"/>
      <c r="AD872" s="190"/>
      <c r="AE872" s="190"/>
      <c r="AF872" s="190"/>
      <c r="AG872" s="190"/>
      <c r="AH872" s="190"/>
      <c r="AI872" s="190"/>
      <c r="AJ872" s="190"/>
      <c r="AK872" s="190"/>
      <c r="AL872" s="190"/>
      <c r="AM872" s="190"/>
    </row>
    <row r="873" spans="2:39">
      <c r="B873" s="162"/>
      <c r="C873" s="162"/>
      <c r="D873" s="191"/>
      <c r="E873" s="191"/>
      <c r="F873" s="191"/>
      <c r="G873" s="191"/>
      <c r="H873" s="191"/>
      <c r="I873" s="191"/>
      <c r="J873" s="191"/>
      <c r="K873" s="191"/>
      <c r="L873" s="191"/>
      <c r="M873" s="191"/>
      <c r="N873" s="191"/>
      <c r="O873" s="191"/>
      <c r="P873" s="191"/>
      <c r="Q873" s="191"/>
      <c r="R873" s="191"/>
      <c r="S873" s="191"/>
      <c r="T873" s="191"/>
      <c r="U873" s="191"/>
      <c r="V873" s="191"/>
      <c r="W873" s="191"/>
      <c r="X873" s="191"/>
      <c r="Y873" s="191"/>
      <c r="Z873" s="191"/>
      <c r="AA873" s="191"/>
      <c r="AB873" s="191"/>
      <c r="AC873" s="190"/>
      <c r="AD873" s="190"/>
      <c r="AE873" s="190"/>
      <c r="AF873" s="190"/>
      <c r="AG873" s="190"/>
      <c r="AH873" s="190"/>
      <c r="AI873" s="190"/>
      <c r="AJ873" s="190"/>
      <c r="AK873" s="190"/>
      <c r="AL873" s="190"/>
      <c r="AM873" s="190"/>
    </row>
    <row r="874" spans="2:39">
      <c r="B874" s="162"/>
      <c r="C874" s="162"/>
      <c r="D874" s="191"/>
      <c r="E874" s="191"/>
      <c r="F874" s="191"/>
      <c r="G874" s="191"/>
      <c r="H874" s="191"/>
      <c r="I874" s="191"/>
      <c r="J874" s="191"/>
      <c r="K874" s="191"/>
      <c r="L874" s="191"/>
      <c r="M874" s="191"/>
      <c r="N874" s="191"/>
      <c r="O874" s="191"/>
      <c r="P874" s="191"/>
      <c r="Q874" s="191"/>
      <c r="R874" s="191"/>
      <c r="S874" s="191"/>
      <c r="T874" s="191"/>
      <c r="U874" s="191"/>
      <c r="V874" s="191"/>
      <c r="W874" s="191"/>
      <c r="X874" s="191"/>
      <c r="Y874" s="191"/>
      <c r="Z874" s="191"/>
      <c r="AA874" s="191"/>
      <c r="AB874" s="191"/>
      <c r="AC874" s="190"/>
      <c r="AD874" s="190"/>
      <c r="AE874" s="190"/>
      <c r="AF874" s="190"/>
      <c r="AG874" s="190"/>
      <c r="AH874" s="190"/>
      <c r="AI874" s="190"/>
      <c r="AJ874" s="190"/>
      <c r="AK874" s="190"/>
      <c r="AL874" s="190"/>
      <c r="AM874" s="190"/>
    </row>
    <row r="875" spans="2:39">
      <c r="B875" s="162"/>
      <c r="C875" s="162"/>
      <c r="D875" s="191"/>
      <c r="E875" s="191"/>
      <c r="F875" s="191"/>
      <c r="G875" s="191"/>
      <c r="H875" s="191"/>
      <c r="I875" s="191"/>
      <c r="J875" s="191"/>
      <c r="K875" s="191"/>
      <c r="L875" s="191"/>
      <c r="M875" s="191"/>
      <c r="N875" s="191"/>
      <c r="O875" s="191"/>
      <c r="P875" s="191"/>
      <c r="Q875" s="191"/>
      <c r="R875" s="191"/>
      <c r="S875" s="191"/>
      <c r="T875" s="191"/>
      <c r="U875" s="191"/>
      <c r="V875" s="191"/>
      <c r="W875" s="191"/>
      <c r="X875" s="191"/>
      <c r="Y875" s="191"/>
      <c r="Z875" s="191"/>
      <c r="AA875" s="191"/>
      <c r="AB875" s="191"/>
      <c r="AC875" s="190"/>
      <c r="AD875" s="190"/>
      <c r="AE875" s="190"/>
      <c r="AF875" s="190"/>
      <c r="AG875" s="190"/>
      <c r="AH875" s="190"/>
      <c r="AI875" s="190"/>
      <c r="AJ875" s="190"/>
      <c r="AK875" s="190"/>
      <c r="AL875" s="190"/>
      <c r="AM875" s="190"/>
    </row>
    <row r="876" spans="2:39">
      <c r="B876" s="162"/>
      <c r="C876" s="162"/>
      <c r="D876" s="191"/>
      <c r="E876" s="191"/>
      <c r="F876" s="191"/>
      <c r="G876" s="191"/>
      <c r="H876" s="191"/>
      <c r="I876" s="191"/>
      <c r="J876" s="191"/>
      <c r="K876" s="191"/>
      <c r="L876" s="191"/>
      <c r="M876" s="191"/>
      <c r="N876" s="191"/>
      <c r="O876" s="191"/>
      <c r="P876" s="191"/>
      <c r="Q876" s="191"/>
      <c r="R876" s="191"/>
      <c r="S876" s="191"/>
      <c r="T876" s="191"/>
      <c r="U876" s="191"/>
      <c r="V876" s="191"/>
      <c r="W876" s="191"/>
      <c r="X876" s="191"/>
      <c r="Y876" s="191"/>
      <c r="Z876" s="191"/>
      <c r="AA876" s="191"/>
      <c r="AB876" s="191"/>
      <c r="AC876" s="190"/>
      <c r="AD876" s="190"/>
      <c r="AE876" s="190"/>
      <c r="AF876" s="190"/>
      <c r="AG876" s="190"/>
      <c r="AH876" s="190"/>
      <c r="AI876" s="190"/>
      <c r="AJ876" s="190"/>
      <c r="AK876" s="190"/>
      <c r="AL876" s="190"/>
      <c r="AM876" s="190"/>
    </row>
    <row r="877" spans="2:39">
      <c r="B877" s="162"/>
      <c r="C877" s="162"/>
      <c r="D877" s="191"/>
      <c r="E877" s="191"/>
      <c r="F877" s="191"/>
      <c r="G877" s="191"/>
      <c r="H877" s="191"/>
      <c r="I877" s="191"/>
      <c r="J877" s="191"/>
      <c r="K877" s="191"/>
      <c r="L877" s="191"/>
      <c r="M877" s="191"/>
      <c r="N877" s="191"/>
      <c r="O877" s="191"/>
      <c r="P877" s="191"/>
      <c r="Q877" s="191"/>
      <c r="R877" s="191"/>
      <c r="S877" s="191"/>
      <c r="T877" s="191"/>
      <c r="U877" s="191"/>
      <c r="V877" s="191"/>
      <c r="W877" s="191"/>
      <c r="X877" s="191"/>
      <c r="Y877" s="191"/>
      <c r="Z877" s="191"/>
      <c r="AA877" s="191"/>
      <c r="AB877" s="191"/>
      <c r="AC877" s="190"/>
      <c r="AD877" s="190"/>
      <c r="AE877" s="190"/>
      <c r="AF877" s="190"/>
      <c r="AG877" s="190"/>
      <c r="AH877" s="190"/>
      <c r="AI877" s="190"/>
      <c r="AJ877" s="190"/>
      <c r="AK877" s="190"/>
      <c r="AL877" s="190"/>
      <c r="AM877" s="190"/>
    </row>
    <row r="878" spans="2:39">
      <c r="B878" s="162"/>
      <c r="C878" s="162"/>
      <c r="D878" s="191"/>
      <c r="E878" s="191"/>
      <c r="F878" s="191"/>
      <c r="G878" s="191"/>
      <c r="H878" s="191"/>
      <c r="I878" s="191"/>
      <c r="J878" s="191"/>
      <c r="K878" s="191"/>
      <c r="L878" s="191"/>
      <c r="M878" s="191"/>
      <c r="N878" s="191"/>
      <c r="O878" s="191"/>
      <c r="P878" s="191"/>
      <c r="Q878" s="191"/>
      <c r="R878" s="191"/>
      <c r="S878" s="191"/>
      <c r="T878" s="191"/>
      <c r="U878" s="191"/>
      <c r="V878" s="191"/>
      <c r="W878" s="191"/>
      <c r="X878" s="191"/>
      <c r="Y878" s="191"/>
      <c r="Z878" s="191"/>
      <c r="AA878" s="191"/>
      <c r="AB878" s="191"/>
      <c r="AC878" s="190"/>
      <c r="AD878" s="190"/>
      <c r="AE878" s="190"/>
      <c r="AF878" s="190"/>
      <c r="AG878" s="190"/>
      <c r="AH878" s="190"/>
      <c r="AI878" s="190"/>
      <c r="AJ878" s="190"/>
      <c r="AK878" s="190"/>
      <c r="AL878" s="190"/>
      <c r="AM878" s="190"/>
    </row>
    <row r="879" spans="2:39">
      <c r="B879" s="162"/>
      <c r="C879" s="162"/>
      <c r="D879" s="191"/>
      <c r="E879" s="191"/>
      <c r="F879" s="191"/>
      <c r="G879" s="191"/>
      <c r="H879" s="191"/>
      <c r="I879" s="191"/>
      <c r="J879" s="191"/>
      <c r="K879" s="191"/>
      <c r="L879" s="191"/>
      <c r="M879" s="191"/>
      <c r="N879" s="191"/>
      <c r="O879" s="191"/>
      <c r="P879" s="191"/>
      <c r="Q879" s="191"/>
      <c r="R879" s="191"/>
      <c r="S879" s="191"/>
      <c r="T879" s="191"/>
      <c r="U879" s="191"/>
      <c r="V879" s="191"/>
      <c r="W879" s="191"/>
      <c r="X879" s="191"/>
      <c r="Y879" s="191"/>
      <c r="Z879" s="191"/>
      <c r="AA879" s="191"/>
      <c r="AB879" s="191"/>
      <c r="AC879" s="190"/>
      <c r="AD879" s="190"/>
      <c r="AE879" s="190"/>
      <c r="AF879" s="190"/>
      <c r="AG879" s="190"/>
      <c r="AH879" s="190"/>
      <c r="AI879" s="190"/>
      <c r="AJ879" s="190"/>
      <c r="AK879" s="190"/>
      <c r="AL879" s="190"/>
      <c r="AM879" s="190"/>
    </row>
    <row r="880" spans="2:39">
      <c r="B880" s="162"/>
      <c r="C880" s="162"/>
      <c r="D880" s="191"/>
      <c r="E880" s="191"/>
      <c r="F880" s="191"/>
      <c r="G880" s="191"/>
      <c r="H880" s="191"/>
      <c r="I880" s="191"/>
      <c r="J880" s="191"/>
      <c r="K880" s="191"/>
      <c r="L880" s="191"/>
      <c r="M880" s="191"/>
      <c r="N880" s="191"/>
      <c r="O880" s="191"/>
      <c r="P880" s="191"/>
      <c r="Q880" s="191"/>
      <c r="R880" s="191"/>
      <c r="S880" s="191"/>
      <c r="T880" s="191"/>
      <c r="U880" s="191"/>
      <c r="V880" s="191"/>
      <c r="W880" s="191"/>
      <c r="X880" s="191"/>
      <c r="Y880" s="191"/>
      <c r="Z880" s="191"/>
      <c r="AA880" s="191"/>
      <c r="AB880" s="191"/>
      <c r="AC880" s="190"/>
      <c r="AD880" s="190"/>
      <c r="AE880" s="190"/>
      <c r="AF880" s="190"/>
      <c r="AG880" s="190"/>
      <c r="AH880" s="190"/>
      <c r="AI880" s="190"/>
      <c r="AJ880" s="190"/>
      <c r="AK880" s="190"/>
      <c r="AL880" s="190"/>
      <c r="AM880" s="190"/>
    </row>
    <row r="881" spans="2:39">
      <c r="B881" s="162"/>
      <c r="C881" s="162"/>
      <c r="D881" s="191"/>
      <c r="E881" s="191"/>
      <c r="F881" s="191"/>
      <c r="G881" s="191"/>
      <c r="H881" s="191"/>
      <c r="I881" s="191"/>
      <c r="J881" s="191"/>
      <c r="K881" s="191"/>
      <c r="L881" s="191"/>
      <c r="M881" s="191"/>
      <c r="N881" s="191"/>
      <c r="O881" s="191"/>
      <c r="P881" s="191"/>
      <c r="Q881" s="191"/>
      <c r="R881" s="191"/>
      <c r="S881" s="191"/>
      <c r="T881" s="191"/>
      <c r="U881" s="191"/>
      <c r="V881" s="191"/>
      <c r="W881" s="191"/>
      <c r="X881" s="191"/>
      <c r="Y881" s="191"/>
      <c r="Z881" s="191"/>
      <c r="AA881" s="191"/>
      <c r="AB881" s="191"/>
      <c r="AC881" s="190"/>
      <c r="AD881" s="190"/>
      <c r="AE881" s="190"/>
      <c r="AF881" s="190"/>
      <c r="AG881" s="190"/>
      <c r="AH881" s="190"/>
      <c r="AI881" s="190"/>
      <c r="AJ881" s="190"/>
      <c r="AK881" s="190"/>
      <c r="AL881" s="190"/>
      <c r="AM881" s="190"/>
    </row>
    <row r="882" spans="2:39">
      <c r="B882" s="162"/>
      <c r="C882" s="162"/>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c r="AA882" s="191"/>
      <c r="AB882" s="191"/>
      <c r="AC882" s="190"/>
      <c r="AD882" s="190"/>
      <c r="AE882" s="190"/>
      <c r="AF882" s="190"/>
      <c r="AG882" s="190"/>
      <c r="AH882" s="190"/>
      <c r="AI882" s="190"/>
      <c r="AJ882" s="190"/>
      <c r="AK882" s="190"/>
      <c r="AL882" s="190"/>
      <c r="AM882" s="190"/>
    </row>
    <row r="883" spans="2:39">
      <c r="B883" s="162"/>
      <c r="C883" s="162"/>
      <c r="D883" s="191"/>
      <c r="E883" s="191"/>
      <c r="F883" s="191"/>
      <c r="G883" s="191"/>
      <c r="H883" s="191"/>
      <c r="I883" s="191"/>
      <c r="J883" s="191"/>
      <c r="K883" s="191"/>
      <c r="L883" s="191"/>
      <c r="M883" s="191"/>
      <c r="N883" s="191"/>
      <c r="O883" s="191"/>
      <c r="P883" s="191"/>
      <c r="Q883" s="191"/>
      <c r="R883" s="191"/>
      <c r="S883" s="191"/>
      <c r="T883" s="191"/>
      <c r="U883" s="191"/>
      <c r="V883" s="191"/>
      <c r="W883" s="191"/>
      <c r="X883" s="191"/>
      <c r="Y883" s="191"/>
      <c r="Z883" s="191"/>
      <c r="AA883" s="191"/>
      <c r="AB883" s="191"/>
      <c r="AC883" s="190"/>
      <c r="AD883" s="190"/>
      <c r="AE883" s="190"/>
      <c r="AF883" s="190"/>
      <c r="AG883" s="190"/>
      <c r="AH883" s="190"/>
      <c r="AI883" s="190"/>
      <c r="AJ883" s="190"/>
      <c r="AK883" s="190"/>
      <c r="AL883" s="190"/>
      <c r="AM883" s="190"/>
    </row>
    <row r="884" spans="2:39">
      <c r="B884" s="162"/>
      <c r="C884" s="162"/>
      <c r="D884" s="191"/>
      <c r="E884" s="191"/>
      <c r="F884" s="191"/>
      <c r="G884" s="191"/>
      <c r="H884" s="191"/>
      <c r="I884" s="191"/>
      <c r="J884" s="191"/>
      <c r="K884" s="191"/>
      <c r="L884" s="191"/>
      <c r="M884" s="191"/>
      <c r="N884" s="191"/>
      <c r="O884" s="191"/>
      <c r="P884" s="191"/>
      <c r="Q884" s="191"/>
      <c r="R884" s="191"/>
      <c r="S884" s="191"/>
      <c r="T884" s="191"/>
      <c r="U884" s="191"/>
      <c r="V884" s="191"/>
      <c r="W884" s="191"/>
      <c r="X884" s="191"/>
      <c r="Y884" s="191"/>
      <c r="Z884" s="191"/>
      <c r="AA884" s="191"/>
      <c r="AB884" s="191"/>
      <c r="AC884" s="190"/>
      <c r="AD884" s="190"/>
      <c r="AE884" s="190"/>
      <c r="AF884" s="190"/>
      <c r="AG884" s="190"/>
      <c r="AH884" s="190"/>
      <c r="AI884" s="190"/>
      <c r="AJ884" s="190"/>
      <c r="AK884" s="190"/>
      <c r="AL884" s="190"/>
      <c r="AM884" s="190"/>
    </row>
    <row r="885" spans="2:39">
      <c r="B885" s="162"/>
      <c r="C885" s="162"/>
      <c r="D885" s="191"/>
      <c r="E885" s="191"/>
      <c r="F885" s="191"/>
      <c r="G885" s="191"/>
      <c r="H885" s="191"/>
      <c r="I885" s="191"/>
      <c r="J885" s="191"/>
      <c r="K885" s="191"/>
      <c r="L885" s="191"/>
      <c r="M885" s="191"/>
      <c r="N885" s="191"/>
      <c r="O885" s="191"/>
      <c r="P885" s="191"/>
      <c r="Q885" s="191"/>
      <c r="R885" s="191"/>
      <c r="S885" s="191"/>
      <c r="T885" s="191"/>
      <c r="U885" s="191"/>
      <c r="V885" s="191"/>
      <c r="W885" s="191"/>
      <c r="X885" s="191"/>
      <c r="Y885" s="191"/>
      <c r="Z885" s="191"/>
      <c r="AA885" s="191"/>
      <c r="AB885" s="191"/>
      <c r="AC885" s="190"/>
      <c r="AD885" s="190"/>
      <c r="AE885" s="190"/>
      <c r="AF885" s="190"/>
      <c r="AG885" s="190"/>
      <c r="AH885" s="190"/>
      <c r="AI885" s="190"/>
      <c r="AJ885" s="190"/>
      <c r="AK885" s="190"/>
      <c r="AL885" s="190"/>
      <c r="AM885" s="190"/>
    </row>
    <row r="886" spans="2:39">
      <c r="B886" s="162"/>
      <c r="C886" s="162"/>
      <c r="D886" s="191"/>
      <c r="E886" s="191"/>
      <c r="F886" s="191"/>
      <c r="G886" s="191"/>
      <c r="H886" s="191"/>
      <c r="I886" s="191"/>
      <c r="J886" s="191"/>
      <c r="K886" s="191"/>
      <c r="L886" s="191"/>
      <c r="M886" s="191"/>
      <c r="N886" s="191"/>
      <c r="O886" s="191"/>
      <c r="P886" s="191"/>
      <c r="Q886" s="191"/>
      <c r="R886" s="191"/>
      <c r="S886" s="191"/>
      <c r="T886" s="191"/>
      <c r="U886" s="191"/>
      <c r="V886" s="191"/>
      <c r="W886" s="191"/>
      <c r="X886" s="191"/>
      <c r="Y886" s="191"/>
      <c r="Z886" s="191"/>
      <c r="AA886" s="191"/>
      <c r="AB886" s="191"/>
      <c r="AC886" s="190"/>
      <c r="AD886" s="190"/>
      <c r="AE886" s="190"/>
      <c r="AF886" s="190"/>
      <c r="AG886" s="190"/>
      <c r="AH886" s="190"/>
      <c r="AI886" s="190"/>
      <c r="AJ886" s="190"/>
      <c r="AK886" s="190"/>
      <c r="AL886" s="190"/>
      <c r="AM886" s="190"/>
    </row>
    <row r="887" spans="2:39">
      <c r="B887" s="162"/>
      <c r="C887" s="162"/>
      <c r="D887" s="191"/>
      <c r="E887" s="191"/>
      <c r="F887" s="191"/>
      <c r="G887" s="191"/>
      <c r="H887" s="191"/>
      <c r="I887" s="191"/>
      <c r="J887" s="191"/>
      <c r="K887" s="191"/>
      <c r="L887" s="191"/>
      <c r="M887" s="191"/>
      <c r="N887" s="191"/>
      <c r="O887" s="191"/>
      <c r="P887" s="191"/>
      <c r="Q887" s="191"/>
      <c r="R887" s="191"/>
      <c r="S887" s="191"/>
      <c r="T887" s="191"/>
      <c r="U887" s="191"/>
      <c r="V887" s="191"/>
      <c r="W887" s="191"/>
      <c r="X887" s="191"/>
      <c r="Y887" s="191"/>
      <c r="Z887" s="191"/>
      <c r="AA887" s="191"/>
      <c r="AB887" s="191"/>
      <c r="AC887" s="190"/>
      <c r="AD887" s="190"/>
      <c r="AE887" s="190"/>
      <c r="AF887" s="190"/>
      <c r="AG887" s="190"/>
      <c r="AH887" s="190"/>
      <c r="AI887" s="190"/>
      <c r="AJ887" s="190"/>
      <c r="AK887" s="190"/>
      <c r="AL887" s="190"/>
      <c r="AM887" s="190"/>
    </row>
    <row r="888" spans="2:39">
      <c r="B888" s="162"/>
      <c r="C888" s="162"/>
      <c r="D888" s="191"/>
      <c r="E888" s="191"/>
      <c r="F888" s="191"/>
      <c r="G888" s="191"/>
      <c r="H888" s="191"/>
      <c r="I888" s="191"/>
      <c r="J888" s="191"/>
      <c r="K888" s="191"/>
      <c r="L888" s="191"/>
      <c r="M888" s="191"/>
      <c r="N888" s="191"/>
      <c r="O888" s="191"/>
      <c r="P888" s="191"/>
      <c r="Q888" s="191"/>
      <c r="R888" s="191"/>
      <c r="S888" s="191"/>
      <c r="T888" s="191"/>
      <c r="U888" s="191"/>
      <c r="V888" s="191"/>
      <c r="W888" s="191"/>
      <c r="X888" s="191"/>
      <c r="Y888" s="191"/>
      <c r="Z888" s="191"/>
      <c r="AA888" s="191"/>
      <c r="AB888" s="191"/>
      <c r="AC888" s="190"/>
      <c r="AD888" s="190"/>
      <c r="AE888" s="190"/>
      <c r="AF888" s="190"/>
      <c r="AG888" s="190"/>
      <c r="AH888" s="190"/>
      <c r="AI888" s="190"/>
      <c r="AJ888" s="190"/>
      <c r="AK888" s="190"/>
      <c r="AL888" s="190"/>
      <c r="AM888" s="190"/>
    </row>
    <row r="889" spans="2:39">
      <c r="B889" s="162"/>
      <c r="C889" s="162"/>
      <c r="D889" s="191"/>
      <c r="E889" s="191"/>
      <c r="F889" s="191"/>
      <c r="G889" s="191"/>
      <c r="H889" s="191"/>
      <c r="I889" s="191"/>
      <c r="J889" s="191"/>
      <c r="K889" s="191"/>
      <c r="L889" s="191"/>
      <c r="M889" s="191"/>
      <c r="N889" s="191"/>
      <c r="O889" s="191"/>
      <c r="P889" s="191"/>
      <c r="Q889" s="191"/>
      <c r="R889" s="191"/>
      <c r="S889" s="191"/>
      <c r="T889" s="191"/>
      <c r="U889" s="191"/>
      <c r="V889" s="191"/>
      <c r="W889" s="191"/>
      <c r="X889" s="191"/>
      <c r="Y889" s="191"/>
      <c r="Z889" s="191"/>
      <c r="AA889" s="191"/>
      <c r="AB889" s="191"/>
      <c r="AC889" s="190"/>
      <c r="AD889" s="190"/>
      <c r="AE889" s="190"/>
      <c r="AF889" s="190"/>
      <c r="AG889" s="190"/>
      <c r="AH889" s="190"/>
      <c r="AI889" s="190"/>
      <c r="AJ889" s="190"/>
      <c r="AK889" s="190"/>
      <c r="AL889" s="190"/>
      <c r="AM889" s="190"/>
    </row>
    <row r="890" spans="2:39">
      <c r="B890" s="162"/>
      <c r="C890" s="162"/>
      <c r="D890" s="191"/>
      <c r="E890" s="191"/>
      <c r="F890" s="191"/>
      <c r="G890" s="191"/>
      <c r="H890" s="191"/>
      <c r="I890" s="191"/>
      <c r="J890" s="191"/>
      <c r="K890" s="191"/>
      <c r="L890" s="191"/>
      <c r="M890" s="191"/>
      <c r="N890" s="191"/>
      <c r="O890" s="191"/>
      <c r="P890" s="191"/>
      <c r="Q890" s="191"/>
      <c r="R890" s="191"/>
      <c r="S890" s="191"/>
      <c r="T890" s="191"/>
      <c r="U890" s="191"/>
      <c r="V890" s="191"/>
      <c r="W890" s="191"/>
      <c r="X890" s="191"/>
      <c r="Y890" s="191"/>
      <c r="Z890" s="191"/>
      <c r="AA890" s="191"/>
      <c r="AB890" s="191"/>
      <c r="AC890" s="190"/>
      <c r="AD890" s="190"/>
      <c r="AE890" s="190"/>
      <c r="AF890" s="190"/>
      <c r="AG890" s="190"/>
      <c r="AH890" s="190"/>
      <c r="AI890" s="190"/>
      <c r="AJ890" s="190"/>
      <c r="AK890" s="190"/>
      <c r="AL890" s="190"/>
      <c r="AM890" s="190"/>
    </row>
    <row r="891" spans="2:39">
      <c r="B891" s="162"/>
      <c r="C891" s="162"/>
      <c r="D891" s="191"/>
      <c r="E891" s="191"/>
      <c r="F891" s="191"/>
      <c r="G891" s="191"/>
      <c r="H891" s="191"/>
      <c r="I891" s="191"/>
      <c r="J891" s="191"/>
      <c r="K891" s="191"/>
      <c r="L891" s="191"/>
      <c r="M891" s="191"/>
      <c r="N891" s="191"/>
      <c r="O891" s="191"/>
      <c r="P891" s="191"/>
      <c r="Q891" s="191"/>
      <c r="R891" s="191"/>
      <c r="S891" s="191"/>
      <c r="T891" s="191"/>
      <c r="U891" s="191"/>
      <c r="V891" s="191"/>
      <c r="W891" s="191"/>
      <c r="X891" s="191"/>
      <c r="Y891" s="191"/>
      <c r="Z891" s="191"/>
      <c r="AA891" s="191"/>
      <c r="AB891" s="191"/>
      <c r="AC891" s="190"/>
      <c r="AD891" s="190"/>
      <c r="AE891" s="190"/>
      <c r="AF891" s="190"/>
      <c r="AG891" s="190"/>
      <c r="AH891" s="190"/>
      <c r="AI891" s="190"/>
      <c r="AJ891" s="190"/>
      <c r="AK891" s="190"/>
      <c r="AL891" s="190"/>
      <c r="AM891" s="190"/>
    </row>
    <row r="892" spans="2:39">
      <c r="B892" s="162"/>
      <c r="C892" s="162"/>
      <c r="D892" s="191"/>
      <c r="E892" s="191"/>
      <c r="F892" s="191"/>
      <c r="G892" s="191"/>
      <c r="H892" s="191"/>
      <c r="I892" s="191"/>
      <c r="J892" s="191"/>
      <c r="K892" s="191"/>
      <c r="L892" s="191"/>
      <c r="M892" s="191"/>
      <c r="N892" s="191"/>
      <c r="O892" s="191"/>
      <c r="P892" s="191"/>
      <c r="Q892" s="191"/>
      <c r="R892" s="191"/>
      <c r="S892" s="191"/>
      <c r="T892" s="191"/>
      <c r="U892" s="191"/>
      <c r="V892" s="191"/>
      <c r="W892" s="191"/>
      <c r="X892" s="191"/>
      <c r="Y892" s="191"/>
      <c r="Z892" s="191"/>
      <c r="AA892" s="191"/>
      <c r="AB892" s="191"/>
      <c r="AC892" s="190"/>
      <c r="AD892" s="190"/>
      <c r="AE892" s="190"/>
      <c r="AF892" s="190"/>
      <c r="AG892" s="190"/>
      <c r="AH892" s="190"/>
      <c r="AI892" s="190"/>
      <c r="AJ892" s="190"/>
      <c r="AK892" s="190"/>
      <c r="AL892" s="190"/>
      <c r="AM892" s="190"/>
    </row>
    <row r="893" spans="2:39">
      <c r="B893" s="162"/>
      <c r="C893" s="162"/>
      <c r="D893" s="191"/>
      <c r="E893" s="191"/>
      <c r="F893" s="191"/>
      <c r="G893" s="191"/>
      <c r="H893" s="191"/>
      <c r="I893" s="191"/>
      <c r="J893" s="191"/>
      <c r="K893" s="191"/>
      <c r="L893" s="191"/>
      <c r="M893" s="191"/>
      <c r="N893" s="191"/>
      <c r="O893" s="191"/>
      <c r="P893" s="191"/>
      <c r="Q893" s="191"/>
      <c r="R893" s="191"/>
      <c r="S893" s="191"/>
      <c r="T893" s="191"/>
      <c r="U893" s="191"/>
      <c r="V893" s="191"/>
      <c r="W893" s="191"/>
      <c r="X893" s="191"/>
      <c r="Y893" s="191"/>
      <c r="Z893" s="191"/>
      <c r="AA893" s="191"/>
      <c r="AB893" s="191"/>
      <c r="AC893" s="190"/>
      <c r="AD893" s="190"/>
      <c r="AE893" s="190"/>
      <c r="AF893" s="190"/>
      <c r="AG893" s="190"/>
      <c r="AH893" s="190"/>
      <c r="AI893" s="190"/>
      <c r="AJ893" s="190"/>
      <c r="AK893" s="190"/>
      <c r="AL893" s="190"/>
      <c r="AM893" s="190"/>
    </row>
    <row r="894" spans="2:39">
      <c r="B894" s="162"/>
      <c r="C894" s="162"/>
      <c r="D894" s="191"/>
      <c r="E894" s="191"/>
      <c r="F894" s="191"/>
      <c r="G894" s="191"/>
      <c r="H894" s="191"/>
      <c r="I894" s="191"/>
      <c r="J894" s="191"/>
      <c r="K894" s="191"/>
      <c r="L894" s="191"/>
      <c r="M894" s="191"/>
      <c r="N894" s="191"/>
      <c r="O894" s="191"/>
      <c r="P894" s="191"/>
      <c r="Q894" s="191"/>
      <c r="R894" s="191"/>
      <c r="S894" s="191"/>
      <c r="T894" s="191"/>
      <c r="U894" s="191"/>
      <c r="V894" s="191"/>
      <c r="W894" s="191"/>
      <c r="X894" s="191"/>
      <c r="Y894" s="191"/>
      <c r="Z894" s="191"/>
      <c r="AA894" s="191"/>
      <c r="AB894" s="191"/>
      <c r="AC894" s="190"/>
      <c r="AD894" s="190"/>
      <c r="AE894" s="190"/>
      <c r="AF894" s="190"/>
      <c r="AG894" s="190"/>
      <c r="AH894" s="190"/>
      <c r="AI894" s="190"/>
      <c r="AJ894" s="190"/>
      <c r="AK894" s="190"/>
      <c r="AL894" s="190"/>
      <c r="AM894" s="190"/>
    </row>
    <row r="895" spans="2:39">
      <c r="B895" s="162"/>
      <c r="C895" s="162"/>
      <c r="D895" s="191"/>
      <c r="E895" s="191"/>
      <c r="F895" s="191"/>
      <c r="G895" s="191"/>
      <c r="H895" s="191"/>
      <c r="I895" s="191"/>
      <c r="J895" s="191"/>
      <c r="K895" s="191"/>
      <c r="L895" s="191"/>
      <c r="M895" s="191"/>
      <c r="N895" s="191"/>
      <c r="O895" s="191"/>
      <c r="P895" s="191"/>
      <c r="Q895" s="191"/>
      <c r="R895" s="191"/>
      <c r="S895" s="191"/>
      <c r="T895" s="191"/>
      <c r="U895" s="191"/>
      <c r="V895" s="191"/>
      <c r="W895" s="191"/>
      <c r="X895" s="191"/>
      <c r="Y895" s="191"/>
      <c r="Z895" s="191"/>
      <c r="AA895" s="191"/>
      <c r="AB895" s="191"/>
      <c r="AC895" s="190"/>
      <c r="AD895" s="190"/>
      <c r="AE895" s="190"/>
      <c r="AF895" s="190"/>
      <c r="AG895" s="190"/>
      <c r="AH895" s="190"/>
      <c r="AI895" s="190"/>
      <c r="AJ895" s="190"/>
      <c r="AK895" s="190"/>
      <c r="AL895" s="190"/>
      <c r="AM895" s="190"/>
    </row>
    <row r="896" spans="2:39">
      <c r="B896" s="162"/>
      <c r="C896" s="162"/>
      <c r="D896" s="191"/>
      <c r="E896" s="191"/>
      <c r="F896" s="191"/>
      <c r="G896" s="191"/>
      <c r="H896" s="191"/>
      <c r="I896" s="191"/>
      <c r="J896" s="191"/>
      <c r="K896" s="191"/>
      <c r="L896" s="191"/>
      <c r="M896" s="191"/>
      <c r="N896" s="191"/>
      <c r="O896" s="191"/>
      <c r="P896" s="191"/>
      <c r="Q896" s="191"/>
      <c r="R896" s="191"/>
      <c r="S896" s="191"/>
      <c r="T896" s="191"/>
      <c r="U896" s="191"/>
      <c r="V896" s="191"/>
      <c r="W896" s="191"/>
      <c r="X896" s="191"/>
      <c r="Y896" s="191"/>
      <c r="Z896" s="191"/>
      <c r="AA896" s="191"/>
      <c r="AB896" s="191"/>
      <c r="AC896" s="190"/>
      <c r="AD896" s="190"/>
      <c r="AE896" s="190"/>
      <c r="AF896" s="190"/>
      <c r="AG896" s="190"/>
      <c r="AH896" s="190"/>
      <c r="AI896" s="190"/>
      <c r="AJ896" s="190"/>
      <c r="AK896" s="190"/>
      <c r="AL896" s="190"/>
      <c r="AM896" s="190"/>
    </row>
    <row r="897" spans="2:39">
      <c r="B897" s="162"/>
      <c r="C897" s="162"/>
      <c r="D897" s="191"/>
      <c r="E897" s="191"/>
      <c r="F897" s="191"/>
      <c r="G897" s="191"/>
      <c r="H897" s="191"/>
      <c r="I897" s="191"/>
      <c r="J897" s="191"/>
      <c r="K897" s="191"/>
      <c r="L897" s="191"/>
      <c r="M897" s="191"/>
      <c r="N897" s="191"/>
      <c r="O897" s="191"/>
      <c r="P897" s="191"/>
      <c r="Q897" s="191"/>
      <c r="R897" s="191"/>
      <c r="S897" s="191"/>
      <c r="T897" s="191"/>
      <c r="U897" s="191"/>
      <c r="V897" s="191"/>
      <c r="W897" s="191"/>
      <c r="X897" s="191"/>
      <c r="Y897" s="191"/>
      <c r="Z897" s="191"/>
      <c r="AA897" s="191"/>
      <c r="AB897" s="191"/>
      <c r="AC897" s="190"/>
      <c r="AD897" s="190"/>
      <c r="AE897" s="190"/>
      <c r="AF897" s="190"/>
      <c r="AG897" s="190"/>
      <c r="AH897" s="190"/>
      <c r="AI897" s="190"/>
      <c r="AJ897" s="190"/>
      <c r="AK897" s="190"/>
      <c r="AL897" s="190"/>
      <c r="AM897" s="190"/>
    </row>
    <row r="898" spans="2:39">
      <c r="B898" s="162"/>
      <c r="C898" s="162"/>
      <c r="D898" s="191"/>
      <c r="E898" s="191"/>
      <c r="F898" s="191"/>
      <c r="G898" s="191"/>
      <c r="H898" s="191"/>
      <c r="I898" s="191"/>
      <c r="J898" s="191"/>
      <c r="K898" s="191"/>
      <c r="L898" s="191"/>
      <c r="M898" s="191"/>
      <c r="N898" s="191"/>
      <c r="O898" s="191"/>
      <c r="P898" s="191"/>
      <c r="Q898" s="191"/>
      <c r="R898" s="191"/>
      <c r="S898" s="191"/>
      <c r="T898" s="191"/>
      <c r="U898" s="191"/>
      <c r="V898" s="191"/>
      <c r="W898" s="191"/>
      <c r="X898" s="191"/>
      <c r="Y898" s="191"/>
      <c r="Z898" s="191"/>
      <c r="AA898" s="191"/>
      <c r="AB898" s="191"/>
      <c r="AC898" s="190"/>
      <c r="AD898" s="190"/>
      <c r="AE898" s="190"/>
      <c r="AF898" s="190"/>
      <c r="AG898" s="190"/>
      <c r="AH898" s="190"/>
      <c r="AI898" s="190"/>
      <c r="AJ898" s="190"/>
      <c r="AK898" s="190"/>
      <c r="AL898" s="190"/>
      <c r="AM898" s="190"/>
    </row>
    <row r="899" spans="2:39">
      <c r="B899" s="162"/>
      <c r="C899" s="162"/>
      <c r="D899" s="191"/>
      <c r="E899" s="191"/>
      <c r="F899" s="191"/>
      <c r="G899" s="191"/>
      <c r="H899" s="191"/>
      <c r="I899" s="191"/>
      <c r="J899" s="191"/>
      <c r="K899" s="191"/>
      <c r="L899" s="191"/>
      <c r="M899" s="191"/>
      <c r="N899" s="191"/>
      <c r="O899" s="191"/>
      <c r="P899" s="191"/>
      <c r="Q899" s="191"/>
      <c r="R899" s="191"/>
      <c r="S899" s="191"/>
      <c r="T899" s="191"/>
      <c r="U899" s="191"/>
      <c r="V899" s="191"/>
      <c r="W899" s="191"/>
      <c r="X899" s="191"/>
      <c r="Y899" s="191"/>
      <c r="Z899" s="191"/>
      <c r="AA899" s="191"/>
      <c r="AB899" s="191"/>
      <c r="AC899" s="190"/>
      <c r="AD899" s="190"/>
      <c r="AE899" s="190"/>
      <c r="AF899" s="190"/>
      <c r="AG899" s="190"/>
      <c r="AH899" s="190"/>
      <c r="AI899" s="190"/>
      <c r="AJ899" s="190"/>
      <c r="AK899" s="190"/>
      <c r="AL899" s="190"/>
      <c r="AM899" s="190"/>
    </row>
    <row r="900" spans="2:39">
      <c r="B900" s="162"/>
      <c r="C900" s="162"/>
      <c r="D900" s="191"/>
      <c r="E900" s="191"/>
      <c r="F900" s="191"/>
      <c r="G900" s="191"/>
      <c r="H900" s="191"/>
      <c r="I900" s="191"/>
      <c r="J900" s="191"/>
      <c r="K900" s="191"/>
      <c r="L900" s="191"/>
      <c r="M900" s="191"/>
      <c r="N900" s="191"/>
      <c r="O900" s="191"/>
      <c r="P900" s="191"/>
      <c r="Q900" s="191"/>
      <c r="R900" s="191"/>
      <c r="S900" s="191"/>
      <c r="T900" s="191"/>
      <c r="U900" s="191"/>
      <c r="V900" s="191"/>
      <c r="W900" s="191"/>
      <c r="X900" s="191"/>
      <c r="Y900" s="191"/>
      <c r="Z900" s="191"/>
      <c r="AA900" s="191"/>
      <c r="AB900" s="191"/>
      <c r="AC900" s="190"/>
      <c r="AD900" s="190"/>
      <c r="AE900" s="190"/>
      <c r="AF900" s="190"/>
      <c r="AG900" s="190"/>
      <c r="AH900" s="190"/>
      <c r="AI900" s="190"/>
      <c r="AJ900" s="190"/>
      <c r="AK900" s="190"/>
      <c r="AL900" s="190"/>
      <c r="AM900" s="190"/>
    </row>
    <row r="901" spans="2:39">
      <c r="B901" s="162"/>
      <c r="C901" s="162"/>
      <c r="D901" s="191"/>
      <c r="E901" s="191"/>
      <c r="F901" s="191"/>
      <c r="G901" s="191"/>
      <c r="H901" s="191"/>
      <c r="I901" s="191"/>
      <c r="J901" s="191"/>
      <c r="K901" s="191"/>
      <c r="L901" s="191"/>
      <c r="M901" s="191"/>
      <c r="N901" s="191"/>
      <c r="O901" s="191"/>
      <c r="P901" s="191"/>
      <c r="Q901" s="191"/>
      <c r="R901" s="191"/>
      <c r="S901" s="191"/>
      <c r="T901" s="191"/>
      <c r="U901" s="191"/>
      <c r="V901" s="191"/>
      <c r="W901" s="191"/>
      <c r="X901" s="191"/>
      <c r="Y901" s="191"/>
      <c r="Z901" s="191"/>
      <c r="AA901" s="191"/>
      <c r="AB901" s="191"/>
      <c r="AC901" s="190"/>
      <c r="AD901" s="190"/>
      <c r="AE901" s="190"/>
      <c r="AF901" s="190"/>
      <c r="AG901" s="190"/>
      <c r="AH901" s="190"/>
      <c r="AI901" s="190"/>
      <c r="AJ901" s="190"/>
      <c r="AK901" s="190"/>
      <c r="AL901" s="190"/>
      <c r="AM901" s="190"/>
    </row>
    <row r="902" spans="2:39">
      <c r="B902" s="162"/>
      <c r="C902" s="162"/>
      <c r="D902" s="191"/>
      <c r="E902" s="191"/>
      <c r="F902" s="191"/>
      <c r="G902" s="191"/>
      <c r="H902" s="191"/>
      <c r="I902" s="191"/>
      <c r="J902" s="191"/>
      <c r="K902" s="191"/>
      <c r="L902" s="191"/>
      <c r="M902" s="191"/>
      <c r="N902" s="191"/>
      <c r="O902" s="191"/>
      <c r="P902" s="191"/>
      <c r="Q902" s="191"/>
      <c r="R902" s="191"/>
      <c r="S902" s="191"/>
      <c r="T902" s="191"/>
      <c r="U902" s="191"/>
      <c r="V902" s="191"/>
      <c r="W902" s="191"/>
      <c r="X902" s="191"/>
      <c r="Y902" s="191"/>
      <c r="Z902" s="191"/>
      <c r="AA902" s="191"/>
      <c r="AB902" s="191"/>
      <c r="AC902" s="190"/>
      <c r="AD902" s="190"/>
      <c r="AE902" s="190"/>
      <c r="AF902" s="190"/>
      <c r="AG902" s="190"/>
      <c r="AH902" s="190"/>
      <c r="AI902" s="190"/>
      <c r="AJ902" s="190"/>
      <c r="AK902" s="190"/>
      <c r="AL902" s="190"/>
      <c r="AM902" s="190"/>
    </row>
    <row r="903" spans="2:39">
      <c r="B903" s="162"/>
      <c r="C903" s="162"/>
      <c r="D903" s="191"/>
      <c r="E903" s="191"/>
      <c r="F903" s="191"/>
      <c r="G903" s="191"/>
      <c r="H903" s="191"/>
      <c r="I903" s="191"/>
      <c r="J903" s="191"/>
      <c r="K903" s="191"/>
      <c r="L903" s="191"/>
      <c r="M903" s="191"/>
      <c r="N903" s="191"/>
      <c r="O903" s="191"/>
      <c r="P903" s="191"/>
      <c r="Q903" s="191"/>
      <c r="R903" s="191"/>
      <c r="S903" s="191"/>
      <c r="T903" s="191"/>
      <c r="U903" s="191"/>
      <c r="V903" s="191"/>
      <c r="W903" s="191"/>
      <c r="X903" s="191"/>
      <c r="Y903" s="191"/>
      <c r="Z903" s="191"/>
      <c r="AA903" s="191"/>
      <c r="AB903" s="191"/>
      <c r="AC903" s="190"/>
      <c r="AD903" s="190"/>
      <c r="AE903" s="190"/>
      <c r="AF903" s="190"/>
      <c r="AG903" s="190"/>
      <c r="AH903" s="190"/>
      <c r="AI903" s="190"/>
      <c r="AJ903" s="190"/>
      <c r="AK903" s="190"/>
      <c r="AL903" s="190"/>
      <c r="AM903" s="190"/>
    </row>
    <row r="904" spans="2:39">
      <c r="B904" s="162"/>
      <c r="C904" s="162"/>
      <c r="D904" s="191"/>
      <c r="E904" s="191"/>
      <c r="F904" s="191"/>
      <c r="G904" s="191"/>
      <c r="H904" s="191"/>
      <c r="I904" s="191"/>
      <c r="J904" s="191"/>
      <c r="K904" s="191"/>
      <c r="L904" s="191"/>
      <c r="M904" s="191"/>
      <c r="N904" s="191"/>
      <c r="O904" s="191"/>
      <c r="P904" s="191"/>
      <c r="Q904" s="191"/>
      <c r="R904" s="191"/>
      <c r="S904" s="191"/>
      <c r="T904" s="191"/>
      <c r="U904" s="191"/>
      <c r="V904" s="191"/>
      <c r="W904" s="191"/>
      <c r="X904" s="191"/>
      <c r="Y904" s="191"/>
      <c r="Z904" s="191"/>
      <c r="AA904" s="191"/>
      <c r="AB904" s="191"/>
      <c r="AC904" s="190"/>
      <c r="AD904" s="190"/>
      <c r="AE904" s="190"/>
      <c r="AF904" s="190"/>
      <c r="AG904" s="190"/>
      <c r="AH904" s="190"/>
      <c r="AI904" s="190"/>
      <c r="AJ904" s="190"/>
      <c r="AK904" s="190"/>
      <c r="AL904" s="190"/>
      <c r="AM904" s="190"/>
    </row>
    <row r="905" spans="2:39">
      <c r="B905" s="162"/>
      <c r="C905" s="162"/>
      <c r="D905" s="191"/>
      <c r="E905" s="191"/>
      <c r="F905" s="191"/>
      <c r="G905" s="191"/>
      <c r="H905" s="191"/>
      <c r="I905" s="191"/>
      <c r="J905" s="191"/>
      <c r="K905" s="191"/>
      <c r="L905" s="191"/>
      <c r="M905" s="191"/>
      <c r="N905" s="191"/>
      <c r="O905" s="191"/>
      <c r="P905" s="191"/>
      <c r="Q905" s="191"/>
      <c r="R905" s="191"/>
      <c r="S905" s="191"/>
      <c r="T905" s="191"/>
      <c r="U905" s="191"/>
      <c r="V905" s="191"/>
      <c r="W905" s="191"/>
      <c r="X905" s="191"/>
      <c r="Y905" s="191"/>
      <c r="Z905" s="191"/>
      <c r="AA905" s="191"/>
      <c r="AB905" s="191"/>
      <c r="AC905" s="190"/>
      <c r="AD905" s="190"/>
      <c r="AE905" s="190"/>
      <c r="AF905" s="190"/>
      <c r="AG905" s="190"/>
      <c r="AH905" s="190"/>
      <c r="AI905" s="190"/>
      <c r="AJ905" s="190"/>
      <c r="AK905" s="190"/>
      <c r="AL905" s="190"/>
      <c r="AM905" s="190"/>
    </row>
    <row r="906" spans="2:39">
      <c r="B906" s="162"/>
      <c r="C906" s="162"/>
      <c r="D906" s="191"/>
      <c r="E906" s="191"/>
      <c r="F906" s="191"/>
      <c r="G906" s="191"/>
      <c r="H906" s="191"/>
      <c r="I906" s="191"/>
      <c r="J906" s="191"/>
      <c r="K906" s="191"/>
      <c r="L906" s="191"/>
      <c r="M906" s="191"/>
      <c r="N906" s="191"/>
      <c r="O906" s="191"/>
      <c r="P906" s="191"/>
      <c r="Q906" s="191"/>
      <c r="R906" s="191"/>
      <c r="S906" s="191"/>
      <c r="T906" s="191"/>
      <c r="U906" s="191"/>
      <c r="V906" s="191"/>
      <c r="W906" s="191"/>
      <c r="X906" s="191"/>
      <c r="Y906" s="191"/>
      <c r="Z906" s="191"/>
      <c r="AA906" s="191"/>
      <c r="AB906" s="191"/>
      <c r="AC906" s="190"/>
      <c r="AD906" s="190"/>
      <c r="AE906" s="190"/>
      <c r="AF906" s="190"/>
      <c r="AG906" s="190"/>
      <c r="AH906" s="190"/>
      <c r="AI906" s="190"/>
      <c r="AJ906" s="190"/>
      <c r="AK906" s="190"/>
      <c r="AL906" s="190"/>
      <c r="AM906" s="190"/>
    </row>
    <row r="907" spans="2:39">
      <c r="B907" s="162"/>
      <c r="C907" s="162"/>
      <c r="D907" s="191"/>
      <c r="E907" s="191"/>
      <c r="F907" s="191"/>
      <c r="G907" s="191"/>
      <c r="H907" s="191"/>
      <c r="I907" s="191"/>
      <c r="J907" s="191"/>
      <c r="K907" s="191"/>
      <c r="L907" s="191"/>
      <c r="M907" s="191"/>
      <c r="N907" s="191"/>
      <c r="O907" s="191"/>
      <c r="P907" s="191"/>
      <c r="Q907" s="191"/>
      <c r="R907" s="191"/>
      <c r="S907" s="191"/>
      <c r="T907" s="191"/>
      <c r="U907" s="191"/>
      <c r="V907" s="191"/>
      <c r="W907" s="191"/>
      <c r="X907" s="191"/>
      <c r="Y907" s="191"/>
      <c r="Z907" s="191"/>
      <c r="AA907" s="191"/>
      <c r="AB907" s="191"/>
      <c r="AC907" s="190"/>
      <c r="AD907" s="190"/>
      <c r="AE907" s="190"/>
      <c r="AF907" s="190"/>
      <c r="AG907" s="190"/>
      <c r="AH907" s="190"/>
      <c r="AI907" s="190"/>
      <c r="AJ907" s="190"/>
      <c r="AK907" s="190"/>
      <c r="AL907" s="190"/>
      <c r="AM907" s="190"/>
    </row>
    <row r="908" spans="2:39">
      <c r="B908" s="162"/>
      <c r="C908" s="162"/>
      <c r="D908" s="191"/>
      <c r="E908" s="191"/>
      <c r="F908" s="191"/>
      <c r="G908" s="191"/>
      <c r="H908" s="191"/>
      <c r="I908" s="191"/>
      <c r="J908" s="191"/>
      <c r="K908" s="191"/>
      <c r="L908" s="191"/>
      <c r="M908" s="191"/>
      <c r="N908" s="191"/>
      <c r="O908" s="191"/>
      <c r="P908" s="191"/>
      <c r="Q908" s="191"/>
      <c r="R908" s="191"/>
      <c r="S908" s="191"/>
      <c r="T908" s="191"/>
      <c r="U908" s="191"/>
      <c r="V908" s="191"/>
      <c r="W908" s="191"/>
      <c r="X908" s="191"/>
      <c r="Y908" s="191"/>
      <c r="Z908" s="191"/>
      <c r="AA908" s="191"/>
      <c r="AB908" s="191"/>
      <c r="AC908" s="190"/>
      <c r="AD908" s="190"/>
      <c r="AE908" s="190"/>
      <c r="AF908" s="190"/>
      <c r="AG908" s="190"/>
      <c r="AH908" s="190"/>
      <c r="AI908" s="190"/>
      <c r="AJ908" s="190"/>
      <c r="AK908" s="190"/>
      <c r="AL908" s="190"/>
      <c r="AM908" s="190"/>
    </row>
    <row r="909" spans="2:39">
      <c r="B909" s="162"/>
      <c r="C909" s="162"/>
      <c r="D909" s="191"/>
      <c r="E909" s="191"/>
      <c r="F909" s="191"/>
      <c r="G909" s="191"/>
      <c r="H909" s="191"/>
      <c r="I909" s="191"/>
      <c r="J909" s="191"/>
      <c r="K909" s="191"/>
      <c r="L909" s="191"/>
      <c r="M909" s="191"/>
      <c r="N909" s="191"/>
      <c r="O909" s="191"/>
      <c r="P909" s="191"/>
      <c r="Q909" s="191"/>
      <c r="R909" s="191"/>
      <c r="S909" s="191"/>
      <c r="T909" s="191"/>
      <c r="U909" s="191"/>
      <c r="V909" s="191"/>
      <c r="W909" s="191"/>
      <c r="X909" s="191"/>
      <c r="Y909" s="191"/>
      <c r="Z909" s="191"/>
      <c r="AA909" s="191"/>
      <c r="AB909" s="191"/>
      <c r="AC909" s="190"/>
      <c r="AD909" s="190"/>
      <c r="AE909" s="190"/>
      <c r="AF909" s="190"/>
      <c r="AG909" s="190"/>
      <c r="AH909" s="190"/>
      <c r="AI909" s="190"/>
      <c r="AJ909" s="190"/>
      <c r="AK909" s="190"/>
      <c r="AL909" s="190"/>
      <c r="AM909" s="190"/>
    </row>
    <row r="910" spans="2:39">
      <c r="B910" s="162"/>
      <c r="C910" s="162"/>
      <c r="D910" s="191"/>
      <c r="E910" s="191"/>
      <c r="F910" s="191"/>
      <c r="G910" s="191"/>
      <c r="H910" s="191"/>
      <c r="I910" s="191"/>
      <c r="J910" s="191"/>
      <c r="K910" s="191"/>
      <c r="L910" s="191"/>
      <c r="M910" s="191"/>
      <c r="N910" s="191"/>
      <c r="O910" s="191"/>
      <c r="P910" s="191"/>
      <c r="Q910" s="191"/>
      <c r="R910" s="191"/>
      <c r="S910" s="191"/>
      <c r="T910" s="191"/>
      <c r="U910" s="191"/>
      <c r="V910" s="191"/>
      <c r="W910" s="191"/>
      <c r="X910" s="191"/>
      <c r="Y910" s="191"/>
      <c r="Z910" s="191"/>
      <c r="AA910" s="191"/>
      <c r="AB910" s="191"/>
      <c r="AC910" s="190"/>
      <c r="AD910" s="190"/>
      <c r="AE910" s="190"/>
      <c r="AF910" s="190"/>
      <c r="AG910" s="190"/>
      <c r="AH910" s="190"/>
      <c r="AI910" s="190"/>
      <c r="AJ910" s="190"/>
      <c r="AK910" s="190"/>
      <c r="AL910" s="190"/>
      <c r="AM910" s="190"/>
    </row>
    <row r="911" spans="2:39">
      <c r="B911" s="162"/>
      <c r="C911" s="162"/>
      <c r="D911" s="191"/>
      <c r="E911" s="191"/>
      <c r="F911" s="191"/>
      <c r="G911" s="191"/>
      <c r="H911" s="191"/>
      <c r="I911" s="191"/>
      <c r="J911" s="191"/>
      <c r="K911" s="191"/>
      <c r="L911" s="191"/>
      <c r="M911" s="191"/>
      <c r="N911" s="191"/>
      <c r="O911" s="191"/>
      <c r="P911" s="191"/>
      <c r="Q911" s="191"/>
      <c r="R911" s="191"/>
      <c r="S911" s="191"/>
      <c r="T911" s="191"/>
      <c r="U911" s="191"/>
      <c r="V911" s="191"/>
      <c r="W911" s="191"/>
      <c r="X911" s="191"/>
      <c r="Y911" s="191"/>
      <c r="Z911" s="191"/>
      <c r="AA911" s="191"/>
      <c r="AB911" s="191"/>
      <c r="AC911" s="190"/>
      <c r="AD911" s="190"/>
      <c r="AE911" s="190"/>
      <c r="AF911" s="190"/>
      <c r="AG911" s="190"/>
      <c r="AH911" s="190"/>
      <c r="AI911" s="190"/>
      <c r="AJ911" s="190"/>
      <c r="AK911" s="190"/>
      <c r="AL911" s="190"/>
      <c r="AM911" s="190"/>
    </row>
    <row r="912" spans="2:39">
      <c r="B912" s="162"/>
      <c r="C912" s="162"/>
      <c r="D912" s="191"/>
      <c r="E912" s="191"/>
      <c r="F912" s="191"/>
      <c r="G912" s="191"/>
      <c r="H912" s="191"/>
      <c r="I912" s="191"/>
      <c r="J912" s="191"/>
      <c r="K912" s="191"/>
      <c r="L912" s="191"/>
      <c r="M912" s="191"/>
      <c r="N912" s="191"/>
      <c r="O912" s="191"/>
      <c r="P912" s="191"/>
      <c r="Q912" s="191"/>
      <c r="R912" s="191"/>
      <c r="S912" s="191"/>
      <c r="T912" s="191"/>
      <c r="U912" s="191"/>
      <c r="V912" s="191"/>
      <c r="W912" s="191"/>
      <c r="X912" s="191"/>
      <c r="Y912" s="191"/>
      <c r="Z912" s="191"/>
      <c r="AA912" s="191"/>
      <c r="AB912" s="191"/>
      <c r="AC912" s="190"/>
      <c r="AD912" s="190"/>
      <c r="AE912" s="190"/>
      <c r="AF912" s="190"/>
      <c r="AG912" s="190"/>
      <c r="AH912" s="190"/>
      <c r="AI912" s="190"/>
      <c r="AJ912" s="190"/>
      <c r="AK912" s="190"/>
      <c r="AL912" s="190"/>
      <c r="AM912" s="190"/>
    </row>
    <row r="913" spans="2:39">
      <c r="B913" s="162"/>
      <c r="C913" s="162"/>
      <c r="D913" s="191"/>
      <c r="E913" s="191"/>
      <c r="F913" s="191"/>
      <c r="G913" s="191"/>
      <c r="H913" s="191"/>
      <c r="I913" s="191"/>
      <c r="J913" s="191"/>
      <c r="K913" s="191"/>
      <c r="L913" s="191"/>
      <c r="M913" s="191"/>
      <c r="N913" s="191"/>
      <c r="O913" s="191"/>
      <c r="P913" s="191"/>
      <c r="Q913" s="191"/>
      <c r="R913" s="191"/>
      <c r="S913" s="191"/>
      <c r="T913" s="191"/>
      <c r="U913" s="191"/>
      <c r="V913" s="191"/>
      <c r="W913" s="191"/>
      <c r="X913" s="191"/>
      <c r="Y913" s="191"/>
      <c r="Z913" s="191"/>
      <c r="AA913" s="191"/>
      <c r="AB913" s="191"/>
      <c r="AC913" s="190"/>
      <c r="AD913" s="190"/>
      <c r="AE913" s="190"/>
      <c r="AF913" s="190"/>
      <c r="AG913" s="190"/>
      <c r="AH913" s="190"/>
      <c r="AI913" s="190"/>
      <c r="AJ913" s="190"/>
      <c r="AK913" s="190"/>
      <c r="AL913" s="190"/>
      <c r="AM913" s="190"/>
    </row>
    <row r="914" spans="2:39">
      <c r="B914" s="162"/>
      <c r="C914" s="162"/>
      <c r="D914" s="191"/>
      <c r="E914" s="191"/>
      <c r="F914" s="191"/>
      <c r="G914" s="191"/>
      <c r="H914" s="191"/>
      <c r="I914" s="191"/>
      <c r="J914" s="191"/>
      <c r="K914" s="191"/>
      <c r="L914" s="191"/>
      <c r="M914" s="191"/>
      <c r="N914" s="191"/>
      <c r="O914" s="191"/>
      <c r="P914" s="191"/>
      <c r="Q914" s="191"/>
      <c r="R914" s="191"/>
      <c r="S914" s="191"/>
      <c r="T914" s="191"/>
      <c r="U914" s="191"/>
      <c r="V914" s="191"/>
      <c r="W914" s="191"/>
      <c r="X914" s="191"/>
      <c r="Y914" s="191"/>
      <c r="Z914" s="191"/>
      <c r="AA914" s="191"/>
      <c r="AB914" s="191"/>
      <c r="AC914" s="190"/>
      <c r="AD914" s="190"/>
      <c r="AE914" s="190"/>
      <c r="AF914" s="190"/>
      <c r="AG914" s="190"/>
      <c r="AH914" s="190"/>
      <c r="AI914" s="190"/>
      <c r="AJ914" s="190"/>
      <c r="AK914" s="190"/>
      <c r="AL914" s="190"/>
      <c r="AM914" s="190"/>
    </row>
    <row r="915" spans="2:39">
      <c r="B915" s="162"/>
      <c r="C915" s="162"/>
      <c r="D915" s="191"/>
      <c r="E915" s="191"/>
      <c r="F915" s="191"/>
      <c r="G915" s="191"/>
      <c r="H915" s="191"/>
      <c r="I915" s="191"/>
      <c r="J915" s="191"/>
      <c r="K915" s="191"/>
      <c r="L915" s="191"/>
      <c r="M915" s="191"/>
      <c r="N915" s="191"/>
      <c r="O915" s="191"/>
      <c r="P915" s="191"/>
      <c r="Q915" s="191"/>
      <c r="R915" s="191"/>
      <c r="S915" s="191"/>
      <c r="T915" s="191"/>
      <c r="U915" s="191"/>
      <c r="V915" s="191"/>
      <c r="W915" s="191"/>
      <c r="X915" s="191"/>
      <c r="Y915" s="191"/>
      <c r="Z915" s="191"/>
      <c r="AA915" s="191"/>
      <c r="AB915" s="191"/>
      <c r="AC915" s="190"/>
      <c r="AD915" s="190"/>
      <c r="AE915" s="190"/>
      <c r="AF915" s="190"/>
      <c r="AG915" s="190"/>
      <c r="AH915" s="190"/>
      <c r="AI915" s="190"/>
      <c r="AJ915" s="190"/>
      <c r="AK915" s="190"/>
      <c r="AL915" s="190"/>
      <c r="AM915" s="190"/>
    </row>
    <row r="916" spans="2:39">
      <c r="B916" s="162"/>
      <c r="C916" s="162"/>
      <c r="D916" s="191"/>
      <c r="E916" s="191"/>
      <c r="F916" s="191"/>
      <c r="G916" s="191"/>
      <c r="H916" s="191"/>
      <c r="I916" s="191"/>
      <c r="J916" s="191"/>
      <c r="K916" s="191"/>
      <c r="L916" s="191"/>
      <c r="M916" s="191"/>
      <c r="N916" s="191"/>
      <c r="O916" s="191"/>
      <c r="P916" s="191"/>
      <c r="Q916" s="191"/>
      <c r="R916" s="191"/>
      <c r="S916" s="191"/>
      <c r="T916" s="191"/>
      <c r="U916" s="191"/>
      <c r="V916" s="191"/>
      <c r="W916" s="191"/>
      <c r="X916" s="191"/>
      <c r="Y916" s="191"/>
      <c r="Z916" s="191"/>
      <c r="AA916" s="191"/>
      <c r="AB916" s="191"/>
      <c r="AC916" s="190"/>
      <c r="AD916" s="190"/>
      <c r="AE916" s="190"/>
      <c r="AF916" s="190"/>
      <c r="AG916" s="190"/>
      <c r="AH916" s="190"/>
      <c r="AI916" s="190"/>
      <c r="AJ916" s="190"/>
      <c r="AK916" s="190"/>
      <c r="AL916" s="190"/>
      <c r="AM916" s="190"/>
    </row>
    <row r="917" spans="2:39">
      <c r="B917" s="162"/>
      <c r="C917" s="162"/>
      <c r="D917" s="191"/>
      <c r="E917" s="191"/>
      <c r="F917" s="191"/>
      <c r="G917" s="191"/>
      <c r="H917" s="191"/>
      <c r="I917" s="191"/>
      <c r="J917" s="191"/>
      <c r="K917" s="191"/>
      <c r="L917" s="191"/>
      <c r="M917" s="191"/>
      <c r="N917" s="191"/>
      <c r="O917" s="191"/>
      <c r="P917" s="191"/>
      <c r="Q917" s="191"/>
      <c r="R917" s="191"/>
      <c r="S917" s="191"/>
      <c r="T917" s="191"/>
      <c r="U917" s="191"/>
      <c r="V917" s="191"/>
      <c r="W917" s="191"/>
      <c r="X917" s="191"/>
      <c r="Y917" s="191"/>
      <c r="Z917" s="191"/>
      <c r="AA917" s="191"/>
      <c r="AB917" s="191"/>
      <c r="AC917" s="190"/>
      <c r="AD917" s="190"/>
      <c r="AE917" s="190"/>
      <c r="AF917" s="190"/>
      <c r="AG917" s="190"/>
      <c r="AH917" s="190"/>
      <c r="AI917" s="190"/>
      <c r="AJ917" s="190"/>
      <c r="AK917" s="190"/>
      <c r="AL917" s="190"/>
      <c r="AM917" s="190"/>
    </row>
    <row r="918" spans="2:39">
      <c r="B918" s="162"/>
      <c r="C918" s="162"/>
      <c r="D918" s="191"/>
      <c r="E918" s="191"/>
      <c r="F918" s="191"/>
      <c r="G918" s="191"/>
      <c r="H918" s="191"/>
      <c r="I918" s="191"/>
      <c r="J918" s="191"/>
      <c r="K918" s="191"/>
      <c r="L918" s="191"/>
      <c r="M918" s="191"/>
      <c r="N918" s="191"/>
      <c r="O918" s="191"/>
      <c r="P918" s="191"/>
      <c r="Q918" s="191"/>
      <c r="R918" s="191"/>
      <c r="S918" s="191"/>
      <c r="T918" s="191"/>
      <c r="U918" s="191"/>
      <c r="V918" s="191"/>
      <c r="W918" s="191"/>
      <c r="X918" s="191"/>
      <c r="Y918" s="191"/>
      <c r="Z918" s="191"/>
      <c r="AA918" s="191"/>
      <c r="AB918" s="191"/>
      <c r="AC918" s="190"/>
      <c r="AD918" s="190"/>
      <c r="AE918" s="190"/>
      <c r="AF918" s="190"/>
      <c r="AG918" s="190"/>
      <c r="AH918" s="190"/>
      <c r="AI918" s="190"/>
      <c r="AJ918" s="190"/>
      <c r="AK918" s="190"/>
      <c r="AL918" s="190"/>
      <c r="AM918" s="190"/>
    </row>
    <row r="919" spans="2:39">
      <c r="B919" s="162"/>
      <c r="C919" s="162"/>
      <c r="D919" s="191"/>
      <c r="E919" s="191"/>
      <c r="F919" s="191"/>
      <c r="G919" s="191"/>
      <c r="H919" s="191"/>
      <c r="I919" s="191"/>
      <c r="J919" s="191"/>
      <c r="K919" s="191"/>
      <c r="L919" s="191"/>
      <c r="M919" s="191"/>
      <c r="N919" s="191"/>
      <c r="O919" s="191"/>
      <c r="P919" s="191"/>
      <c r="Q919" s="191"/>
      <c r="R919" s="191"/>
      <c r="S919" s="191"/>
      <c r="T919" s="191"/>
      <c r="U919" s="191"/>
      <c r="V919" s="191"/>
      <c r="W919" s="191"/>
      <c r="X919" s="191"/>
      <c r="Y919" s="191"/>
      <c r="Z919" s="191"/>
      <c r="AA919" s="191"/>
      <c r="AB919" s="191"/>
      <c r="AC919" s="190"/>
      <c r="AD919" s="190"/>
      <c r="AE919" s="190"/>
      <c r="AF919" s="190"/>
      <c r="AG919" s="190"/>
      <c r="AH919" s="190"/>
      <c r="AI919" s="190"/>
      <c r="AJ919" s="190"/>
      <c r="AK919" s="190"/>
      <c r="AL919" s="190"/>
      <c r="AM919" s="190"/>
    </row>
    <row r="920" spans="2:39">
      <c r="B920" s="162"/>
      <c r="C920" s="162"/>
      <c r="D920" s="191"/>
      <c r="E920" s="191"/>
      <c r="F920" s="191"/>
      <c r="G920" s="191"/>
      <c r="H920" s="191"/>
      <c r="I920" s="191"/>
      <c r="J920" s="191"/>
      <c r="K920" s="191"/>
      <c r="L920" s="191"/>
      <c r="M920" s="191"/>
      <c r="N920" s="191"/>
      <c r="O920" s="191"/>
      <c r="P920" s="191"/>
      <c r="Q920" s="191"/>
      <c r="R920" s="191"/>
      <c r="S920" s="191"/>
      <c r="T920" s="191"/>
      <c r="U920" s="191"/>
      <c r="V920" s="191"/>
      <c r="W920" s="191"/>
      <c r="X920" s="191"/>
      <c r="Y920" s="191"/>
      <c r="Z920" s="191"/>
      <c r="AA920" s="191"/>
      <c r="AB920" s="191"/>
      <c r="AC920" s="190"/>
      <c r="AD920" s="190"/>
      <c r="AE920" s="190"/>
      <c r="AF920" s="190"/>
      <c r="AG920" s="190"/>
      <c r="AH920" s="190"/>
      <c r="AI920" s="190"/>
      <c r="AJ920" s="190"/>
      <c r="AK920" s="190"/>
      <c r="AL920" s="190"/>
      <c r="AM920" s="190"/>
    </row>
    <row r="921" spans="2:39">
      <c r="B921" s="162"/>
      <c r="C921" s="162"/>
      <c r="D921" s="191"/>
      <c r="E921" s="191"/>
      <c r="F921" s="191"/>
      <c r="G921" s="191"/>
      <c r="H921" s="191"/>
      <c r="I921" s="191"/>
      <c r="J921" s="191"/>
      <c r="K921" s="191"/>
      <c r="L921" s="191"/>
      <c r="M921" s="191"/>
      <c r="N921" s="191"/>
      <c r="O921" s="191"/>
      <c r="P921" s="191"/>
      <c r="Q921" s="191"/>
      <c r="R921" s="191"/>
      <c r="S921" s="191"/>
      <c r="T921" s="191"/>
      <c r="U921" s="191"/>
      <c r="V921" s="191"/>
      <c r="W921" s="191"/>
      <c r="X921" s="191"/>
      <c r="Y921" s="191"/>
      <c r="Z921" s="191"/>
      <c r="AA921" s="191"/>
      <c r="AB921" s="191"/>
      <c r="AC921" s="190"/>
      <c r="AD921" s="190"/>
      <c r="AE921" s="190"/>
      <c r="AF921" s="190"/>
      <c r="AG921" s="190"/>
      <c r="AH921" s="190"/>
      <c r="AI921" s="190"/>
      <c r="AJ921" s="190"/>
      <c r="AK921" s="190"/>
      <c r="AL921" s="190"/>
      <c r="AM921" s="190"/>
    </row>
    <row r="922" spans="2:39">
      <c r="B922" s="162"/>
      <c r="C922" s="162"/>
      <c r="D922" s="191"/>
      <c r="E922" s="191"/>
      <c r="F922" s="191"/>
      <c r="G922" s="191"/>
      <c r="H922" s="191"/>
      <c r="I922" s="191"/>
      <c r="J922" s="191"/>
      <c r="K922" s="191"/>
      <c r="L922" s="191"/>
      <c r="M922" s="191"/>
      <c r="N922" s="191"/>
      <c r="O922" s="191"/>
      <c r="P922" s="191"/>
      <c r="Q922" s="191"/>
      <c r="R922" s="191"/>
      <c r="S922" s="191"/>
      <c r="T922" s="191"/>
      <c r="U922" s="191"/>
      <c r="V922" s="191"/>
      <c r="W922" s="191"/>
      <c r="X922" s="191"/>
      <c r="Y922" s="191"/>
      <c r="Z922" s="191"/>
      <c r="AA922" s="191"/>
      <c r="AB922" s="191"/>
      <c r="AC922" s="190"/>
      <c r="AD922" s="190"/>
      <c r="AE922" s="190"/>
      <c r="AF922" s="190"/>
      <c r="AG922" s="190"/>
      <c r="AH922" s="190"/>
      <c r="AI922" s="190"/>
      <c r="AJ922" s="190"/>
      <c r="AK922" s="190"/>
      <c r="AL922" s="190"/>
      <c r="AM922" s="190"/>
    </row>
    <row r="923" spans="2:39">
      <c r="B923" s="162"/>
      <c r="C923" s="162"/>
      <c r="D923" s="191"/>
      <c r="E923" s="191"/>
      <c r="F923" s="191"/>
      <c r="G923" s="191"/>
      <c r="H923" s="191"/>
      <c r="I923" s="191"/>
      <c r="J923" s="191"/>
      <c r="K923" s="191"/>
      <c r="L923" s="191"/>
      <c r="M923" s="191"/>
      <c r="N923" s="191"/>
      <c r="O923" s="191"/>
      <c r="P923" s="191"/>
      <c r="Q923" s="191"/>
      <c r="R923" s="191"/>
      <c r="S923" s="191"/>
      <c r="T923" s="191"/>
      <c r="U923" s="191"/>
      <c r="V923" s="191"/>
      <c r="W923" s="191"/>
      <c r="X923" s="191"/>
      <c r="Y923" s="191"/>
      <c r="Z923" s="191"/>
      <c r="AA923" s="191"/>
      <c r="AB923" s="191"/>
      <c r="AC923" s="190"/>
      <c r="AD923" s="190"/>
      <c r="AE923" s="190"/>
      <c r="AF923" s="190"/>
      <c r="AG923" s="190"/>
      <c r="AH923" s="190"/>
      <c r="AI923" s="190"/>
      <c r="AJ923" s="190"/>
      <c r="AK923" s="190"/>
      <c r="AL923" s="190"/>
      <c r="AM923" s="190"/>
    </row>
    <row r="924" spans="2:39">
      <c r="B924" s="162"/>
      <c r="C924" s="162"/>
      <c r="D924" s="191"/>
      <c r="E924" s="191"/>
      <c r="F924" s="191"/>
      <c r="G924" s="191"/>
      <c r="H924" s="191"/>
      <c r="I924" s="191"/>
      <c r="J924" s="191"/>
      <c r="K924" s="191"/>
      <c r="L924" s="191"/>
      <c r="M924" s="191"/>
      <c r="N924" s="191"/>
      <c r="O924" s="191"/>
      <c r="P924" s="191"/>
      <c r="Q924" s="191"/>
      <c r="R924" s="191"/>
      <c r="S924" s="191"/>
      <c r="T924" s="191"/>
      <c r="U924" s="191"/>
      <c r="V924" s="191"/>
      <c r="W924" s="191"/>
      <c r="X924" s="191"/>
      <c r="Y924" s="191"/>
      <c r="Z924" s="191"/>
      <c r="AA924" s="191"/>
      <c r="AB924" s="191"/>
      <c r="AC924" s="190"/>
      <c r="AD924" s="190"/>
      <c r="AE924" s="190"/>
      <c r="AF924" s="190"/>
      <c r="AG924" s="190"/>
      <c r="AH924" s="190"/>
      <c r="AI924" s="190"/>
      <c r="AJ924" s="190"/>
      <c r="AK924" s="190"/>
      <c r="AL924" s="190"/>
      <c r="AM924" s="190"/>
    </row>
    <row r="925" spans="2:39">
      <c r="B925" s="162"/>
      <c r="C925" s="162"/>
      <c r="D925" s="191"/>
      <c r="E925" s="191"/>
      <c r="F925" s="191"/>
      <c r="G925" s="191"/>
      <c r="H925" s="191"/>
      <c r="I925" s="191"/>
      <c r="J925" s="191"/>
      <c r="K925" s="191"/>
      <c r="L925" s="191"/>
      <c r="M925" s="191"/>
      <c r="N925" s="191"/>
      <c r="O925" s="191"/>
      <c r="P925" s="191"/>
      <c r="Q925" s="191"/>
      <c r="R925" s="191"/>
      <c r="S925" s="191"/>
      <c r="T925" s="191"/>
      <c r="U925" s="191"/>
      <c r="V925" s="191"/>
      <c r="W925" s="191"/>
      <c r="X925" s="191"/>
      <c r="Y925" s="191"/>
      <c r="Z925" s="191"/>
      <c r="AA925" s="191"/>
      <c r="AB925" s="191"/>
      <c r="AC925" s="190"/>
      <c r="AD925" s="190"/>
      <c r="AE925" s="190"/>
      <c r="AF925" s="190"/>
      <c r="AG925" s="190"/>
      <c r="AH925" s="190"/>
      <c r="AI925" s="190"/>
      <c r="AJ925" s="190"/>
      <c r="AK925" s="190"/>
      <c r="AL925" s="190"/>
      <c r="AM925" s="190"/>
    </row>
    <row r="926" spans="2:39">
      <c r="B926" s="162"/>
      <c r="C926" s="162"/>
      <c r="D926" s="191"/>
      <c r="E926" s="191"/>
      <c r="F926" s="191"/>
      <c r="G926" s="191"/>
      <c r="H926" s="191"/>
      <c r="I926" s="191"/>
      <c r="J926" s="191"/>
      <c r="K926" s="191"/>
      <c r="L926" s="191"/>
      <c r="M926" s="191"/>
      <c r="N926" s="191"/>
      <c r="O926" s="191"/>
      <c r="P926" s="191"/>
      <c r="Q926" s="191"/>
      <c r="R926" s="191"/>
      <c r="S926" s="191"/>
      <c r="T926" s="191"/>
      <c r="U926" s="191"/>
      <c r="V926" s="191"/>
      <c r="W926" s="191"/>
      <c r="X926" s="191"/>
      <c r="Y926" s="191"/>
      <c r="Z926" s="191"/>
      <c r="AA926" s="191"/>
      <c r="AB926" s="191"/>
      <c r="AC926" s="190"/>
      <c r="AD926" s="190"/>
      <c r="AE926" s="190"/>
      <c r="AF926" s="190"/>
      <c r="AG926" s="190"/>
      <c r="AH926" s="190"/>
      <c r="AI926" s="190"/>
      <c r="AJ926" s="190"/>
      <c r="AK926" s="190"/>
      <c r="AL926" s="190"/>
      <c r="AM926" s="190"/>
    </row>
    <row r="927" spans="2:39">
      <c r="B927" s="162"/>
      <c r="C927" s="162"/>
      <c r="D927" s="191"/>
      <c r="E927" s="191"/>
      <c r="F927" s="191"/>
      <c r="G927" s="191"/>
      <c r="H927" s="191"/>
      <c r="I927" s="191"/>
      <c r="J927" s="191"/>
      <c r="K927" s="191"/>
      <c r="L927" s="191"/>
      <c r="M927" s="191"/>
      <c r="N927" s="191"/>
      <c r="O927" s="191"/>
      <c r="P927" s="191"/>
      <c r="Q927" s="191"/>
      <c r="R927" s="191"/>
      <c r="S927" s="191"/>
      <c r="T927" s="191"/>
      <c r="U927" s="191"/>
      <c r="V927" s="191"/>
      <c r="W927" s="191"/>
      <c r="X927" s="191"/>
      <c r="Y927" s="191"/>
      <c r="Z927" s="191"/>
      <c r="AA927" s="191"/>
      <c r="AB927" s="191"/>
      <c r="AC927" s="190"/>
      <c r="AD927" s="190"/>
      <c r="AE927" s="190"/>
      <c r="AF927" s="190"/>
      <c r="AG927" s="190"/>
      <c r="AH927" s="190"/>
      <c r="AI927" s="190"/>
      <c r="AJ927" s="190"/>
      <c r="AK927" s="190"/>
      <c r="AL927" s="190"/>
      <c r="AM927" s="190"/>
    </row>
    <row r="928" spans="2:39">
      <c r="B928" s="162"/>
      <c r="C928" s="162"/>
      <c r="D928" s="191"/>
      <c r="E928" s="191"/>
      <c r="F928" s="191"/>
      <c r="G928" s="191"/>
      <c r="H928" s="191"/>
      <c r="I928" s="191"/>
      <c r="J928" s="191"/>
      <c r="K928" s="191"/>
      <c r="L928" s="191"/>
      <c r="M928" s="191"/>
      <c r="N928" s="191"/>
      <c r="O928" s="191"/>
      <c r="P928" s="191"/>
      <c r="Q928" s="191"/>
      <c r="R928" s="191"/>
      <c r="S928" s="191"/>
      <c r="T928" s="191"/>
      <c r="U928" s="191"/>
      <c r="V928" s="191"/>
      <c r="W928" s="191"/>
      <c r="X928" s="191"/>
      <c r="Y928" s="191"/>
      <c r="Z928" s="191"/>
      <c r="AA928" s="191"/>
      <c r="AB928" s="191"/>
      <c r="AC928" s="190"/>
      <c r="AD928" s="190"/>
      <c r="AE928" s="190"/>
      <c r="AF928" s="190"/>
      <c r="AG928" s="190"/>
      <c r="AH928" s="190"/>
      <c r="AI928" s="190"/>
      <c r="AJ928" s="190"/>
      <c r="AK928" s="190"/>
      <c r="AL928" s="190"/>
      <c r="AM928" s="190"/>
    </row>
    <row r="929" spans="2:39">
      <c r="B929" s="162"/>
      <c r="C929" s="162"/>
      <c r="D929" s="191"/>
      <c r="E929" s="191"/>
      <c r="F929" s="191"/>
      <c r="G929" s="191"/>
      <c r="H929" s="191"/>
      <c r="I929" s="191"/>
      <c r="J929" s="191"/>
      <c r="K929" s="191"/>
      <c r="L929" s="191"/>
      <c r="M929" s="191"/>
      <c r="N929" s="191"/>
      <c r="O929" s="191"/>
      <c r="P929" s="191"/>
      <c r="Q929" s="191"/>
      <c r="R929" s="191"/>
      <c r="S929" s="191"/>
      <c r="T929" s="191"/>
      <c r="U929" s="191"/>
      <c r="V929" s="191"/>
      <c r="W929" s="191"/>
      <c r="X929" s="191"/>
      <c r="Y929" s="191"/>
      <c r="Z929" s="191"/>
      <c r="AA929" s="191"/>
      <c r="AB929" s="191"/>
      <c r="AC929" s="190"/>
      <c r="AD929" s="190"/>
      <c r="AE929" s="190"/>
      <c r="AF929" s="190"/>
      <c r="AG929" s="190"/>
      <c r="AH929" s="190"/>
      <c r="AI929" s="190"/>
      <c r="AJ929" s="190"/>
      <c r="AK929" s="190"/>
      <c r="AL929" s="190"/>
      <c r="AM929" s="190"/>
    </row>
    <row r="930" spans="2:39">
      <c r="B930" s="162"/>
      <c r="C930" s="162"/>
      <c r="D930" s="191"/>
      <c r="E930" s="191"/>
      <c r="F930" s="191"/>
      <c r="G930" s="191"/>
      <c r="H930" s="191"/>
      <c r="I930" s="191"/>
      <c r="J930" s="191"/>
      <c r="K930" s="191"/>
      <c r="L930" s="191"/>
      <c r="M930" s="191"/>
      <c r="N930" s="191"/>
      <c r="O930" s="191"/>
      <c r="P930" s="191"/>
      <c r="Q930" s="191"/>
      <c r="R930" s="191"/>
      <c r="S930" s="191"/>
      <c r="T930" s="191"/>
      <c r="U930" s="191"/>
      <c r="V930" s="191"/>
      <c r="W930" s="191"/>
      <c r="X930" s="191"/>
      <c r="Y930" s="191"/>
      <c r="Z930" s="191"/>
      <c r="AA930" s="191"/>
      <c r="AB930" s="191"/>
      <c r="AC930" s="190"/>
      <c r="AD930" s="190"/>
      <c r="AE930" s="190"/>
      <c r="AF930" s="190"/>
      <c r="AG930" s="190"/>
      <c r="AH930" s="190"/>
      <c r="AI930" s="190"/>
      <c r="AJ930" s="190"/>
      <c r="AK930" s="190"/>
      <c r="AL930" s="190"/>
      <c r="AM930" s="190"/>
    </row>
    <row r="931" spans="2:39">
      <c r="B931" s="162"/>
      <c r="C931" s="162"/>
      <c r="D931" s="191"/>
      <c r="E931" s="191"/>
      <c r="F931" s="191"/>
      <c r="G931" s="191"/>
      <c r="H931" s="191"/>
      <c r="I931" s="191"/>
      <c r="J931" s="191"/>
      <c r="K931" s="191"/>
      <c r="L931" s="191"/>
      <c r="M931" s="191"/>
      <c r="N931" s="191"/>
      <c r="O931" s="191"/>
      <c r="P931" s="191"/>
      <c r="Q931" s="191"/>
      <c r="R931" s="191"/>
      <c r="S931" s="191"/>
      <c r="T931" s="191"/>
      <c r="U931" s="191"/>
      <c r="V931" s="191"/>
      <c r="W931" s="191"/>
      <c r="X931" s="191"/>
      <c r="Y931" s="191"/>
      <c r="Z931" s="191"/>
      <c r="AA931" s="191"/>
      <c r="AB931" s="191"/>
      <c r="AC931" s="190"/>
      <c r="AD931" s="190"/>
      <c r="AE931" s="190"/>
      <c r="AF931" s="190"/>
      <c r="AG931" s="190"/>
      <c r="AH931" s="190"/>
      <c r="AI931" s="190"/>
      <c r="AJ931" s="190"/>
      <c r="AK931" s="190"/>
      <c r="AL931" s="190"/>
      <c r="AM931" s="190"/>
    </row>
    <row r="932" spans="2:39">
      <c r="B932" s="162"/>
      <c r="C932" s="162"/>
      <c r="D932" s="191"/>
      <c r="E932" s="191"/>
      <c r="F932" s="191"/>
      <c r="G932" s="191"/>
      <c r="H932" s="191"/>
      <c r="I932" s="191"/>
      <c r="J932" s="191"/>
      <c r="K932" s="191"/>
      <c r="L932" s="191"/>
      <c r="M932" s="191"/>
      <c r="N932" s="191"/>
      <c r="O932" s="191"/>
      <c r="P932" s="191"/>
      <c r="Q932" s="191"/>
      <c r="R932" s="191"/>
      <c r="S932" s="191"/>
      <c r="T932" s="191"/>
      <c r="U932" s="191"/>
      <c r="V932" s="191"/>
      <c r="W932" s="191"/>
      <c r="X932" s="191"/>
      <c r="Y932" s="191"/>
      <c r="Z932" s="191"/>
      <c r="AA932" s="191"/>
      <c r="AB932" s="191"/>
      <c r="AC932" s="190"/>
      <c r="AD932" s="190"/>
      <c r="AE932" s="190"/>
      <c r="AF932" s="190"/>
      <c r="AG932" s="190"/>
      <c r="AH932" s="190"/>
      <c r="AI932" s="190"/>
      <c r="AJ932" s="190"/>
      <c r="AK932" s="190"/>
      <c r="AL932" s="190"/>
      <c r="AM932" s="190"/>
    </row>
    <row r="933" spans="2:39">
      <c r="B933" s="162"/>
      <c r="C933" s="162"/>
      <c r="D933" s="191"/>
      <c r="E933" s="191"/>
      <c r="F933" s="191"/>
      <c r="G933" s="191"/>
      <c r="H933" s="191"/>
      <c r="I933" s="191"/>
      <c r="J933" s="191"/>
      <c r="K933" s="191"/>
      <c r="L933" s="191"/>
      <c r="M933" s="191"/>
      <c r="N933" s="191"/>
      <c r="O933" s="191"/>
      <c r="P933" s="191"/>
      <c r="Q933" s="191"/>
      <c r="R933" s="191"/>
      <c r="S933" s="191"/>
      <c r="T933" s="191"/>
      <c r="U933" s="191"/>
      <c r="V933" s="191"/>
      <c r="W933" s="191"/>
      <c r="X933" s="191"/>
      <c r="Y933" s="191"/>
      <c r="Z933" s="191"/>
      <c r="AA933" s="191"/>
      <c r="AB933" s="191"/>
      <c r="AC933" s="190"/>
      <c r="AD933" s="190"/>
      <c r="AE933" s="190"/>
      <c r="AF933" s="190"/>
      <c r="AG933" s="190"/>
      <c r="AH933" s="190"/>
      <c r="AI933" s="190"/>
      <c r="AJ933" s="190"/>
      <c r="AK933" s="190"/>
      <c r="AL933" s="190"/>
      <c r="AM933" s="190"/>
    </row>
    <row r="934" spans="2:39">
      <c r="B934" s="162"/>
      <c r="C934" s="162"/>
      <c r="D934" s="191"/>
      <c r="E934" s="191"/>
      <c r="F934" s="191"/>
      <c r="G934" s="191"/>
      <c r="H934" s="191"/>
      <c r="I934" s="191"/>
      <c r="J934" s="191"/>
      <c r="K934" s="191"/>
      <c r="L934" s="191"/>
      <c r="M934" s="191"/>
      <c r="N934" s="191"/>
      <c r="O934" s="191"/>
      <c r="P934" s="191"/>
      <c r="Q934" s="191"/>
      <c r="R934" s="191"/>
      <c r="S934" s="191"/>
      <c r="T934" s="191"/>
      <c r="U934" s="191"/>
      <c r="V934" s="191"/>
      <c r="W934" s="191"/>
      <c r="X934" s="191"/>
      <c r="Y934" s="191"/>
      <c r="Z934" s="191"/>
      <c r="AA934" s="191"/>
      <c r="AB934" s="191"/>
      <c r="AC934" s="190"/>
      <c r="AD934" s="190"/>
      <c r="AE934" s="190"/>
      <c r="AF934" s="190"/>
      <c r="AG934" s="190"/>
      <c r="AH934" s="190"/>
      <c r="AI934" s="190"/>
      <c r="AJ934" s="190"/>
      <c r="AK934" s="190"/>
      <c r="AL934" s="190"/>
      <c r="AM934" s="190"/>
    </row>
    <row r="935" spans="2:39">
      <c r="B935" s="162"/>
      <c r="C935" s="162"/>
      <c r="D935" s="191"/>
      <c r="E935" s="191"/>
      <c r="F935" s="191"/>
      <c r="G935" s="191"/>
      <c r="H935" s="191"/>
      <c r="I935" s="191"/>
      <c r="J935" s="191"/>
      <c r="K935" s="191"/>
      <c r="L935" s="191"/>
      <c r="M935" s="191"/>
      <c r="N935" s="191"/>
      <c r="O935" s="191"/>
      <c r="P935" s="191"/>
      <c r="Q935" s="191"/>
      <c r="R935" s="191"/>
      <c r="S935" s="191"/>
      <c r="T935" s="191"/>
      <c r="U935" s="191"/>
      <c r="V935" s="191"/>
      <c r="W935" s="191"/>
      <c r="X935" s="191"/>
      <c r="Y935" s="191"/>
      <c r="Z935" s="191"/>
      <c r="AA935" s="191"/>
      <c r="AB935" s="191"/>
      <c r="AC935" s="190"/>
      <c r="AD935" s="190"/>
      <c r="AE935" s="190"/>
      <c r="AF935" s="190"/>
      <c r="AG935" s="190"/>
      <c r="AH935" s="190"/>
      <c r="AI935" s="190"/>
      <c r="AJ935" s="190"/>
      <c r="AK935" s="190"/>
      <c r="AL935" s="190"/>
      <c r="AM935" s="190"/>
    </row>
    <row r="936" spans="2:39">
      <c r="B936" s="162"/>
      <c r="C936" s="162"/>
      <c r="D936" s="191"/>
      <c r="E936" s="191"/>
      <c r="F936" s="191"/>
      <c r="G936" s="191"/>
      <c r="H936" s="191"/>
      <c r="I936" s="191"/>
      <c r="J936" s="191"/>
      <c r="K936" s="191"/>
      <c r="L936" s="191"/>
      <c r="M936" s="191"/>
      <c r="N936" s="191"/>
      <c r="O936" s="191"/>
      <c r="P936" s="191"/>
      <c r="Q936" s="191"/>
      <c r="R936" s="191"/>
      <c r="S936" s="191"/>
      <c r="T936" s="191"/>
      <c r="U936" s="191"/>
      <c r="V936" s="191"/>
      <c r="W936" s="191"/>
      <c r="X936" s="191"/>
      <c r="Y936" s="191"/>
      <c r="Z936" s="191"/>
      <c r="AA936" s="191"/>
      <c r="AB936" s="191"/>
      <c r="AC936" s="190"/>
      <c r="AD936" s="190"/>
      <c r="AE936" s="190"/>
      <c r="AF936" s="190"/>
      <c r="AG936" s="190"/>
      <c r="AH936" s="190"/>
      <c r="AI936" s="190"/>
      <c r="AJ936" s="190"/>
      <c r="AK936" s="190"/>
      <c r="AL936" s="190"/>
      <c r="AM936" s="190"/>
    </row>
    <row r="937" spans="2:39">
      <c r="B937" s="162"/>
      <c r="C937" s="162"/>
      <c r="D937" s="191"/>
      <c r="E937" s="191"/>
      <c r="F937" s="191"/>
      <c r="G937" s="191"/>
      <c r="H937" s="191"/>
      <c r="I937" s="191"/>
      <c r="J937" s="191"/>
      <c r="K937" s="191"/>
      <c r="L937" s="191"/>
      <c r="M937" s="191"/>
      <c r="N937" s="191"/>
      <c r="O937" s="191"/>
      <c r="P937" s="191"/>
      <c r="Q937" s="191"/>
      <c r="R937" s="191"/>
      <c r="S937" s="191"/>
      <c r="T937" s="191"/>
      <c r="U937" s="191"/>
      <c r="V937" s="191"/>
      <c r="W937" s="191"/>
      <c r="X937" s="191"/>
      <c r="Y937" s="191"/>
      <c r="Z937" s="191"/>
      <c r="AA937" s="191"/>
      <c r="AB937" s="191"/>
      <c r="AC937" s="190"/>
      <c r="AD937" s="190"/>
      <c r="AE937" s="190"/>
      <c r="AF937" s="190"/>
      <c r="AG937" s="190"/>
      <c r="AH937" s="190"/>
      <c r="AI937" s="190"/>
      <c r="AJ937" s="190"/>
      <c r="AK937" s="190"/>
      <c r="AL937" s="190"/>
      <c r="AM937" s="190"/>
    </row>
    <row r="938" spans="2:39">
      <c r="B938" s="162"/>
      <c r="C938" s="162"/>
      <c r="D938" s="191"/>
      <c r="E938" s="191"/>
      <c r="F938" s="191"/>
      <c r="G938" s="191"/>
      <c r="H938" s="191"/>
      <c r="I938" s="191"/>
      <c r="J938" s="191"/>
      <c r="K938" s="191"/>
      <c r="L938" s="191"/>
      <c r="M938" s="191"/>
      <c r="N938" s="191"/>
      <c r="O938" s="191"/>
      <c r="P938" s="191"/>
      <c r="Q938" s="191"/>
      <c r="R938" s="191"/>
      <c r="S938" s="191"/>
      <c r="T938" s="191"/>
      <c r="U938" s="191"/>
      <c r="V938" s="191"/>
      <c r="W938" s="191"/>
      <c r="X938" s="191"/>
      <c r="Y938" s="191"/>
      <c r="Z938" s="191"/>
      <c r="AA938" s="191"/>
      <c r="AB938" s="191"/>
      <c r="AC938" s="190"/>
      <c r="AD938" s="190"/>
      <c r="AE938" s="190"/>
      <c r="AF938" s="190"/>
      <c r="AG938" s="190"/>
      <c r="AH938" s="190"/>
      <c r="AI938" s="190"/>
      <c r="AJ938" s="190"/>
      <c r="AK938" s="190"/>
      <c r="AL938" s="190"/>
      <c r="AM938" s="190"/>
    </row>
    <row r="939" spans="2:39">
      <c r="B939" s="162"/>
      <c r="C939" s="162"/>
      <c r="D939" s="191"/>
      <c r="E939" s="191"/>
      <c r="F939" s="191"/>
      <c r="G939" s="191"/>
      <c r="H939" s="191"/>
      <c r="I939" s="191"/>
      <c r="J939" s="191"/>
      <c r="K939" s="191"/>
      <c r="L939" s="191"/>
      <c r="M939" s="191"/>
      <c r="N939" s="191"/>
      <c r="O939" s="191"/>
      <c r="P939" s="191"/>
      <c r="Q939" s="191"/>
      <c r="R939" s="191"/>
      <c r="S939" s="191"/>
      <c r="T939" s="191"/>
      <c r="U939" s="191"/>
      <c r="V939" s="191"/>
      <c r="W939" s="191"/>
      <c r="X939" s="191"/>
      <c r="Y939" s="191"/>
      <c r="Z939" s="191"/>
      <c r="AA939" s="191"/>
      <c r="AB939" s="191"/>
      <c r="AC939" s="190"/>
      <c r="AD939" s="190"/>
      <c r="AE939" s="190"/>
      <c r="AF939" s="190"/>
      <c r="AG939" s="190"/>
      <c r="AH939" s="190"/>
      <c r="AI939" s="190"/>
      <c r="AJ939" s="190"/>
      <c r="AK939" s="190"/>
      <c r="AL939" s="190"/>
      <c r="AM939" s="190"/>
    </row>
    <row r="940" spans="2:39">
      <c r="B940" s="162"/>
      <c r="C940" s="162"/>
      <c r="D940" s="191"/>
      <c r="E940" s="191"/>
      <c r="F940" s="191"/>
      <c r="G940" s="191"/>
      <c r="H940" s="191"/>
      <c r="I940" s="191"/>
      <c r="J940" s="191"/>
      <c r="K940" s="191"/>
      <c r="L940" s="191"/>
      <c r="M940" s="191"/>
      <c r="N940" s="191"/>
      <c r="O940" s="191"/>
      <c r="P940" s="191"/>
      <c r="Q940" s="191"/>
      <c r="R940" s="191"/>
      <c r="S940" s="191"/>
      <c r="T940" s="191"/>
      <c r="U940" s="191"/>
      <c r="V940" s="191"/>
      <c r="W940" s="191"/>
      <c r="X940" s="191"/>
      <c r="Y940" s="191"/>
      <c r="Z940" s="191"/>
      <c r="AA940" s="191"/>
      <c r="AB940" s="191"/>
      <c r="AC940" s="190"/>
      <c r="AD940" s="190"/>
      <c r="AE940" s="190"/>
      <c r="AF940" s="190"/>
      <c r="AG940" s="190"/>
      <c r="AH940" s="190"/>
      <c r="AI940" s="190"/>
      <c r="AJ940" s="190"/>
      <c r="AK940" s="190"/>
      <c r="AL940" s="190"/>
      <c r="AM940" s="190"/>
    </row>
    <row r="941" spans="2:39">
      <c r="B941" s="162"/>
      <c r="C941" s="162"/>
      <c r="D941" s="191"/>
      <c r="E941" s="191"/>
      <c r="F941" s="191"/>
      <c r="G941" s="191"/>
      <c r="H941" s="191"/>
      <c r="I941" s="191"/>
      <c r="J941" s="191"/>
      <c r="K941" s="191"/>
      <c r="L941" s="191"/>
      <c r="M941" s="191"/>
      <c r="N941" s="191"/>
      <c r="O941" s="191"/>
      <c r="P941" s="191"/>
      <c r="Q941" s="191"/>
      <c r="R941" s="191"/>
      <c r="S941" s="191"/>
      <c r="T941" s="191"/>
      <c r="U941" s="191"/>
      <c r="V941" s="191"/>
      <c r="W941" s="191"/>
      <c r="X941" s="191"/>
      <c r="Y941" s="191"/>
      <c r="Z941" s="191"/>
      <c r="AA941" s="191"/>
      <c r="AB941" s="191"/>
      <c r="AC941" s="190"/>
      <c r="AD941" s="190"/>
      <c r="AE941" s="190"/>
      <c r="AF941" s="190"/>
      <c r="AG941" s="190"/>
      <c r="AH941" s="190"/>
      <c r="AI941" s="190"/>
      <c r="AJ941" s="190"/>
      <c r="AK941" s="190"/>
      <c r="AL941" s="190"/>
      <c r="AM941" s="190"/>
    </row>
    <row r="942" spans="2:39">
      <c r="B942" s="162"/>
      <c r="C942" s="162"/>
      <c r="D942" s="191"/>
      <c r="E942" s="191"/>
      <c r="F942" s="191"/>
      <c r="G942" s="191"/>
      <c r="H942" s="191"/>
      <c r="I942" s="191"/>
      <c r="J942" s="191"/>
      <c r="K942" s="191"/>
      <c r="L942" s="191"/>
      <c r="M942" s="191"/>
      <c r="N942" s="191"/>
      <c r="O942" s="191"/>
      <c r="P942" s="191"/>
      <c r="Q942" s="191"/>
      <c r="R942" s="191"/>
      <c r="S942" s="191"/>
      <c r="T942" s="191"/>
      <c r="U942" s="191"/>
      <c r="V942" s="191"/>
      <c r="W942" s="191"/>
      <c r="X942" s="191"/>
      <c r="Y942" s="191"/>
      <c r="Z942" s="191"/>
      <c r="AA942" s="191"/>
      <c r="AB942" s="191"/>
      <c r="AC942" s="190"/>
      <c r="AD942" s="190"/>
      <c r="AE942" s="190"/>
      <c r="AF942" s="190"/>
      <c r="AG942" s="190"/>
      <c r="AH942" s="190"/>
      <c r="AI942" s="190"/>
      <c r="AJ942" s="190"/>
      <c r="AK942" s="190"/>
      <c r="AL942" s="190"/>
      <c r="AM942" s="190"/>
    </row>
    <row r="943" spans="2:39">
      <c r="B943" s="162"/>
      <c r="C943" s="162"/>
      <c r="D943" s="191"/>
      <c r="E943" s="191"/>
      <c r="F943" s="191"/>
      <c r="G943" s="191"/>
      <c r="H943" s="191"/>
      <c r="I943" s="191"/>
      <c r="J943" s="191"/>
      <c r="K943" s="191"/>
      <c r="L943" s="191"/>
      <c r="M943" s="191"/>
      <c r="N943" s="191"/>
      <c r="O943" s="191"/>
      <c r="P943" s="191"/>
      <c r="Q943" s="191"/>
      <c r="R943" s="191"/>
      <c r="S943" s="191"/>
      <c r="T943" s="191"/>
      <c r="U943" s="191"/>
      <c r="V943" s="191"/>
      <c r="W943" s="191"/>
      <c r="X943" s="191"/>
      <c r="Y943" s="191"/>
      <c r="Z943" s="191"/>
      <c r="AA943" s="191"/>
      <c r="AB943" s="191"/>
      <c r="AC943" s="190"/>
      <c r="AD943" s="190"/>
      <c r="AE943" s="190"/>
      <c r="AF943" s="190"/>
      <c r="AG943" s="190"/>
      <c r="AH943" s="190"/>
      <c r="AI943" s="190"/>
      <c r="AJ943" s="190"/>
      <c r="AK943" s="190"/>
      <c r="AL943" s="190"/>
      <c r="AM943" s="190"/>
    </row>
    <row r="944" spans="2:39">
      <c r="B944" s="162"/>
      <c r="C944" s="162"/>
      <c r="D944" s="191"/>
      <c r="E944" s="191"/>
      <c r="F944" s="191"/>
      <c r="G944" s="191"/>
      <c r="H944" s="191"/>
      <c r="I944" s="191"/>
      <c r="J944" s="191"/>
      <c r="K944" s="191"/>
      <c r="L944" s="191"/>
      <c r="M944" s="191"/>
      <c r="N944" s="191"/>
      <c r="O944" s="191"/>
      <c r="P944" s="191"/>
      <c r="Q944" s="191"/>
      <c r="R944" s="191"/>
      <c r="S944" s="191"/>
      <c r="T944" s="191"/>
      <c r="U944" s="191"/>
      <c r="V944" s="191"/>
      <c r="W944" s="191"/>
      <c r="X944" s="191"/>
      <c r="Y944" s="191"/>
      <c r="Z944" s="191"/>
      <c r="AA944" s="191"/>
      <c r="AB944" s="191"/>
      <c r="AC944" s="190"/>
      <c r="AD944" s="190"/>
      <c r="AE944" s="190"/>
      <c r="AF944" s="190"/>
      <c r="AG944" s="190"/>
      <c r="AH944" s="190"/>
      <c r="AI944" s="190"/>
      <c r="AJ944" s="190"/>
      <c r="AK944" s="190"/>
      <c r="AL944" s="190"/>
      <c r="AM944" s="190"/>
    </row>
    <row r="945" spans="2:39">
      <c r="B945" s="162"/>
      <c r="C945" s="162"/>
      <c r="D945" s="191"/>
      <c r="E945" s="191"/>
      <c r="F945" s="191"/>
      <c r="G945" s="191"/>
      <c r="H945" s="191"/>
      <c r="I945" s="191"/>
      <c r="J945" s="191"/>
      <c r="K945" s="191"/>
      <c r="L945" s="191"/>
      <c r="M945" s="191"/>
      <c r="N945" s="191"/>
      <c r="O945" s="191"/>
      <c r="P945" s="191"/>
      <c r="Q945" s="191"/>
      <c r="R945" s="191"/>
      <c r="S945" s="191"/>
      <c r="T945" s="191"/>
      <c r="U945" s="191"/>
      <c r="V945" s="191"/>
      <c r="W945" s="191"/>
      <c r="X945" s="191"/>
      <c r="Y945" s="191"/>
      <c r="Z945" s="191"/>
      <c r="AA945" s="191"/>
      <c r="AB945" s="191"/>
      <c r="AC945" s="190"/>
      <c r="AD945" s="190"/>
      <c r="AE945" s="190"/>
      <c r="AF945" s="190"/>
      <c r="AG945" s="190"/>
      <c r="AH945" s="190"/>
      <c r="AI945" s="190"/>
      <c r="AJ945" s="190"/>
      <c r="AK945" s="190"/>
      <c r="AL945" s="190"/>
      <c r="AM945" s="190"/>
    </row>
    <row r="946" spans="2:39">
      <c r="B946" s="162"/>
      <c r="C946" s="162"/>
      <c r="D946" s="191"/>
      <c r="E946" s="191"/>
      <c r="F946" s="191"/>
      <c r="G946" s="191"/>
      <c r="H946" s="191"/>
      <c r="I946" s="191"/>
      <c r="J946" s="191"/>
      <c r="K946" s="191"/>
      <c r="L946" s="191"/>
      <c r="M946" s="191"/>
      <c r="N946" s="191"/>
      <c r="O946" s="191"/>
      <c r="P946" s="191"/>
      <c r="Q946" s="191"/>
      <c r="R946" s="191"/>
      <c r="S946" s="191"/>
      <c r="T946" s="191"/>
      <c r="U946" s="191"/>
      <c r="V946" s="191"/>
      <c r="W946" s="191"/>
      <c r="X946" s="191"/>
      <c r="Y946" s="191"/>
      <c r="Z946" s="191"/>
      <c r="AA946" s="191"/>
      <c r="AB946" s="191"/>
      <c r="AC946" s="190"/>
      <c r="AD946" s="190"/>
      <c r="AE946" s="190"/>
      <c r="AF946" s="190"/>
      <c r="AG946" s="190"/>
      <c r="AH946" s="190"/>
      <c r="AI946" s="190"/>
      <c r="AJ946" s="190"/>
      <c r="AK946" s="190"/>
      <c r="AL946" s="190"/>
      <c r="AM946" s="190"/>
    </row>
    <row r="947" spans="2:39">
      <c r="B947" s="162"/>
      <c r="C947" s="162"/>
      <c r="D947" s="191"/>
      <c r="E947" s="191"/>
      <c r="F947" s="191"/>
      <c r="G947" s="191"/>
      <c r="H947" s="191"/>
      <c r="I947" s="191"/>
      <c r="J947" s="191"/>
      <c r="K947" s="191"/>
      <c r="L947" s="191"/>
      <c r="M947" s="191"/>
      <c r="N947" s="191"/>
      <c r="O947" s="191"/>
      <c r="P947" s="191"/>
      <c r="Q947" s="191"/>
      <c r="R947" s="191"/>
      <c r="S947" s="191"/>
      <c r="T947" s="191"/>
      <c r="U947" s="191"/>
      <c r="V947" s="191"/>
      <c r="W947" s="191"/>
      <c r="X947" s="191"/>
      <c r="Y947" s="191"/>
      <c r="Z947" s="191"/>
      <c r="AA947" s="191"/>
      <c r="AB947" s="191"/>
      <c r="AC947" s="190"/>
      <c r="AD947" s="190"/>
      <c r="AE947" s="190"/>
      <c r="AF947" s="190"/>
      <c r="AG947" s="190"/>
      <c r="AH947" s="190"/>
      <c r="AI947" s="190"/>
      <c r="AJ947" s="190"/>
      <c r="AK947" s="190"/>
      <c r="AL947" s="190"/>
      <c r="AM947" s="190"/>
    </row>
    <row r="948" spans="2:39">
      <c r="B948" s="162"/>
      <c r="C948" s="162"/>
      <c r="D948" s="191"/>
      <c r="E948" s="191"/>
      <c r="F948" s="191"/>
      <c r="G948" s="191"/>
      <c r="H948" s="191"/>
      <c r="I948" s="191"/>
      <c r="J948" s="191"/>
      <c r="K948" s="191"/>
      <c r="L948" s="191"/>
      <c r="M948" s="191"/>
      <c r="N948" s="191"/>
      <c r="O948" s="191"/>
      <c r="P948" s="191"/>
      <c r="Q948" s="191"/>
      <c r="R948" s="191"/>
      <c r="S948" s="191"/>
      <c r="T948" s="191"/>
      <c r="U948" s="191"/>
      <c r="V948" s="191"/>
      <c r="W948" s="191"/>
      <c r="X948" s="191"/>
      <c r="Y948" s="191"/>
      <c r="Z948" s="191"/>
      <c r="AA948" s="191"/>
      <c r="AB948" s="191"/>
      <c r="AC948" s="190"/>
      <c r="AD948" s="190"/>
      <c r="AE948" s="190"/>
      <c r="AF948" s="190"/>
      <c r="AG948" s="190"/>
      <c r="AH948" s="190"/>
      <c r="AI948" s="190"/>
      <c r="AJ948" s="190"/>
      <c r="AK948" s="190"/>
      <c r="AL948" s="190"/>
      <c r="AM948" s="190"/>
    </row>
    <row r="949" spans="2:39">
      <c r="B949" s="162"/>
      <c r="C949" s="162"/>
      <c r="D949" s="191"/>
      <c r="E949" s="191"/>
      <c r="F949" s="191"/>
      <c r="G949" s="191"/>
      <c r="H949" s="191"/>
      <c r="I949" s="191"/>
      <c r="J949" s="191"/>
      <c r="K949" s="191"/>
      <c r="L949" s="191"/>
      <c r="M949" s="191"/>
      <c r="N949" s="191"/>
      <c r="O949" s="191"/>
      <c r="P949" s="191"/>
      <c r="Q949" s="191"/>
      <c r="R949" s="191"/>
      <c r="S949" s="191"/>
      <c r="T949" s="191"/>
      <c r="U949" s="191"/>
      <c r="V949" s="191"/>
      <c r="W949" s="191"/>
      <c r="X949" s="191"/>
      <c r="Y949" s="191"/>
      <c r="Z949" s="191"/>
      <c r="AA949" s="191"/>
      <c r="AB949" s="191"/>
      <c r="AC949" s="190"/>
      <c r="AD949" s="190"/>
      <c r="AE949" s="190"/>
      <c r="AF949" s="190"/>
      <c r="AG949" s="190"/>
      <c r="AH949" s="190"/>
      <c r="AI949" s="190"/>
      <c r="AJ949" s="190"/>
      <c r="AK949" s="190"/>
      <c r="AL949" s="190"/>
      <c r="AM949" s="190"/>
    </row>
    <row r="950" spans="2:39">
      <c r="B950" s="162"/>
      <c r="C950" s="162"/>
      <c r="D950" s="191"/>
      <c r="E950" s="191"/>
      <c r="F950" s="191"/>
      <c r="G950" s="191"/>
      <c r="H950" s="191"/>
      <c r="I950" s="191"/>
      <c r="J950" s="191"/>
      <c r="K950" s="191"/>
      <c r="L950" s="191"/>
      <c r="M950" s="191"/>
      <c r="N950" s="191"/>
      <c r="O950" s="191"/>
      <c r="P950" s="191"/>
      <c r="Q950" s="191"/>
      <c r="R950" s="191"/>
      <c r="S950" s="191"/>
      <c r="T950" s="191"/>
      <c r="U950" s="191"/>
      <c r="V950" s="191"/>
      <c r="W950" s="191"/>
      <c r="X950" s="191"/>
      <c r="Y950" s="191"/>
      <c r="Z950" s="191"/>
      <c r="AA950" s="191"/>
      <c r="AB950" s="191"/>
      <c r="AC950" s="190"/>
      <c r="AD950" s="190"/>
      <c r="AE950" s="190"/>
      <c r="AF950" s="190"/>
      <c r="AG950" s="190"/>
      <c r="AH950" s="190"/>
      <c r="AI950" s="190"/>
      <c r="AJ950" s="190"/>
      <c r="AK950" s="190"/>
      <c r="AL950" s="190"/>
      <c r="AM950" s="190"/>
    </row>
    <row r="951" spans="2:39">
      <c r="B951" s="162"/>
      <c r="C951" s="162"/>
      <c r="D951" s="191"/>
      <c r="E951" s="191"/>
      <c r="F951" s="191"/>
      <c r="G951" s="191"/>
      <c r="H951" s="191"/>
      <c r="I951" s="191"/>
      <c r="J951" s="191"/>
      <c r="K951" s="191"/>
      <c r="L951" s="191"/>
      <c r="M951" s="191"/>
      <c r="N951" s="191"/>
      <c r="O951" s="191"/>
      <c r="P951" s="191"/>
      <c r="Q951" s="191"/>
      <c r="R951" s="191"/>
      <c r="S951" s="191"/>
      <c r="T951" s="191"/>
      <c r="U951" s="191"/>
      <c r="V951" s="191"/>
      <c r="W951" s="191"/>
      <c r="X951" s="191"/>
      <c r="Y951" s="191"/>
      <c r="Z951" s="191"/>
      <c r="AA951" s="191"/>
      <c r="AB951" s="191"/>
      <c r="AC951" s="190"/>
      <c r="AD951" s="190"/>
      <c r="AE951" s="190"/>
      <c r="AF951" s="190"/>
      <c r="AG951" s="190"/>
      <c r="AH951" s="190"/>
      <c r="AI951" s="190"/>
      <c r="AJ951" s="190"/>
      <c r="AK951" s="190"/>
      <c r="AL951" s="190"/>
      <c r="AM951" s="190"/>
    </row>
    <row r="952" spans="2:39">
      <c r="B952" s="162"/>
      <c r="C952" s="162"/>
      <c r="D952" s="191"/>
      <c r="E952" s="191"/>
      <c r="F952" s="191"/>
      <c r="G952" s="191"/>
      <c r="H952" s="191"/>
      <c r="I952" s="191"/>
      <c r="J952" s="191"/>
      <c r="K952" s="191"/>
      <c r="L952" s="191"/>
      <c r="M952" s="191"/>
      <c r="N952" s="191"/>
      <c r="O952" s="191"/>
      <c r="P952" s="191"/>
      <c r="Q952" s="191"/>
      <c r="R952" s="191"/>
      <c r="S952" s="191"/>
      <c r="T952" s="191"/>
      <c r="U952" s="191"/>
      <c r="V952" s="191"/>
      <c r="W952" s="191"/>
      <c r="X952" s="191"/>
      <c r="Y952" s="191"/>
      <c r="Z952" s="191"/>
      <c r="AA952" s="191"/>
      <c r="AB952" s="191"/>
      <c r="AC952" s="190"/>
      <c r="AD952" s="190"/>
      <c r="AE952" s="190"/>
      <c r="AF952" s="190"/>
      <c r="AG952" s="190"/>
      <c r="AH952" s="190"/>
      <c r="AI952" s="190"/>
      <c r="AJ952" s="190"/>
      <c r="AK952" s="190"/>
      <c r="AL952" s="190"/>
      <c r="AM952" s="190"/>
    </row>
    <row r="953" spans="2:39">
      <c r="B953" s="162"/>
      <c r="C953" s="162"/>
      <c r="D953" s="191"/>
      <c r="E953" s="191"/>
      <c r="F953" s="191"/>
      <c r="G953" s="191"/>
      <c r="H953" s="191"/>
      <c r="I953" s="191"/>
      <c r="J953" s="191"/>
      <c r="K953" s="191"/>
      <c r="L953" s="191"/>
      <c r="M953" s="191"/>
      <c r="N953" s="191"/>
      <c r="O953" s="191"/>
      <c r="P953" s="191"/>
      <c r="Q953" s="191"/>
      <c r="R953" s="191"/>
      <c r="S953" s="191"/>
      <c r="T953" s="191"/>
      <c r="U953" s="191"/>
      <c r="V953" s="191"/>
      <c r="W953" s="191"/>
      <c r="X953" s="191"/>
      <c r="Y953" s="191"/>
      <c r="Z953" s="191"/>
      <c r="AA953" s="191"/>
      <c r="AB953" s="191"/>
      <c r="AC953" s="190"/>
      <c r="AD953" s="190"/>
      <c r="AE953" s="190"/>
      <c r="AF953" s="190"/>
      <c r="AG953" s="190"/>
      <c r="AH953" s="190"/>
      <c r="AI953" s="190"/>
      <c r="AJ953" s="190"/>
      <c r="AK953" s="190"/>
      <c r="AL953" s="190"/>
      <c r="AM953" s="190"/>
    </row>
    <row r="954" spans="2:39">
      <c r="B954" s="162"/>
      <c r="C954" s="162"/>
      <c r="D954" s="191"/>
      <c r="E954" s="191"/>
      <c r="F954" s="191"/>
      <c r="G954" s="191"/>
      <c r="H954" s="191"/>
      <c r="I954" s="191"/>
      <c r="J954" s="191"/>
      <c r="K954" s="191"/>
      <c r="L954" s="191"/>
      <c r="M954" s="191"/>
      <c r="N954" s="191"/>
      <c r="O954" s="191"/>
      <c r="P954" s="191"/>
      <c r="Q954" s="191"/>
      <c r="R954" s="191"/>
      <c r="S954" s="191"/>
      <c r="T954" s="191"/>
      <c r="U954" s="191"/>
      <c r="V954" s="191"/>
      <c r="W954" s="191"/>
      <c r="X954" s="191"/>
      <c r="Y954" s="191"/>
      <c r="Z954" s="191"/>
      <c r="AA954" s="191"/>
      <c r="AB954" s="191"/>
      <c r="AC954" s="190"/>
      <c r="AD954" s="190"/>
      <c r="AE954" s="190"/>
      <c r="AF954" s="190"/>
      <c r="AG954" s="190"/>
      <c r="AH954" s="190"/>
      <c r="AI954" s="190"/>
      <c r="AJ954" s="190"/>
      <c r="AK954" s="190"/>
      <c r="AL954" s="190"/>
      <c r="AM954" s="190"/>
    </row>
    <row r="955" spans="2:39">
      <c r="B955" s="162"/>
      <c r="C955" s="162"/>
      <c r="D955" s="191"/>
      <c r="E955" s="191"/>
      <c r="F955" s="191"/>
      <c r="G955" s="191"/>
      <c r="H955" s="191"/>
      <c r="I955" s="191"/>
      <c r="J955" s="191"/>
      <c r="K955" s="191"/>
      <c r="L955" s="191"/>
      <c r="M955" s="191"/>
      <c r="N955" s="191"/>
      <c r="O955" s="191"/>
      <c r="P955" s="191"/>
      <c r="Q955" s="191"/>
      <c r="R955" s="191"/>
      <c r="S955" s="191"/>
      <c r="T955" s="191"/>
      <c r="U955" s="191"/>
      <c r="V955" s="191"/>
      <c r="W955" s="191"/>
      <c r="X955" s="191"/>
      <c r="Y955" s="191"/>
      <c r="Z955" s="191"/>
      <c r="AA955" s="191"/>
      <c r="AB955" s="191"/>
      <c r="AC955" s="190"/>
      <c r="AD955" s="190"/>
      <c r="AE955" s="190"/>
      <c r="AF955" s="190"/>
      <c r="AG955" s="190"/>
      <c r="AH955" s="190"/>
      <c r="AI955" s="190"/>
      <c r="AJ955" s="190"/>
      <c r="AK955" s="190"/>
      <c r="AL955" s="190"/>
      <c r="AM955" s="190"/>
    </row>
    <row r="956" spans="2:39">
      <c r="B956" s="162"/>
      <c r="C956" s="162"/>
      <c r="D956" s="191"/>
      <c r="E956" s="191"/>
      <c r="F956" s="191"/>
      <c r="G956" s="191"/>
      <c r="H956" s="191"/>
      <c r="I956" s="191"/>
      <c r="J956" s="191"/>
      <c r="K956" s="191"/>
      <c r="L956" s="191"/>
      <c r="M956" s="191"/>
      <c r="N956" s="191"/>
      <c r="O956" s="191"/>
      <c r="P956" s="191"/>
      <c r="Q956" s="191"/>
      <c r="R956" s="191"/>
      <c r="S956" s="191"/>
      <c r="T956" s="191"/>
      <c r="U956" s="191"/>
      <c r="V956" s="191"/>
      <c r="W956" s="191"/>
      <c r="X956" s="191"/>
      <c r="Y956" s="191"/>
      <c r="Z956" s="191"/>
      <c r="AA956" s="191"/>
      <c r="AB956" s="191"/>
      <c r="AC956" s="190"/>
      <c r="AD956" s="190"/>
      <c r="AE956" s="190"/>
      <c r="AF956" s="190"/>
      <c r="AG956" s="190"/>
      <c r="AH956" s="190"/>
      <c r="AI956" s="190"/>
      <c r="AJ956" s="190"/>
      <c r="AK956" s="190"/>
      <c r="AL956" s="190"/>
      <c r="AM956" s="190"/>
    </row>
    <row r="957" spans="2:39">
      <c r="B957" s="162"/>
      <c r="C957" s="162"/>
      <c r="D957" s="191"/>
      <c r="E957" s="191"/>
      <c r="F957" s="191"/>
      <c r="G957" s="191"/>
      <c r="H957" s="191"/>
      <c r="I957" s="191"/>
      <c r="J957" s="191"/>
      <c r="K957" s="191"/>
      <c r="L957" s="191"/>
      <c r="M957" s="191"/>
      <c r="N957" s="191"/>
      <c r="O957" s="191"/>
      <c r="P957" s="191"/>
      <c r="Q957" s="191"/>
      <c r="R957" s="191"/>
      <c r="S957" s="191"/>
      <c r="T957" s="191"/>
      <c r="U957" s="191"/>
      <c r="V957" s="191"/>
      <c r="W957" s="191"/>
      <c r="X957" s="191"/>
      <c r="Y957" s="191"/>
      <c r="Z957" s="191"/>
      <c r="AA957" s="191"/>
      <c r="AB957" s="191"/>
      <c r="AC957" s="190"/>
      <c r="AD957" s="190"/>
      <c r="AE957" s="190"/>
      <c r="AF957" s="190"/>
      <c r="AG957" s="190"/>
      <c r="AH957" s="190"/>
      <c r="AI957" s="190"/>
      <c r="AJ957" s="190"/>
      <c r="AK957" s="190"/>
      <c r="AL957" s="190"/>
      <c r="AM957" s="190"/>
    </row>
    <row r="958" spans="2:39">
      <c r="B958" s="162"/>
      <c r="C958" s="162"/>
      <c r="D958" s="191"/>
      <c r="E958" s="191"/>
      <c r="F958" s="191"/>
      <c r="G958" s="191"/>
      <c r="H958" s="191"/>
      <c r="I958" s="191"/>
      <c r="J958" s="191"/>
      <c r="K958" s="191"/>
      <c r="L958" s="191"/>
      <c r="M958" s="191"/>
      <c r="N958" s="191"/>
      <c r="O958" s="191"/>
      <c r="P958" s="191"/>
      <c r="Q958" s="191"/>
      <c r="R958" s="191"/>
      <c r="S958" s="191"/>
      <c r="T958" s="191"/>
      <c r="U958" s="191"/>
      <c r="V958" s="191"/>
      <c r="W958" s="191"/>
      <c r="X958" s="191"/>
      <c r="Y958" s="191"/>
      <c r="Z958" s="191"/>
      <c r="AA958" s="191"/>
      <c r="AB958" s="191"/>
      <c r="AC958" s="190"/>
      <c r="AD958" s="190"/>
      <c r="AE958" s="190"/>
      <c r="AF958" s="190"/>
      <c r="AG958" s="190"/>
      <c r="AH958" s="190"/>
      <c r="AI958" s="190"/>
      <c r="AJ958" s="190"/>
      <c r="AK958" s="190"/>
      <c r="AL958" s="190"/>
      <c r="AM958" s="190"/>
    </row>
    <row r="959" spans="2:39">
      <c r="B959" s="162"/>
      <c r="C959" s="162"/>
      <c r="D959" s="191"/>
      <c r="E959" s="191"/>
      <c r="F959" s="191"/>
      <c r="G959" s="191"/>
      <c r="H959" s="191"/>
      <c r="I959" s="191"/>
      <c r="J959" s="191"/>
      <c r="K959" s="191"/>
      <c r="L959" s="191"/>
      <c r="M959" s="191"/>
      <c r="N959" s="191"/>
      <c r="O959" s="191"/>
      <c r="P959" s="191"/>
      <c r="Q959" s="191"/>
      <c r="R959" s="191"/>
      <c r="S959" s="191"/>
      <c r="T959" s="191"/>
      <c r="U959" s="191"/>
      <c r="V959" s="191"/>
      <c r="W959" s="191"/>
      <c r="X959" s="191"/>
      <c r="Y959" s="191"/>
      <c r="Z959" s="191"/>
      <c r="AA959" s="191"/>
      <c r="AB959" s="191"/>
      <c r="AC959" s="190"/>
      <c r="AD959" s="190"/>
      <c r="AE959" s="190"/>
      <c r="AF959" s="190"/>
      <c r="AG959" s="190"/>
      <c r="AH959" s="190"/>
      <c r="AI959" s="190"/>
      <c r="AJ959" s="190"/>
      <c r="AK959" s="190"/>
      <c r="AL959" s="190"/>
      <c r="AM959" s="190"/>
    </row>
    <row r="960" spans="2:39">
      <c r="B960" s="162"/>
      <c r="C960" s="162"/>
      <c r="D960" s="191"/>
      <c r="E960" s="191"/>
      <c r="F960" s="191"/>
      <c r="G960" s="191"/>
      <c r="H960" s="191"/>
      <c r="I960" s="191"/>
      <c r="J960" s="191"/>
      <c r="K960" s="191"/>
      <c r="L960" s="191"/>
      <c r="M960" s="191"/>
      <c r="N960" s="191"/>
      <c r="O960" s="191"/>
      <c r="P960" s="191"/>
      <c r="Q960" s="191"/>
      <c r="R960" s="191"/>
      <c r="S960" s="191"/>
      <c r="T960" s="191"/>
      <c r="U960" s="191"/>
      <c r="V960" s="191"/>
      <c r="W960" s="191"/>
      <c r="X960" s="191"/>
      <c r="Y960" s="191"/>
      <c r="Z960" s="191"/>
      <c r="AA960" s="191"/>
      <c r="AB960" s="191"/>
      <c r="AC960" s="190"/>
      <c r="AD960" s="190"/>
      <c r="AE960" s="190"/>
      <c r="AF960" s="190"/>
      <c r="AG960" s="190"/>
      <c r="AH960" s="190"/>
      <c r="AI960" s="190"/>
      <c r="AJ960" s="190"/>
      <c r="AK960" s="190"/>
      <c r="AL960" s="190"/>
      <c r="AM960" s="190"/>
    </row>
    <row r="961" spans="2:39">
      <c r="B961" s="162"/>
      <c r="C961" s="162"/>
      <c r="D961" s="191"/>
      <c r="E961" s="191"/>
      <c r="F961" s="191"/>
      <c r="G961" s="191"/>
      <c r="H961" s="191"/>
      <c r="I961" s="191"/>
      <c r="J961" s="191"/>
      <c r="K961" s="191"/>
      <c r="L961" s="191"/>
      <c r="M961" s="191"/>
      <c r="N961" s="191"/>
      <c r="O961" s="191"/>
      <c r="P961" s="191"/>
      <c r="Q961" s="191"/>
      <c r="R961" s="191"/>
      <c r="S961" s="191"/>
      <c r="T961" s="191"/>
      <c r="U961" s="191"/>
      <c r="V961" s="191"/>
      <c r="W961" s="191"/>
      <c r="X961" s="191"/>
      <c r="Y961" s="191"/>
      <c r="Z961" s="191"/>
      <c r="AA961" s="191"/>
      <c r="AB961" s="191"/>
      <c r="AC961" s="190"/>
      <c r="AD961" s="190"/>
      <c r="AE961" s="190"/>
      <c r="AF961" s="190"/>
      <c r="AG961" s="190"/>
      <c r="AH961" s="190"/>
      <c r="AI961" s="190"/>
      <c r="AJ961" s="190"/>
      <c r="AK961" s="190"/>
      <c r="AL961" s="190"/>
      <c r="AM961" s="190"/>
    </row>
    <row r="962" spans="2:39">
      <c r="B962" s="162"/>
      <c r="C962" s="162"/>
      <c r="D962" s="191"/>
      <c r="E962" s="191"/>
      <c r="F962" s="191"/>
      <c r="G962" s="191"/>
      <c r="H962" s="191"/>
      <c r="I962" s="191"/>
      <c r="J962" s="191"/>
      <c r="K962" s="191"/>
      <c r="L962" s="191"/>
      <c r="M962" s="191"/>
      <c r="N962" s="191"/>
      <c r="O962" s="191"/>
      <c r="P962" s="191"/>
      <c r="Q962" s="191"/>
      <c r="R962" s="191"/>
      <c r="S962" s="191"/>
      <c r="T962" s="191"/>
      <c r="U962" s="191"/>
      <c r="V962" s="191"/>
      <c r="W962" s="191"/>
      <c r="X962" s="191"/>
      <c r="Y962" s="191"/>
      <c r="Z962" s="191"/>
      <c r="AA962" s="191"/>
      <c r="AB962" s="191"/>
      <c r="AC962" s="190"/>
      <c r="AD962" s="190"/>
      <c r="AE962" s="190"/>
      <c r="AF962" s="190"/>
      <c r="AG962" s="190"/>
      <c r="AH962" s="190"/>
      <c r="AI962" s="190"/>
      <c r="AJ962" s="190"/>
      <c r="AK962" s="190"/>
      <c r="AL962" s="190"/>
      <c r="AM962" s="190"/>
    </row>
    <row r="963" spans="2:39">
      <c r="B963" s="162"/>
      <c r="C963" s="162"/>
      <c r="D963" s="191"/>
      <c r="E963" s="191"/>
      <c r="F963" s="191"/>
      <c r="G963" s="191"/>
      <c r="H963" s="191"/>
      <c r="I963" s="191"/>
      <c r="J963" s="191"/>
      <c r="K963" s="191"/>
      <c r="L963" s="191"/>
      <c r="M963" s="191"/>
      <c r="N963" s="191"/>
      <c r="O963" s="191"/>
      <c r="P963" s="191"/>
      <c r="Q963" s="191"/>
      <c r="R963" s="191"/>
      <c r="S963" s="191"/>
      <c r="T963" s="191"/>
      <c r="U963" s="191"/>
      <c r="V963" s="191"/>
      <c r="W963" s="191"/>
      <c r="X963" s="191"/>
      <c r="Y963" s="191"/>
      <c r="Z963" s="191"/>
      <c r="AA963" s="191"/>
      <c r="AB963" s="191"/>
      <c r="AC963" s="190"/>
      <c r="AD963" s="190"/>
      <c r="AE963" s="190"/>
      <c r="AF963" s="190"/>
      <c r="AG963" s="190"/>
      <c r="AH963" s="190"/>
      <c r="AI963" s="190"/>
      <c r="AJ963" s="190"/>
      <c r="AK963" s="190"/>
      <c r="AL963" s="190"/>
      <c r="AM963" s="190"/>
    </row>
    <row r="964" spans="2:39">
      <c r="B964" s="162"/>
      <c r="C964" s="162"/>
      <c r="D964" s="191"/>
      <c r="E964" s="191"/>
      <c r="F964" s="191"/>
      <c r="G964" s="191"/>
      <c r="H964" s="191"/>
      <c r="I964" s="191"/>
      <c r="J964" s="191"/>
      <c r="K964" s="191"/>
      <c r="L964" s="191"/>
      <c r="M964" s="191"/>
      <c r="N964" s="191"/>
      <c r="O964" s="191"/>
      <c r="P964" s="191"/>
      <c r="Q964" s="191"/>
      <c r="R964" s="191"/>
      <c r="S964" s="191"/>
      <c r="T964" s="191"/>
      <c r="U964" s="191"/>
      <c r="V964" s="191"/>
      <c r="W964" s="191"/>
      <c r="X964" s="191"/>
      <c r="Y964" s="191"/>
      <c r="Z964" s="191"/>
      <c r="AA964" s="191"/>
      <c r="AB964" s="191"/>
      <c r="AC964" s="190"/>
      <c r="AD964" s="190"/>
      <c r="AE964" s="190"/>
      <c r="AF964" s="190"/>
      <c r="AG964" s="190"/>
      <c r="AH964" s="190"/>
      <c r="AI964" s="190"/>
      <c r="AJ964" s="190"/>
      <c r="AK964" s="190"/>
      <c r="AL964" s="190"/>
      <c r="AM964" s="190"/>
    </row>
    <row r="965" spans="2:39">
      <c r="B965" s="162"/>
      <c r="C965" s="162"/>
      <c r="D965" s="191"/>
      <c r="E965" s="191"/>
      <c r="F965" s="191"/>
      <c r="G965" s="191"/>
      <c r="H965" s="191"/>
      <c r="I965" s="191"/>
      <c r="J965" s="191"/>
      <c r="K965" s="191"/>
      <c r="L965" s="191"/>
      <c r="M965" s="191"/>
      <c r="N965" s="191"/>
      <c r="O965" s="191"/>
      <c r="P965" s="191"/>
      <c r="Q965" s="191"/>
      <c r="R965" s="191"/>
      <c r="S965" s="191"/>
      <c r="T965" s="191"/>
      <c r="U965" s="191"/>
      <c r="V965" s="191"/>
      <c r="W965" s="191"/>
      <c r="X965" s="191"/>
      <c r="Y965" s="191"/>
      <c r="Z965" s="191"/>
      <c r="AA965" s="191"/>
      <c r="AB965" s="191"/>
      <c r="AC965" s="190"/>
      <c r="AD965" s="190"/>
      <c r="AE965" s="190"/>
      <c r="AF965" s="190"/>
      <c r="AG965" s="190"/>
      <c r="AH965" s="190"/>
      <c r="AI965" s="190"/>
      <c r="AJ965" s="190"/>
      <c r="AK965" s="190"/>
      <c r="AL965" s="190"/>
      <c r="AM965" s="190"/>
    </row>
    <row r="966" spans="2:39">
      <c r="B966" s="162"/>
      <c r="C966" s="162"/>
      <c r="D966" s="191"/>
      <c r="E966" s="191"/>
      <c r="F966" s="191"/>
      <c r="G966" s="191"/>
      <c r="H966" s="191"/>
      <c r="I966" s="191"/>
      <c r="J966" s="191"/>
      <c r="K966" s="191"/>
      <c r="L966" s="191"/>
      <c r="M966" s="191"/>
      <c r="N966" s="191"/>
      <c r="O966" s="191"/>
      <c r="P966" s="191"/>
      <c r="Q966" s="191"/>
      <c r="R966" s="191"/>
      <c r="S966" s="191"/>
      <c r="T966" s="191"/>
      <c r="U966" s="191"/>
      <c r="V966" s="191"/>
      <c r="W966" s="191"/>
      <c r="X966" s="191"/>
      <c r="Y966" s="191"/>
      <c r="Z966" s="191"/>
      <c r="AA966" s="191"/>
      <c r="AB966" s="191"/>
      <c r="AC966" s="190"/>
      <c r="AD966" s="190"/>
      <c r="AE966" s="190"/>
      <c r="AF966" s="190"/>
      <c r="AG966" s="190"/>
      <c r="AH966" s="190"/>
      <c r="AI966" s="190"/>
      <c r="AJ966" s="190"/>
      <c r="AK966" s="190"/>
      <c r="AL966" s="190"/>
      <c r="AM966" s="190"/>
    </row>
    <row r="967" spans="2:39">
      <c r="B967" s="162"/>
      <c r="C967" s="162"/>
      <c r="D967" s="191"/>
      <c r="E967" s="191"/>
      <c r="F967" s="191"/>
      <c r="G967" s="191"/>
      <c r="H967" s="191"/>
      <c r="I967" s="191"/>
      <c r="J967" s="191"/>
      <c r="K967" s="191"/>
      <c r="L967" s="191"/>
      <c r="M967" s="191"/>
      <c r="N967" s="191"/>
      <c r="O967" s="191"/>
      <c r="P967" s="191"/>
      <c r="Q967" s="191"/>
      <c r="R967" s="191"/>
      <c r="S967" s="191"/>
      <c r="T967" s="191"/>
      <c r="U967" s="191"/>
      <c r="V967" s="191"/>
      <c r="W967" s="191"/>
      <c r="X967" s="191"/>
      <c r="Y967" s="191"/>
      <c r="Z967" s="191"/>
      <c r="AA967" s="191"/>
      <c r="AB967" s="191"/>
      <c r="AC967" s="190"/>
      <c r="AD967" s="190"/>
      <c r="AE967" s="190"/>
      <c r="AF967" s="190"/>
      <c r="AG967" s="190"/>
      <c r="AH967" s="190"/>
      <c r="AI967" s="190"/>
      <c r="AJ967" s="190"/>
      <c r="AK967" s="190"/>
      <c r="AL967" s="190"/>
      <c r="AM967" s="190"/>
    </row>
    <row r="968" spans="2:39">
      <c r="B968" s="162"/>
      <c r="C968" s="162"/>
      <c r="D968" s="191"/>
      <c r="E968" s="191"/>
      <c r="F968" s="191"/>
      <c r="G968" s="191"/>
      <c r="H968" s="191"/>
      <c r="I968" s="191"/>
      <c r="J968" s="191"/>
      <c r="K968" s="191"/>
      <c r="L968" s="191"/>
      <c r="M968" s="191"/>
      <c r="N968" s="191"/>
      <c r="O968" s="191"/>
      <c r="P968" s="191"/>
      <c r="Q968" s="191"/>
      <c r="R968" s="191"/>
      <c r="S968" s="191"/>
      <c r="T968" s="191"/>
      <c r="U968" s="191"/>
      <c r="V968" s="191"/>
      <c r="W968" s="191"/>
      <c r="X968" s="191"/>
      <c r="Y968" s="191"/>
      <c r="Z968" s="191"/>
      <c r="AA968" s="191"/>
      <c r="AB968" s="191"/>
      <c r="AC968" s="190"/>
      <c r="AD968" s="190"/>
      <c r="AE968" s="190"/>
      <c r="AF968" s="190"/>
      <c r="AG968" s="190"/>
      <c r="AH968" s="190"/>
      <c r="AI968" s="190"/>
      <c r="AJ968" s="190"/>
      <c r="AK968" s="190"/>
      <c r="AL968" s="190"/>
      <c r="AM968" s="190"/>
    </row>
    <row r="969" spans="2:39">
      <c r="B969" s="162"/>
      <c r="C969" s="162"/>
      <c r="D969" s="191"/>
      <c r="E969" s="191"/>
      <c r="F969" s="191"/>
      <c r="G969" s="191"/>
      <c r="H969" s="191"/>
      <c r="I969" s="191"/>
      <c r="J969" s="191"/>
      <c r="K969" s="191"/>
      <c r="L969" s="191"/>
      <c r="M969" s="191"/>
      <c r="N969" s="191"/>
      <c r="O969" s="191"/>
      <c r="P969" s="191"/>
      <c r="Q969" s="191"/>
      <c r="R969" s="191"/>
      <c r="S969" s="191"/>
      <c r="T969" s="191"/>
      <c r="U969" s="191"/>
      <c r="V969" s="191"/>
      <c r="W969" s="191"/>
      <c r="X969" s="191"/>
      <c r="Y969" s="191"/>
      <c r="Z969" s="191"/>
      <c r="AA969" s="191"/>
      <c r="AB969" s="191"/>
      <c r="AC969" s="190"/>
      <c r="AD969" s="190"/>
      <c r="AE969" s="190"/>
      <c r="AF969" s="190"/>
      <c r="AG969" s="190"/>
      <c r="AH969" s="190"/>
      <c r="AI969" s="190"/>
      <c r="AJ969" s="190"/>
      <c r="AK969" s="190"/>
      <c r="AL969" s="190"/>
      <c r="AM969" s="190"/>
    </row>
    <row r="970" spans="2:39">
      <c r="B970" s="162"/>
      <c r="C970" s="162"/>
      <c r="D970" s="191"/>
      <c r="E970" s="191"/>
      <c r="F970" s="191"/>
      <c r="G970" s="191"/>
      <c r="H970" s="191"/>
      <c r="I970" s="191"/>
      <c r="J970" s="191"/>
      <c r="K970" s="191"/>
      <c r="L970" s="191"/>
      <c r="M970" s="191"/>
      <c r="N970" s="191"/>
      <c r="O970" s="191"/>
      <c r="P970" s="191"/>
      <c r="Q970" s="191"/>
      <c r="R970" s="191"/>
      <c r="S970" s="191"/>
      <c r="T970" s="191"/>
      <c r="U970" s="191"/>
      <c r="V970" s="191"/>
      <c r="W970" s="191"/>
      <c r="X970" s="191"/>
      <c r="Y970" s="191"/>
      <c r="Z970" s="191"/>
      <c r="AA970" s="191"/>
      <c r="AB970" s="191"/>
      <c r="AC970" s="190"/>
      <c r="AD970" s="190"/>
      <c r="AE970" s="190"/>
      <c r="AF970" s="190"/>
      <c r="AG970" s="190"/>
      <c r="AH970" s="190"/>
      <c r="AI970" s="190"/>
      <c r="AJ970" s="190"/>
      <c r="AK970" s="190"/>
      <c r="AL970" s="190"/>
      <c r="AM970" s="190"/>
    </row>
    <row r="971" spans="2:39">
      <c r="B971" s="162"/>
      <c r="C971" s="162"/>
      <c r="D971" s="191"/>
      <c r="E971" s="191"/>
      <c r="F971" s="191"/>
      <c r="G971" s="191"/>
      <c r="H971" s="191"/>
      <c r="I971" s="191"/>
      <c r="J971" s="191"/>
      <c r="K971" s="191"/>
      <c r="L971" s="191"/>
      <c r="M971" s="191"/>
      <c r="N971" s="191"/>
      <c r="O971" s="191"/>
      <c r="P971" s="191"/>
      <c r="Q971" s="191"/>
      <c r="R971" s="191"/>
      <c r="S971" s="191"/>
      <c r="T971" s="191"/>
      <c r="U971" s="191"/>
      <c r="V971" s="191"/>
      <c r="W971" s="191"/>
      <c r="X971" s="191"/>
      <c r="Y971" s="191"/>
      <c r="Z971" s="191"/>
      <c r="AA971" s="191"/>
      <c r="AB971" s="191"/>
      <c r="AC971" s="190"/>
      <c r="AD971" s="190"/>
      <c r="AE971" s="190"/>
      <c r="AF971" s="190"/>
      <c r="AG971" s="190"/>
      <c r="AH971" s="190"/>
      <c r="AI971" s="190"/>
      <c r="AJ971" s="190"/>
      <c r="AK971" s="190"/>
      <c r="AL971" s="190"/>
      <c r="AM971" s="190"/>
    </row>
    <row r="972" spans="2:39">
      <c r="B972" s="162"/>
      <c r="C972" s="162"/>
      <c r="D972" s="191"/>
      <c r="E972" s="191"/>
      <c r="F972" s="191"/>
      <c r="G972" s="191"/>
      <c r="H972" s="191"/>
      <c r="I972" s="191"/>
      <c r="J972" s="191"/>
      <c r="K972" s="191"/>
      <c r="L972" s="191"/>
      <c r="M972" s="191"/>
      <c r="N972" s="191"/>
      <c r="O972" s="191"/>
      <c r="P972" s="191"/>
      <c r="Q972" s="191"/>
      <c r="R972" s="191"/>
      <c r="S972" s="191"/>
      <c r="T972" s="191"/>
      <c r="U972" s="191"/>
      <c r="V972" s="191"/>
      <c r="W972" s="191"/>
      <c r="X972" s="191"/>
      <c r="Y972" s="191"/>
      <c r="Z972" s="191"/>
      <c r="AA972" s="191"/>
      <c r="AB972" s="191"/>
      <c r="AC972" s="190"/>
      <c r="AD972" s="190"/>
      <c r="AE972" s="190"/>
      <c r="AF972" s="190"/>
      <c r="AG972" s="190"/>
      <c r="AH972" s="190"/>
      <c r="AI972" s="190"/>
      <c r="AJ972" s="190"/>
      <c r="AK972" s="190"/>
      <c r="AL972" s="190"/>
      <c r="AM972" s="190"/>
    </row>
    <row r="973" spans="2:39">
      <c r="B973" s="162"/>
      <c r="C973" s="162"/>
      <c r="D973" s="191"/>
      <c r="E973" s="191"/>
      <c r="F973" s="191"/>
      <c r="G973" s="191"/>
      <c r="H973" s="191"/>
      <c r="I973" s="191"/>
      <c r="J973" s="191"/>
      <c r="K973" s="191"/>
      <c r="L973" s="191"/>
      <c r="M973" s="191"/>
      <c r="N973" s="191"/>
      <c r="O973" s="191"/>
      <c r="P973" s="191"/>
      <c r="Q973" s="191"/>
      <c r="R973" s="191"/>
      <c r="S973" s="191"/>
      <c r="T973" s="191"/>
      <c r="U973" s="191"/>
      <c r="V973" s="191"/>
      <c r="W973" s="191"/>
      <c r="X973" s="191"/>
      <c r="Y973" s="191"/>
      <c r="Z973" s="191"/>
      <c r="AA973" s="191"/>
      <c r="AB973" s="191"/>
      <c r="AC973" s="190"/>
      <c r="AD973" s="190"/>
      <c r="AE973" s="190"/>
      <c r="AF973" s="190"/>
      <c r="AG973" s="190"/>
      <c r="AH973" s="190"/>
      <c r="AI973" s="190"/>
      <c r="AJ973" s="190"/>
      <c r="AK973" s="190"/>
      <c r="AL973" s="190"/>
      <c r="AM973" s="190"/>
    </row>
    <row r="974" spans="2:39">
      <c r="B974" s="162"/>
      <c r="C974" s="162"/>
      <c r="D974" s="191"/>
      <c r="E974" s="191"/>
      <c r="F974" s="191"/>
      <c r="G974" s="191"/>
      <c r="H974" s="191"/>
      <c r="I974" s="191"/>
      <c r="J974" s="191"/>
      <c r="K974" s="191"/>
      <c r="L974" s="191"/>
      <c r="M974" s="191"/>
      <c r="N974" s="191"/>
      <c r="O974" s="191"/>
      <c r="P974" s="191"/>
      <c r="Q974" s="191"/>
      <c r="R974" s="191"/>
      <c r="S974" s="191"/>
      <c r="T974" s="191"/>
      <c r="U974" s="191"/>
      <c r="V974" s="191"/>
      <c r="W974" s="191"/>
      <c r="X974" s="191"/>
      <c r="Y974" s="191"/>
      <c r="Z974" s="191"/>
      <c r="AA974" s="191"/>
      <c r="AB974" s="191"/>
      <c r="AC974" s="190"/>
      <c r="AD974" s="190"/>
      <c r="AE974" s="190"/>
      <c r="AF974" s="190"/>
      <c r="AG974" s="190"/>
      <c r="AH974" s="190"/>
      <c r="AI974" s="190"/>
      <c r="AJ974" s="190"/>
      <c r="AK974" s="190"/>
      <c r="AL974" s="190"/>
      <c r="AM974" s="190"/>
    </row>
    <row r="975" spans="2:39">
      <c r="B975" s="162"/>
      <c r="C975" s="162"/>
      <c r="D975" s="191"/>
      <c r="E975" s="191"/>
      <c r="F975" s="191"/>
      <c r="G975" s="191"/>
      <c r="H975" s="191"/>
      <c r="I975" s="191"/>
      <c r="J975" s="191"/>
      <c r="K975" s="191"/>
      <c r="L975" s="191"/>
      <c r="M975" s="191"/>
      <c r="N975" s="191"/>
      <c r="O975" s="191"/>
      <c r="P975" s="191"/>
      <c r="Q975" s="191"/>
      <c r="R975" s="191"/>
      <c r="S975" s="191"/>
      <c r="T975" s="191"/>
      <c r="U975" s="191"/>
      <c r="V975" s="191"/>
      <c r="W975" s="191"/>
      <c r="X975" s="191"/>
      <c r="Y975" s="191"/>
      <c r="Z975" s="191"/>
      <c r="AA975" s="191"/>
      <c r="AB975" s="191"/>
      <c r="AC975" s="190"/>
      <c r="AD975" s="190"/>
      <c r="AE975" s="190"/>
      <c r="AF975" s="190"/>
      <c r="AG975" s="190"/>
      <c r="AH975" s="190"/>
      <c r="AI975" s="190"/>
      <c r="AJ975" s="190"/>
      <c r="AK975" s="190"/>
      <c r="AL975" s="190"/>
      <c r="AM975" s="190"/>
    </row>
    <row r="976" spans="2:39">
      <c r="B976" s="162"/>
      <c r="C976" s="162"/>
      <c r="D976" s="191"/>
      <c r="E976" s="191"/>
      <c r="F976" s="191"/>
      <c r="G976" s="191"/>
      <c r="H976" s="191"/>
      <c r="I976" s="191"/>
      <c r="J976" s="191"/>
      <c r="K976" s="191"/>
      <c r="L976" s="191"/>
      <c r="M976" s="191"/>
      <c r="N976" s="191"/>
      <c r="O976" s="191"/>
      <c r="P976" s="191"/>
      <c r="Q976" s="191"/>
      <c r="R976" s="191"/>
      <c r="S976" s="191"/>
      <c r="T976" s="191"/>
      <c r="U976" s="191"/>
      <c r="V976" s="191"/>
      <c r="W976" s="191"/>
      <c r="X976" s="191"/>
      <c r="Y976" s="191"/>
      <c r="Z976" s="191"/>
      <c r="AA976" s="191"/>
      <c r="AB976" s="191"/>
      <c r="AC976" s="190"/>
      <c r="AD976" s="190"/>
      <c r="AE976" s="190"/>
      <c r="AF976" s="190"/>
      <c r="AG976" s="190"/>
      <c r="AH976" s="190"/>
      <c r="AI976" s="190"/>
      <c r="AJ976" s="190"/>
      <c r="AK976" s="190"/>
      <c r="AL976" s="190"/>
      <c r="AM976" s="190"/>
    </row>
    <row r="977" spans="2:39">
      <c r="B977" s="162"/>
      <c r="C977" s="162"/>
      <c r="D977" s="191"/>
      <c r="E977" s="191"/>
      <c r="F977" s="191"/>
      <c r="G977" s="191"/>
      <c r="H977" s="191"/>
      <c r="I977" s="191"/>
      <c r="J977" s="191"/>
      <c r="K977" s="191"/>
      <c r="L977" s="191"/>
      <c r="M977" s="191"/>
      <c r="N977" s="191"/>
      <c r="O977" s="191"/>
      <c r="P977" s="191"/>
      <c r="Q977" s="191"/>
      <c r="R977" s="191"/>
      <c r="S977" s="191"/>
      <c r="T977" s="191"/>
      <c r="U977" s="191"/>
      <c r="V977" s="191"/>
      <c r="W977" s="191"/>
      <c r="X977" s="191"/>
      <c r="Y977" s="191"/>
      <c r="Z977" s="191"/>
      <c r="AA977" s="191"/>
      <c r="AB977" s="191"/>
      <c r="AC977" s="190"/>
      <c r="AD977" s="190"/>
      <c r="AE977" s="190"/>
      <c r="AF977" s="190"/>
      <c r="AG977" s="190"/>
      <c r="AH977" s="190"/>
      <c r="AI977" s="190"/>
      <c r="AJ977" s="190"/>
      <c r="AK977" s="190"/>
      <c r="AL977" s="190"/>
      <c r="AM977" s="190"/>
    </row>
    <row r="978" spans="2:39">
      <c r="B978" s="162"/>
      <c r="C978" s="162"/>
      <c r="D978" s="191"/>
      <c r="E978" s="191"/>
      <c r="F978" s="191"/>
      <c r="G978" s="191"/>
      <c r="H978" s="191"/>
      <c r="I978" s="191"/>
      <c r="J978" s="191"/>
      <c r="K978" s="191"/>
      <c r="L978" s="191"/>
      <c r="M978" s="191"/>
      <c r="N978" s="191"/>
      <c r="O978" s="191"/>
      <c r="P978" s="191"/>
      <c r="Q978" s="191"/>
      <c r="R978" s="191"/>
      <c r="S978" s="191"/>
      <c r="T978" s="191"/>
      <c r="U978" s="191"/>
      <c r="V978" s="191"/>
      <c r="W978" s="191"/>
      <c r="X978" s="191"/>
      <c r="Y978" s="191"/>
      <c r="Z978" s="191"/>
      <c r="AA978" s="191"/>
      <c r="AB978" s="191"/>
      <c r="AC978" s="190"/>
      <c r="AD978" s="190"/>
      <c r="AE978" s="190"/>
      <c r="AF978" s="190"/>
      <c r="AG978" s="190"/>
      <c r="AH978" s="190"/>
      <c r="AI978" s="190"/>
      <c r="AJ978" s="190"/>
      <c r="AK978" s="190"/>
      <c r="AL978" s="190"/>
      <c r="AM978" s="190"/>
    </row>
    <row r="979" spans="2:39">
      <c r="B979" s="162"/>
      <c r="C979" s="162"/>
      <c r="D979" s="191"/>
      <c r="E979" s="191"/>
      <c r="F979" s="191"/>
      <c r="G979" s="191"/>
      <c r="H979" s="191"/>
      <c r="I979" s="191"/>
      <c r="J979" s="191"/>
      <c r="K979" s="191"/>
      <c r="L979" s="191"/>
      <c r="M979" s="191"/>
      <c r="N979" s="191"/>
      <c r="O979" s="191"/>
      <c r="P979" s="191"/>
      <c r="Q979" s="191"/>
      <c r="R979" s="191"/>
      <c r="S979" s="191"/>
      <c r="T979" s="191"/>
      <c r="U979" s="191"/>
      <c r="V979" s="191"/>
      <c r="W979" s="191"/>
      <c r="X979" s="191"/>
      <c r="Y979" s="191"/>
      <c r="Z979" s="191"/>
      <c r="AA979" s="191"/>
      <c r="AB979" s="191"/>
      <c r="AC979" s="190"/>
      <c r="AD979" s="190"/>
      <c r="AE979" s="190"/>
      <c r="AF979" s="190"/>
      <c r="AG979" s="190"/>
      <c r="AH979" s="190"/>
      <c r="AI979" s="190"/>
      <c r="AJ979" s="190"/>
      <c r="AK979" s="190"/>
      <c r="AL979" s="190"/>
      <c r="AM979" s="190"/>
    </row>
    <row r="980" spans="2:39">
      <c r="B980" s="162"/>
      <c r="C980" s="162"/>
      <c r="D980" s="191"/>
      <c r="E980" s="191"/>
      <c r="F980" s="191"/>
      <c r="G980" s="191"/>
      <c r="H980" s="191"/>
      <c r="I980" s="191"/>
      <c r="J980" s="191"/>
      <c r="K980" s="191"/>
      <c r="L980" s="191"/>
      <c r="M980" s="191"/>
      <c r="N980" s="191"/>
      <c r="O980" s="191"/>
      <c r="P980" s="191"/>
      <c r="Q980" s="191"/>
      <c r="R980" s="191"/>
      <c r="S980" s="191"/>
      <c r="T980" s="191"/>
      <c r="U980" s="191"/>
      <c r="V980" s="191"/>
      <c r="W980" s="191"/>
      <c r="X980" s="191"/>
      <c r="Y980" s="191"/>
      <c r="Z980" s="191"/>
      <c r="AA980" s="191"/>
      <c r="AB980" s="191"/>
      <c r="AC980" s="190"/>
      <c r="AD980" s="190"/>
      <c r="AE980" s="190"/>
      <c r="AF980" s="190"/>
      <c r="AG980" s="190"/>
      <c r="AH980" s="190"/>
      <c r="AI980" s="190"/>
      <c r="AJ980" s="190"/>
      <c r="AK980" s="190"/>
      <c r="AL980" s="190"/>
      <c r="AM980" s="190"/>
    </row>
    <row r="981" spans="2:39">
      <c r="B981" s="162"/>
      <c r="C981" s="162"/>
      <c r="D981" s="191"/>
      <c r="E981" s="191"/>
      <c r="F981" s="191"/>
      <c r="G981" s="191"/>
      <c r="H981" s="191"/>
      <c r="I981" s="191"/>
      <c r="J981" s="191"/>
      <c r="K981" s="191"/>
      <c r="L981" s="191"/>
      <c r="M981" s="191"/>
      <c r="N981" s="191"/>
      <c r="O981" s="191"/>
      <c r="P981" s="191"/>
      <c r="Q981" s="191"/>
      <c r="R981" s="191"/>
      <c r="S981" s="191"/>
      <c r="T981" s="191"/>
      <c r="U981" s="191"/>
      <c r="V981" s="191"/>
      <c r="W981" s="191"/>
      <c r="X981" s="191"/>
      <c r="Y981" s="191"/>
      <c r="Z981" s="191"/>
      <c r="AA981" s="191"/>
      <c r="AB981" s="191"/>
      <c r="AC981" s="190"/>
      <c r="AD981" s="190"/>
      <c r="AE981" s="190"/>
      <c r="AF981" s="190"/>
      <c r="AG981" s="190"/>
      <c r="AH981" s="190"/>
      <c r="AI981" s="190"/>
      <c r="AJ981" s="190"/>
      <c r="AK981" s="190"/>
      <c r="AL981" s="190"/>
      <c r="AM981" s="190"/>
    </row>
    <row r="982" spans="2:39">
      <c r="B982" s="162"/>
      <c r="C982" s="162"/>
      <c r="D982" s="191"/>
      <c r="E982" s="191"/>
      <c r="F982" s="191"/>
      <c r="G982" s="191"/>
      <c r="H982" s="191"/>
      <c r="I982" s="191"/>
      <c r="J982" s="191"/>
      <c r="K982" s="191"/>
      <c r="L982" s="191"/>
      <c r="M982" s="191"/>
      <c r="N982" s="191"/>
      <c r="O982" s="191"/>
      <c r="P982" s="191"/>
      <c r="Q982" s="191"/>
      <c r="R982" s="191"/>
      <c r="S982" s="191"/>
      <c r="T982" s="191"/>
      <c r="U982" s="191"/>
      <c r="V982" s="191"/>
      <c r="W982" s="191"/>
      <c r="X982" s="191"/>
      <c r="Y982" s="191"/>
      <c r="Z982" s="191"/>
      <c r="AA982" s="191"/>
      <c r="AB982" s="191"/>
      <c r="AC982" s="190"/>
      <c r="AD982" s="190"/>
      <c r="AE982" s="190"/>
      <c r="AF982" s="190"/>
      <c r="AG982" s="190"/>
      <c r="AH982" s="190"/>
      <c r="AI982" s="190"/>
      <c r="AJ982" s="190"/>
      <c r="AK982" s="190"/>
      <c r="AL982" s="190"/>
      <c r="AM982" s="190"/>
    </row>
    <row r="983" spans="2:39">
      <c r="B983" s="162"/>
      <c r="C983" s="162"/>
      <c r="D983" s="191"/>
      <c r="E983" s="191"/>
      <c r="F983" s="191"/>
      <c r="G983" s="191"/>
      <c r="H983" s="191"/>
      <c r="I983" s="191"/>
      <c r="J983" s="191"/>
      <c r="K983" s="191"/>
      <c r="L983" s="191"/>
      <c r="M983" s="191"/>
      <c r="N983" s="191"/>
      <c r="O983" s="191"/>
      <c r="P983" s="191"/>
      <c r="Q983" s="191"/>
      <c r="R983" s="191"/>
      <c r="S983" s="191"/>
      <c r="T983" s="191"/>
      <c r="U983" s="191"/>
      <c r="V983" s="191"/>
      <c r="W983" s="191"/>
      <c r="X983" s="191"/>
      <c r="Y983" s="191"/>
      <c r="Z983" s="191"/>
      <c r="AA983" s="191"/>
      <c r="AB983" s="191"/>
      <c r="AC983" s="190"/>
      <c r="AD983" s="190"/>
      <c r="AE983" s="190"/>
      <c r="AF983" s="190"/>
      <c r="AG983" s="190"/>
      <c r="AH983" s="190"/>
      <c r="AI983" s="190"/>
      <c r="AJ983" s="190"/>
      <c r="AK983" s="190"/>
      <c r="AL983" s="190"/>
      <c r="AM983" s="190"/>
    </row>
    <row r="984" spans="2:39">
      <c r="B984" s="162"/>
      <c r="C984" s="162"/>
      <c r="D984" s="191"/>
      <c r="E984" s="191"/>
      <c r="F984" s="191"/>
      <c r="G984" s="191"/>
      <c r="H984" s="191"/>
      <c r="I984" s="191"/>
      <c r="J984" s="191"/>
      <c r="K984" s="191"/>
      <c r="L984" s="191"/>
      <c r="M984" s="191"/>
      <c r="N984" s="191"/>
      <c r="O984" s="191"/>
      <c r="P984" s="191"/>
      <c r="Q984" s="191"/>
      <c r="R984" s="191"/>
      <c r="S984" s="191"/>
      <c r="T984" s="191"/>
      <c r="U984" s="191"/>
      <c r="V984" s="191"/>
      <c r="W984" s="191"/>
      <c r="X984" s="191"/>
      <c r="Y984" s="191"/>
      <c r="Z984" s="191"/>
      <c r="AA984" s="191"/>
      <c r="AB984" s="191"/>
      <c r="AC984" s="190"/>
      <c r="AD984" s="190"/>
      <c r="AE984" s="190"/>
      <c r="AF984" s="190"/>
      <c r="AG984" s="190"/>
      <c r="AH984" s="190"/>
      <c r="AI984" s="190"/>
      <c r="AJ984" s="190"/>
      <c r="AK984" s="190"/>
      <c r="AL984" s="190"/>
      <c r="AM984" s="190"/>
    </row>
    <row r="985" spans="2:39">
      <c r="B985" s="162"/>
      <c r="C985" s="162"/>
      <c r="D985" s="191"/>
      <c r="E985" s="191"/>
      <c r="F985" s="191"/>
      <c r="G985" s="191"/>
      <c r="H985" s="191"/>
      <c r="I985" s="191"/>
      <c r="J985" s="191"/>
      <c r="K985" s="191"/>
      <c r="L985" s="191"/>
      <c r="M985" s="191"/>
      <c r="N985" s="191"/>
      <c r="O985" s="191"/>
      <c r="P985" s="191"/>
      <c r="Q985" s="191"/>
      <c r="R985" s="191"/>
      <c r="S985" s="191"/>
      <c r="T985" s="191"/>
      <c r="U985" s="191"/>
      <c r="V985" s="191"/>
      <c r="W985" s="191"/>
      <c r="X985" s="191"/>
      <c r="Y985" s="191"/>
      <c r="Z985" s="191"/>
      <c r="AA985" s="191"/>
      <c r="AB985" s="191"/>
      <c r="AC985" s="190"/>
      <c r="AD985" s="190"/>
      <c r="AE985" s="190"/>
      <c r="AF985" s="190"/>
      <c r="AG985" s="190"/>
      <c r="AH985" s="190"/>
      <c r="AI985" s="190"/>
      <c r="AJ985" s="190"/>
      <c r="AK985" s="190"/>
      <c r="AL985" s="190"/>
      <c r="AM985" s="190"/>
    </row>
    <row r="986" spans="2:39">
      <c r="B986" s="162"/>
      <c r="C986" s="162"/>
      <c r="D986" s="191"/>
      <c r="E986" s="191"/>
      <c r="F986" s="191"/>
      <c r="G986" s="191"/>
      <c r="H986" s="191"/>
      <c r="I986" s="191"/>
      <c r="J986" s="191"/>
      <c r="K986" s="191"/>
      <c r="L986" s="191"/>
      <c r="M986" s="191"/>
      <c r="N986" s="191"/>
      <c r="O986" s="191"/>
      <c r="P986" s="191"/>
      <c r="Q986" s="191"/>
      <c r="R986" s="191"/>
      <c r="S986" s="191"/>
      <c r="T986" s="191"/>
      <c r="U986" s="191"/>
      <c r="V986" s="191"/>
      <c r="W986" s="191"/>
      <c r="X986" s="191"/>
      <c r="Y986" s="191"/>
      <c r="Z986" s="191"/>
      <c r="AA986" s="191"/>
      <c r="AB986" s="191"/>
      <c r="AC986" s="190"/>
      <c r="AD986" s="190"/>
      <c r="AE986" s="190"/>
      <c r="AF986" s="190"/>
      <c r="AG986" s="190"/>
      <c r="AH986" s="190"/>
      <c r="AI986" s="190"/>
      <c r="AJ986" s="190"/>
      <c r="AK986" s="190"/>
      <c r="AL986" s="190"/>
      <c r="AM986" s="190"/>
    </row>
    <row r="987" spans="2:39">
      <c r="B987" s="162"/>
      <c r="C987" s="162"/>
      <c r="D987" s="191"/>
      <c r="E987" s="191"/>
      <c r="F987" s="191"/>
      <c r="G987" s="191"/>
      <c r="H987" s="191"/>
      <c r="I987" s="191"/>
      <c r="J987" s="191"/>
      <c r="K987" s="191"/>
      <c r="L987" s="191"/>
      <c r="M987" s="191"/>
      <c r="N987" s="191"/>
      <c r="O987" s="191"/>
      <c r="P987" s="191"/>
      <c r="Q987" s="191"/>
      <c r="R987" s="191"/>
      <c r="S987" s="191"/>
      <c r="T987" s="191"/>
      <c r="U987" s="191"/>
      <c r="V987" s="191"/>
      <c r="W987" s="191"/>
      <c r="X987" s="191"/>
      <c r="Y987" s="191"/>
      <c r="Z987" s="191"/>
      <c r="AA987" s="191"/>
      <c r="AB987" s="191"/>
      <c r="AC987" s="190"/>
      <c r="AD987" s="190"/>
      <c r="AE987" s="190"/>
      <c r="AF987" s="190"/>
      <c r="AG987" s="190"/>
      <c r="AH987" s="190"/>
      <c r="AI987" s="190"/>
      <c r="AJ987" s="190"/>
      <c r="AK987" s="190"/>
      <c r="AL987" s="190"/>
      <c r="AM987" s="190"/>
    </row>
    <row r="988" spans="2:39">
      <c r="B988" s="162"/>
      <c r="C988" s="162"/>
      <c r="D988" s="191"/>
      <c r="E988" s="191"/>
      <c r="F988" s="191"/>
      <c r="G988" s="191"/>
      <c r="H988" s="191"/>
      <c r="I988" s="191"/>
      <c r="J988" s="191"/>
      <c r="K988" s="191"/>
      <c r="L988" s="191"/>
      <c r="M988" s="191"/>
      <c r="N988" s="191"/>
      <c r="O988" s="191"/>
      <c r="P988" s="191"/>
      <c r="Q988" s="191"/>
      <c r="R988" s="191"/>
      <c r="S988" s="191"/>
      <c r="T988" s="191"/>
      <c r="U988" s="191"/>
      <c r="V988" s="191"/>
      <c r="W988" s="191"/>
      <c r="X988" s="191"/>
      <c r="Y988" s="191"/>
      <c r="Z988" s="191"/>
      <c r="AA988" s="191"/>
      <c r="AB988" s="191"/>
      <c r="AC988" s="190"/>
      <c r="AD988" s="190"/>
      <c r="AE988" s="190"/>
      <c r="AF988" s="190"/>
      <c r="AG988" s="190"/>
      <c r="AH988" s="190"/>
      <c r="AI988" s="190"/>
      <c r="AJ988" s="190"/>
      <c r="AK988" s="190"/>
      <c r="AL988" s="190"/>
      <c r="AM988" s="190"/>
    </row>
    <row r="989" spans="2:39">
      <c r="B989" s="162"/>
      <c r="C989" s="162"/>
      <c r="D989" s="191"/>
      <c r="E989" s="191"/>
      <c r="F989" s="191"/>
      <c r="G989" s="191"/>
      <c r="H989" s="191"/>
      <c r="I989" s="191"/>
      <c r="J989" s="191"/>
      <c r="K989" s="191"/>
      <c r="L989" s="191"/>
      <c r="M989" s="191"/>
      <c r="N989" s="191"/>
      <c r="O989" s="191"/>
      <c r="P989" s="191"/>
      <c r="Q989" s="191"/>
      <c r="R989" s="191"/>
      <c r="S989" s="191"/>
      <c r="T989" s="191"/>
      <c r="U989" s="191"/>
      <c r="V989" s="191"/>
      <c r="W989" s="191"/>
      <c r="X989" s="191"/>
      <c r="Y989" s="191"/>
      <c r="Z989" s="191"/>
      <c r="AA989" s="191"/>
      <c r="AB989" s="191"/>
      <c r="AC989" s="190"/>
      <c r="AD989" s="190"/>
      <c r="AE989" s="190"/>
      <c r="AF989" s="190"/>
      <c r="AG989" s="190"/>
      <c r="AH989" s="190"/>
      <c r="AI989" s="190"/>
      <c r="AJ989" s="190"/>
      <c r="AK989" s="190"/>
      <c r="AL989" s="190"/>
      <c r="AM989" s="190"/>
    </row>
    <row r="990" spans="2:39">
      <c r="B990" s="162"/>
      <c r="C990" s="162"/>
      <c r="D990" s="191"/>
      <c r="E990" s="191"/>
      <c r="F990" s="191"/>
      <c r="G990" s="191"/>
      <c r="H990" s="191"/>
      <c r="I990" s="191"/>
      <c r="J990" s="191"/>
      <c r="K990" s="191"/>
      <c r="L990" s="191"/>
      <c r="M990" s="191"/>
      <c r="N990" s="191"/>
      <c r="O990" s="191"/>
      <c r="P990" s="191"/>
      <c r="Q990" s="191"/>
      <c r="R990" s="191"/>
      <c r="S990" s="191"/>
      <c r="T990" s="191"/>
      <c r="U990" s="191"/>
      <c r="V990" s="191"/>
      <c r="W990" s="191"/>
      <c r="X990" s="191"/>
      <c r="Y990" s="191"/>
      <c r="Z990" s="191"/>
      <c r="AA990" s="191"/>
      <c r="AB990" s="191"/>
      <c r="AC990" s="190"/>
      <c r="AD990" s="190"/>
      <c r="AE990" s="190"/>
      <c r="AF990" s="190"/>
      <c r="AG990" s="190"/>
      <c r="AH990" s="190"/>
      <c r="AI990" s="190"/>
      <c r="AJ990" s="190"/>
      <c r="AK990" s="190"/>
      <c r="AL990" s="190"/>
      <c r="AM990" s="190"/>
    </row>
    <row r="991" spans="2:39">
      <c r="B991" s="162"/>
      <c r="C991" s="162"/>
      <c r="D991" s="191"/>
      <c r="E991" s="191"/>
      <c r="F991" s="191"/>
      <c r="G991" s="191"/>
      <c r="H991" s="191"/>
      <c r="I991" s="191"/>
      <c r="J991" s="191"/>
      <c r="K991" s="191"/>
      <c r="L991" s="191"/>
      <c r="M991" s="191"/>
      <c r="N991" s="191"/>
      <c r="O991" s="191"/>
      <c r="P991" s="191"/>
      <c r="Q991" s="191"/>
      <c r="R991" s="191"/>
      <c r="S991" s="191"/>
      <c r="T991" s="191"/>
      <c r="U991" s="191"/>
      <c r="V991" s="191"/>
      <c r="W991" s="191"/>
      <c r="X991" s="191"/>
      <c r="Y991" s="191"/>
      <c r="Z991" s="191"/>
      <c r="AA991" s="191"/>
      <c r="AB991" s="191"/>
      <c r="AC991" s="190"/>
      <c r="AD991" s="190"/>
      <c r="AE991" s="190"/>
      <c r="AF991" s="190"/>
      <c r="AG991" s="190"/>
      <c r="AH991" s="190"/>
      <c r="AI991" s="190"/>
      <c r="AJ991" s="190"/>
      <c r="AK991" s="190"/>
      <c r="AL991" s="190"/>
      <c r="AM991" s="190"/>
    </row>
    <row r="992" spans="2:39">
      <c r="B992" s="162"/>
      <c r="C992" s="162"/>
      <c r="D992" s="191"/>
      <c r="E992" s="191"/>
      <c r="F992" s="191"/>
      <c r="G992" s="191"/>
      <c r="H992" s="191"/>
      <c r="I992" s="191"/>
      <c r="J992" s="191"/>
      <c r="K992" s="191"/>
      <c r="L992" s="191"/>
      <c r="M992" s="191"/>
      <c r="N992" s="191"/>
      <c r="O992" s="191"/>
      <c r="P992" s="191"/>
      <c r="Q992" s="191"/>
      <c r="R992" s="191"/>
      <c r="S992" s="191"/>
      <c r="T992" s="191"/>
      <c r="U992" s="191"/>
      <c r="V992" s="191"/>
      <c r="W992" s="191"/>
      <c r="X992" s="191"/>
      <c r="Y992" s="191"/>
      <c r="Z992" s="191"/>
      <c r="AA992" s="191"/>
      <c r="AB992" s="191"/>
      <c r="AC992" s="190"/>
      <c r="AD992" s="190"/>
      <c r="AE992" s="190"/>
      <c r="AF992" s="190"/>
      <c r="AG992" s="190"/>
      <c r="AH992" s="190"/>
      <c r="AI992" s="190"/>
      <c r="AJ992" s="190"/>
      <c r="AK992" s="190"/>
      <c r="AL992" s="190"/>
      <c r="AM992" s="190"/>
    </row>
    <row r="993" spans="2:39">
      <c r="B993" s="162"/>
      <c r="C993" s="162"/>
      <c r="D993" s="191"/>
      <c r="E993" s="191"/>
      <c r="F993" s="191"/>
      <c r="G993" s="191"/>
      <c r="H993" s="191"/>
      <c r="I993" s="191"/>
      <c r="J993" s="191"/>
      <c r="K993" s="191"/>
      <c r="L993" s="191"/>
      <c r="M993" s="191"/>
      <c r="N993" s="191"/>
      <c r="O993" s="191"/>
      <c r="P993" s="191"/>
      <c r="Q993" s="191"/>
      <c r="R993" s="191"/>
      <c r="S993" s="191"/>
      <c r="T993" s="191"/>
      <c r="U993" s="191"/>
      <c r="V993" s="191"/>
      <c r="W993" s="191"/>
      <c r="X993" s="191"/>
      <c r="Y993" s="191"/>
      <c r="Z993" s="191"/>
      <c r="AA993" s="191"/>
      <c r="AB993" s="191"/>
      <c r="AC993" s="190"/>
      <c r="AD993" s="190"/>
      <c r="AE993" s="190"/>
      <c r="AF993" s="190"/>
      <c r="AG993" s="190"/>
      <c r="AH993" s="190"/>
      <c r="AI993" s="190"/>
      <c r="AJ993" s="190"/>
      <c r="AK993" s="190"/>
      <c r="AL993" s="190"/>
      <c r="AM993" s="190"/>
    </row>
    <row r="994" spans="2:39">
      <c r="B994" s="162"/>
      <c r="C994" s="162"/>
      <c r="D994" s="191"/>
      <c r="E994" s="191"/>
      <c r="F994" s="191"/>
      <c r="G994" s="191"/>
      <c r="H994" s="191"/>
      <c r="I994" s="191"/>
      <c r="J994" s="191"/>
      <c r="K994" s="191"/>
      <c r="L994" s="191"/>
      <c r="M994" s="191"/>
      <c r="N994" s="191"/>
      <c r="O994" s="191"/>
      <c r="P994" s="191"/>
      <c r="Q994" s="191"/>
      <c r="R994" s="191"/>
      <c r="S994" s="191"/>
      <c r="T994" s="191"/>
      <c r="U994" s="191"/>
      <c r="V994" s="191"/>
      <c r="W994" s="191"/>
      <c r="X994" s="191"/>
      <c r="Y994" s="191"/>
      <c r="Z994" s="191"/>
      <c r="AA994" s="191"/>
      <c r="AB994" s="191"/>
      <c r="AC994" s="190"/>
      <c r="AD994" s="190"/>
      <c r="AE994" s="190"/>
      <c r="AF994" s="190"/>
      <c r="AG994" s="190"/>
      <c r="AH994" s="190"/>
      <c r="AI994" s="190"/>
      <c r="AJ994" s="190"/>
      <c r="AK994" s="190"/>
      <c r="AL994" s="190"/>
      <c r="AM994" s="190"/>
    </row>
    <row r="995" spans="2:39">
      <c r="B995" s="162"/>
      <c r="C995" s="162"/>
      <c r="D995" s="191"/>
      <c r="E995" s="191"/>
      <c r="F995" s="191"/>
      <c r="G995" s="191"/>
      <c r="H995" s="191"/>
      <c r="I995" s="191"/>
      <c r="J995" s="191"/>
      <c r="K995" s="191"/>
      <c r="L995" s="191"/>
      <c r="M995" s="191"/>
      <c r="N995" s="191"/>
      <c r="O995" s="191"/>
      <c r="P995" s="191"/>
      <c r="Q995" s="191"/>
      <c r="R995" s="191"/>
      <c r="S995" s="191"/>
      <c r="T995" s="191"/>
      <c r="U995" s="191"/>
      <c r="V995" s="191"/>
      <c r="W995" s="191"/>
      <c r="X995" s="191"/>
      <c r="Y995" s="191"/>
      <c r="Z995" s="191"/>
      <c r="AA995" s="191"/>
      <c r="AB995" s="191"/>
      <c r="AC995" s="190"/>
      <c r="AD995" s="190"/>
      <c r="AE995" s="190"/>
      <c r="AF995" s="190"/>
      <c r="AG995" s="190"/>
      <c r="AH995" s="190"/>
      <c r="AI995" s="190"/>
      <c r="AJ995" s="190"/>
      <c r="AK995" s="190"/>
      <c r="AL995" s="190"/>
      <c r="AM995" s="190"/>
    </row>
    <row r="996" spans="2:39">
      <c r="B996" s="162"/>
      <c r="C996" s="162"/>
      <c r="D996" s="191"/>
      <c r="E996" s="191"/>
      <c r="F996" s="191"/>
      <c r="G996" s="191"/>
      <c r="H996" s="191"/>
      <c r="I996" s="191"/>
      <c r="J996" s="191"/>
      <c r="K996" s="191"/>
      <c r="L996" s="191"/>
      <c r="M996" s="191"/>
      <c r="N996" s="191"/>
      <c r="O996" s="191"/>
      <c r="P996" s="191"/>
      <c r="Q996" s="191"/>
      <c r="R996" s="191"/>
      <c r="S996" s="191"/>
      <c r="T996" s="191"/>
      <c r="U996" s="191"/>
      <c r="V996" s="191"/>
      <c r="W996" s="191"/>
      <c r="X996" s="191"/>
      <c r="Y996" s="191"/>
      <c r="Z996" s="191"/>
      <c r="AA996" s="191"/>
      <c r="AB996" s="191"/>
      <c r="AC996" s="190"/>
      <c r="AD996" s="190"/>
      <c r="AE996" s="190"/>
      <c r="AF996" s="190"/>
      <c r="AG996" s="190"/>
      <c r="AH996" s="190"/>
      <c r="AI996" s="190"/>
      <c r="AJ996" s="190"/>
      <c r="AK996" s="190"/>
      <c r="AL996" s="190"/>
      <c r="AM996" s="190"/>
    </row>
    <row r="997" spans="2:39">
      <c r="B997" s="162"/>
      <c r="C997" s="162"/>
      <c r="D997" s="191"/>
      <c r="E997" s="191"/>
      <c r="F997" s="191"/>
      <c r="G997" s="191"/>
      <c r="H997" s="191"/>
      <c r="I997" s="191"/>
      <c r="J997" s="191"/>
      <c r="K997" s="191"/>
      <c r="L997" s="191"/>
      <c r="M997" s="191"/>
      <c r="N997" s="191"/>
      <c r="O997" s="191"/>
      <c r="P997" s="191"/>
      <c r="Q997" s="191"/>
      <c r="R997" s="191"/>
      <c r="S997" s="191"/>
      <c r="T997" s="191"/>
      <c r="U997" s="191"/>
      <c r="V997" s="191"/>
      <c r="W997" s="191"/>
      <c r="X997" s="191"/>
      <c r="Y997" s="191"/>
      <c r="Z997" s="191"/>
      <c r="AA997" s="191"/>
      <c r="AB997" s="191"/>
      <c r="AC997" s="190"/>
      <c r="AD997" s="190"/>
      <c r="AE997" s="190"/>
      <c r="AF997" s="190"/>
      <c r="AG997" s="190"/>
      <c r="AH997" s="190"/>
      <c r="AI997" s="190"/>
      <c r="AJ997" s="190"/>
      <c r="AK997" s="190"/>
      <c r="AL997" s="190"/>
      <c r="AM997" s="190"/>
    </row>
    <row r="998" spans="2:39">
      <c r="B998" s="162"/>
      <c r="C998" s="162"/>
      <c r="D998" s="191"/>
      <c r="E998" s="191"/>
      <c r="F998" s="191"/>
      <c r="G998" s="191"/>
      <c r="H998" s="191"/>
      <c r="I998" s="191"/>
      <c r="J998" s="191"/>
      <c r="K998" s="191"/>
      <c r="L998" s="191"/>
      <c r="M998" s="191"/>
      <c r="N998" s="191"/>
      <c r="O998" s="191"/>
      <c r="P998" s="191"/>
      <c r="Q998" s="191"/>
      <c r="R998" s="191"/>
      <c r="S998" s="191"/>
      <c r="T998" s="191"/>
      <c r="U998" s="191"/>
      <c r="V998" s="191"/>
      <c r="W998" s="191"/>
      <c r="X998" s="191"/>
      <c r="Y998" s="191"/>
      <c r="Z998" s="191"/>
      <c r="AA998" s="191"/>
      <c r="AB998" s="191"/>
      <c r="AC998" s="190"/>
      <c r="AD998" s="190"/>
      <c r="AE998" s="190"/>
      <c r="AF998" s="190"/>
      <c r="AG998" s="190"/>
      <c r="AH998" s="190"/>
      <c r="AI998" s="190"/>
      <c r="AJ998" s="190"/>
      <c r="AK998" s="190"/>
      <c r="AL998" s="190"/>
      <c r="AM998" s="190"/>
    </row>
    <row r="999" spans="2:39">
      <c r="B999" s="162"/>
      <c r="C999" s="162"/>
      <c r="D999" s="191"/>
      <c r="E999" s="191"/>
      <c r="F999" s="191"/>
      <c r="G999" s="191"/>
      <c r="H999" s="191"/>
      <c r="I999" s="191"/>
      <c r="J999" s="191"/>
      <c r="K999" s="191"/>
      <c r="L999" s="191"/>
      <c r="M999" s="191"/>
      <c r="N999" s="191"/>
      <c r="O999" s="191"/>
      <c r="P999" s="191"/>
      <c r="Q999" s="191"/>
      <c r="R999" s="191"/>
      <c r="S999" s="191"/>
      <c r="T999" s="191"/>
      <c r="U999" s="191"/>
      <c r="V999" s="191"/>
      <c r="W999" s="191"/>
      <c r="X999" s="191"/>
      <c r="Y999" s="191"/>
      <c r="Z999" s="191"/>
      <c r="AA999" s="191"/>
      <c r="AB999" s="191"/>
      <c r="AC999" s="190"/>
      <c r="AD999" s="190"/>
      <c r="AE999" s="190"/>
      <c r="AF999" s="190"/>
      <c r="AG999" s="190"/>
      <c r="AH999" s="190"/>
      <c r="AI999" s="190"/>
      <c r="AJ999" s="190"/>
      <c r="AK999" s="190"/>
      <c r="AL999" s="190"/>
      <c r="AM999" s="190"/>
    </row>
    <row r="1000" spans="2:39">
      <c r="B1000" s="162"/>
      <c r="C1000" s="162"/>
      <c r="D1000" s="191"/>
      <c r="E1000" s="191"/>
      <c r="F1000" s="191"/>
      <c r="G1000" s="191"/>
      <c r="H1000" s="191"/>
      <c r="I1000" s="191"/>
      <c r="J1000" s="191"/>
      <c r="K1000" s="191"/>
      <c r="L1000" s="191"/>
      <c r="M1000" s="191"/>
      <c r="N1000" s="191"/>
      <c r="O1000" s="191"/>
      <c r="P1000" s="191"/>
      <c r="Q1000" s="191"/>
      <c r="R1000" s="191"/>
      <c r="S1000" s="191"/>
      <c r="T1000" s="191"/>
      <c r="U1000" s="191"/>
      <c r="V1000" s="191"/>
      <c r="W1000" s="191"/>
      <c r="X1000" s="191"/>
      <c r="Y1000" s="191"/>
      <c r="Z1000" s="191"/>
      <c r="AA1000" s="191"/>
      <c r="AB1000" s="191"/>
      <c r="AC1000" s="190"/>
      <c r="AD1000" s="190"/>
      <c r="AE1000" s="190"/>
      <c r="AF1000" s="190"/>
      <c r="AG1000" s="190"/>
      <c r="AH1000" s="190"/>
      <c r="AI1000" s="190"/>
      <c r="AJ1000" s="190"/>
      <c r="AK1000" s="190"/>
      <c r="AL1000" s="190"/>
      <c r="AM1000" s="190"/>
    </row>
    <row r="1001" spans="2:39">
      <c r="B1001" s="162"/>
      <c r="C1001" s="162"/>
      <c r="D1001" s="191"/>
      <c r="E1001" s="191"/>
      <c r="F1001" s="191"/>
      <c r="G1001" s="191"/>
      <c r="H1001" s="191"/>
      <c r="I1001" s="191"/>
      <c r="J1001" s="191"/>
      <c r="K1001" s="191"/>
      <c r="L1001" s="191"/>
      <c r="M1001" s="191"/>
      <c r="N1001" s="191"/>
      <c r="O1001" s="191"/>
      <c r="P1001" s="191"/>
      <c r="Q1001" s="191"/>
      <c r="R1001" s="191"/>
      <c r="S1001" s="191"/>
      <c r="T1001" s="191"/>
      <c r="U1001" s="191"/>
      <c r="V1001" s="191"/>
      <c r="W1001" s="191"/>
      <c r="X1001" s="191"/>
      <c r="Y1001" s="191"/>
      <c r="Z1001" s="191"/>
      <c r="AA1001" s="191"/>
      <c r="AB1001" s="191"/>
      <c r="AC1001" s="190"/>
      <c r="AD1001" s="190"/>
      <c r="AE1001" s="190"/>
      <c r="AF1001" s="190"/>
      <c r="AG1001" s="190"/>
      <c r="AH1001" s="190"/>
      <c r="AI1001" s="190"/>
      <c r="AJ1001" s="190"/>
      <c r="AK1001" s="190"/>
      <c r="AL1001" s="190"/>
      <c r="AM1001" s="190"/>
    </row>
    <row r="1002" spans="2:39">
      <c r="B1002" s="162"/>
      <c r="C1002" s="162"/>
      <c r="D1002" s="191"/>
      <c r="E1002" s="191"/>
      <c r="F1002" s="191"/>
      <c r="G1002" s="191"/>
      <c r="H1002" s="191"/>
      <c r="I1002" s="191"/>
      <c r="J1002" s="191"/>
      <c r="K1002" s="191"/>
      <c r="L1002" s="191"/>
      <c r="M1002" s="191"/>
      <c r="N1002" s="191"/>
      <c r="O1002" s="191"/>
      <c r="P1002" s="191"/>
      <c r="Q1002" s="191"/>
      <c r="R1002" s="191"/>
      <c r="S1002" s="191"/>
      <c r="T1002" s="191"/>
      <c r="U1002" s="191"/>
      <c r="V1002" s="191"/>
      <c r="W1002" s="191"/>
      <c r="X1002" s="191"/>
      <c r="Y1002" s="191"/>
      <c r="Z1002" s="191"/>
      <c r="AA1002" s="191"/>
      <c r="AB1002" s="191"/>
      <c r="AC1002" s="190"/>
      <c r="AD1002" s="190"/>
      <c r="AE1002" s="190"/>
      <c r="AF1002" s="190"/>
      <c r="AG1002" s="190"/>
      <c r="AH1002" s="190"/>
      <c r="AI1002" s="190"/>
      <c r="AJ1002" s="190"/>
      <c r="AK1002" s="190"/>
      <c r="AL1002" s="190"/>
      <c r="AM1002" s="190"/>
    </row>
    <row r="1003" spans="2:39">
      <c r="B1003" s="162"/>
      <c r="C1003" s="162"/>
      <c r="D1003" s="191"/>
      <c r="E1003" s="191"/>
      <c r="F1003" s="191"/>
      <c r="G1003" s="191"/>
      <c r="H1003" s="191"/>
      <c r="I1003" s="191"/>
      <c r="J1003" s="191"/>
      <c r="K1003" s="191"/>
      <c r="L1003" s="191"/>
      <c r="M1003" s="191"/>
      <c r="N1003" s="191"/>
      <c r="O1003" s="191"/>
      <c r="P1003" s="191"/>
      <c r="Q1003" s="191"/>
      <c r="R1003" s="191"/>
      <c r="S1003" s="191"/>
      <c r="T1003" s="191"/>
      <c r="U1003" s="191"/>
      <c r="V1003" s="191"/>
      <c r="W1003" s="191"/>
      <c r="X1003" s="191"/>
      <c r="Y1003" s="191"/>
      <c r="Z1003" s="191"/>
      <c r="AA1003" s="191"/>
      <c r="AB1003" s="191"/>
      <c r="AC1003" s="190"/>
      <c r="AD1003" s="190"/>
      <c r="AE1003" s="190"/>
      <c r="AF1003" s="190"/>
      <c r="AG1003" s="190"/>
      <c r="AH1003" s="190"/>
      <c r="AI1003" s="190"/>
      <c r="AJ1003" s="190"/>
      <c r="AK1003" s="190"/>
      <c r="AL1003" s="190"/>
      <c r="AM1003" s="190"/>
    </row>
    <row r="1004" spans="2:39">
      <c r="B1004" s="162"/>
      <c r="C1004" s="162"/>
      <c r="D1004" s="191"/>
      <c r="E1004" s="191"/>
      <c r="F1004" s="191"/>
      <c r="G1004" s="191"/>
      <c r="H1004" s="191"/>
      <c r="I1004" s="191"/>
      <c r="J1004" s="191"/>
      <c r="K1004" s="191"/>
      <c r="L1004" s="191"/>
      <c r="M1004" s="191"/>
      <c r="N1004" s="191"/>
      <c r="O1004" s="191"/>
      <c r="P1004" s="191"/>
      <c r="Q1004" s="191"/>
      <c r="R1004" s="191"/>
      <c r="S1004" s="191"/>
      <c r="T1004" s="191"/>
      <c r="U1004" s="191"/>
      <c r="V1004" s="191"/>
      <c r="W1004" s="191"/>
      <c r="X1004" s="191"/>
      <c r="Y1004" s="191"/>
      <c r="Z1004" s="191"/>
      <c r="AA1004" s="191"/>
      <c r="AB1004" s="191"/>
      <c r="AC1004" s="190"/>
      <c r="AD1004" s="190"/>
      <c r="AE1004" s="190"/>
      <c r="AF1004" s="190"/>
      <c r="AG1004" s="190"/>
      <c r="AH1004" s="190"/>
      <c r="AI1004" s="190"/>
      <c r="AJ1004" s="190"/>
      <c r="AK1004" s="190"/>
      <c r="AL1004" s="190"/>
      <c r="AM1004" s="190"/>
    </row>
    <row r="1005" spans="2:39">
      <c r="B1005" s="162"/>
      <c r="C1005" s="162"/>
      <c r="D1005" s="191"/>
      <c r="E1005" s="191"/>
      <c r="F1005" s="191"/>
      <c r="G1005" s="191"/>
      <c r="H1005" s="191"/>
      <c r="I1005" s="191"/>
      <c r="J1005" s="191"/>
      <c r="K1005" s="191"/>
      <c r="L1005" s="191"/>
      <c r="M1005" s="191"/>
      <c r="N1005" s="191"/>
      <c r="O1005" s="191"/>
      <c r="P1005" s="191"/>
      <c r="Q1005" s="191"/>
      <c r="R1005" s="191"/>
      <c r="S1005" s="191"/>
      <c r="T1005" s="191"/>
      <c r="U1005" s="191"/>
      <c r="V1005" s="191"/>
      <c r="W1005" s="191"/>
      <c r="X1005" s="191"/>
      <c r="Y1005" s="191"/>
      <c r="Z1005" s="191"/>
      <c r="AA1005" s="191"/>
      <c r="AB1005" s="191"/>
      <c r="AC1005" s="190"/>
      <c r="AD1005" s="190"/>
      <c r="AE1005" s="190"/>
      <c r="AF1005" s="190"/>
      <c r="AG1005" s="190"/>
      <c r="AH1005" s="190"/>
      <c r="AI1005" s="190"/>
      <c r="AJ1005" s="190"/>
      <c r="AK1005" s="190"/>
      <c r="AL1005" s="190"/>
      <c r="AM1005" s="190"/>
    </row>
    <row r="1006" spans="2:39">
      <c r="B1006" s="162"/>
      <c r="C1006" s="162"/>
      <c r="D1006" s="191"/>
      <c r="E1006" s="191"/>
      <c r="F1006" s="191"/>
      <c r="G1006" s="191"/>
      <c r="H1006" s="191"/>
      <c r="I1006" s="191"/>
      <c r="J1006" s="191"/>
      <c r="K1006" s="191"/>
      <c r="L1006" s="191"/>
      <c r="M1006" s="191"/>
      <c r="N1006" s="191"/>
      <c r="O1006" s="191"/>
      <c r="P1006" s="191"/>
      <c r="Q1006" s="191"/>
      <c r="R1006" s="191"/>
      <c r="S1006" s="191"/>
      <c r="T1006" s="191"/>
      <c r="U1006" s="191"/>
      <c r="V1006" s="191"/>
      <c r="W1006" s="191"/>
      <c r="X1006" s="191"/>
      <c r="Y1006" s="191"/>
      <c r="Z1006" s="191"/>
      <c r="AA1006" s="191"/>
      <c r="AB1006" s="191"/>
      <c r="AC1006" s="190"/>
      <c r="AD1006" s="190"/>
      <c r="AE1006" s="190"/>
      <c r="AF1006" s="190"/>
      <c r="AG1006" s="190"/>
      <c r="AH1006" s="190"/>
      <c r="AI1006" s="190"/>
      <c r="AJ1006" s="190"/>
      <c r="AK1006" s="190"/>
      <c r="AL1006" s="190"/>
      <c r="AM1006" s="190"/>
    </row>
    <row r="1007" spans="2:39">
      <c r="B1007" s="162"/>
      <c r="C1007" s="162"/>
      <c r="D1007" s="191"/>
      <c r="E1007" s="191"/>
      <c r="F1007" s="191"/>
      <c r="G1007" s="191"/>
      <c r="H1007" s="191"/>
      <c r="I1007" s="191"/>
      <c r="J1007" s="191"/>
      <c r="K1007" s="191"/>
      <c r="L1007" s="191"/>
      <c r="M1007" s="191"/>
      <c r="N1007" s="191"/>
      <c r="O1007" s="191"/>
      <c r="P1007" s="191"/>
      <c r="Q1007" s="191"/>
      <c r="R1007" s="191"/>
      <c r="S1007" s="191"/>
      <c r="T1007" s="191"/>
      <c r="U1007" s="191"/>
      <c r="V1007" s="191"/>
      <c r="W1007" s="191"/>
      <c r="X1007" s="191"/>
      <c r="Y1007" s="191"/>
      <c r="Z1007" s="191"/>
      <c r="AA1007" s="191"/>
      <c r="AB1007" s="191"/>
      <c r="AC1007" s="190"/>
      <c r="AD1007" s="190"/>
      <c r="AE1007" s="190"/>
      <c r="AF1007" s="190"/>
      <c r="AG1007" s="190"/>
      <c r="AH1007" s="190"/>
      <c r="AI1007" s="190"/>
      <c r="AJ1007" s="190"/>
      <c r="AK1007" s="190"/>
      <c r="AL1007" s="190"/>
      <c r="AM1007" s="190"/>
    </row>
    <row r="1008" spans="2:39">
      <c r="B1008" s="162"/>
      <c r="C1008" s="162"/>
      <c r="D1008" s="191"/>
      <c r="E1008" s="191"/>
      <c r="F1008" s="191"/>
      <c r="G1008" s="191"/>
      <c r="H1008" s="191"/>
      <c r="I1008" s="191"/>
      <c r="J1008" s="191"/>
      <c r="K1008" s="191"/>
      <c r="L1008" s="191"/>
      <c r="M1008" s="191"/>
      <c r="N1008" s="191"/>
      <c r="O1008" s="191"/>
      <c r="P1008" s="191"/>
      <c r="Q1008" s="191"/>
      <c r="R1008" s="191"/>
      <c r="S1008" s="191"/>
      <c r="T1008" s="191"/>
      <c r="U1008" s="191"/>
      <c r="V1008" s="191"/>
      <c r="W1008" s="191"/>
      <c r="X1008" s="191"/>
      <c r="Y1008" s="191"/>
      <c r="Z1008" s="191"/>
      <c r="AA1008" s="191"/>
      <c r="AB1008" s="191"/>
      <c r="AC1008" s="190"/>
      <c r="AD1008" s="190"/>
      <c r="AE1008" s="190"/>
      <c r="AF1008" s="190"/>
      <c r="AG1008" s="190"/>
      <c r="AH1008" s="190"/>
      <c r="AI1008" s="190"/>
      <c r="AJ1008" s="190"/>
      <c r="AK1008" s="190"/>
      <c r="AL1008" s="190"/>
      <c r="AM1008" s="190"/>
    </row>
    <row r="1009" spans="2:39">
      <c r="B1009" s="162"/>
      <c r="C1009" s="162"/>
      <c r="D1009" s="191"/>
      <c r="E1009" s="191"/>
      <c r="F1009" s="191"/>
      <c r="G1009" s="191"/>
      <c r="H1009" s="191"/>
      <c r="I1009" s="191"/>
      <c r="J1009" s="191"/>
      <c r="K1009" s="191"/>
      <c r="L1009" s="191"/>
      <c r="M1009" s="191"/>
      <c r="N1009" s="191"/>
      <c r="O1009" s="191"/>
      <c r="P1009" s="191"/>
      <c r="Q1009" s="191"/>
      <c r="R1009" s="191"/>
      <c r="S1009" s="191"/>
      <c r="T1009" s="191"/>
      <c r="U1009" s="191"/>
      <c r="V1009" s="191"/>
      <c r="W1009" s="191"/>
      <c r="X1009" s="191"/>
      <c r="Y1009" s="191"/>
      <c r="Z1009" s="191"/>
      <c r="AA1009" s="191"/>
      <c r="AB1009" s="191"/>
      <c r="AC1009" s="190"/>
      <c r="AD1009" s="190"/>
      <c r="AE1009" s="190"/>
      <c r="AF1009" s="190"/>
      <c r="AG1009" s="190"/>
      <c r="AH1009" s="190"/>
      <c r="AI1009" s="190"/>
      <c r="AJ1009" s="190"/>
      <c r="AK1009" s="190"/>
      <c r="AL1009" s="190"/>
      <c r="AM1009" s="190"/>
    </row>
    <row r="1010" spans="2:39">
      <c r="B1010" s="162"/>
      <c r="C1010" s="162"/>
      <c r="D1010" s="191"/>
      <c r="E1010" s="191"/>
      <c r="F1010" s="191"/>
      <c r="G1010" s="191"/>
      <c r="H1010" s="191"/>
      <c r="I1010" s="191"/>
      <c r="J1010" s="191"/>
      <c r="K1010" s="191"/>
      <c r="L1010" s="191"/>
      <c r="M1010" s="191"/>
      <c r="N1010" s="191"/>
      <c r="O1010" s="191"/>
      <c r="P1010" s="191"/>
      <c r="Q1010" s="191"/>
      <c r="R1010" s="191"/>
      <c r="S1010" s="191"/>
      <c r="T1010" s="191"/>
      <c r="U1010" s="191"/>
      <c r="V1010" s="191"/>
      <c r="W1010" s="191"/>
      <c r="X1010" s="191"/>
      <c r="Y1010" s="191"/>
      <c r="Z1010" s="191"/>
      <c r="AA1010" s="191"/>
      <c r="AB1010" s="191"/>
      <c r="AC1010" s="190"/>
      <c r="AD1010" s="190"/>
      <c r="AE1010" s="190"/>
      <c r="AF1010" s="190"/>
      <c r="AG1010" s="190"/>
      <c r="AH1010" s="190"/>
      <c r="AI1010" s="190"/>
      <c r="AJ1010" s="190"/>
      <c r="AK1010" s="190"/>
      <c r="AL1010" s="190"/>
      <c r="AM1010" s="190"/>
    </row>
    <row r="1011" spans="2:39">
      <c r="B1011" s="162"/>
      <c r="C1011" s="162"/>
      <c r="D1011" s="191"/>
      <c r="E1011" s="191"/>
      <c r="F1011" s="191"/>
      <c r="G1011" s="191"/>
      <c r="H1011" s="191"/>
      <c r="I1011" s="191"/>
      <c r="J1011" s="191"/>
      <c r="K1011" s="191"/>
      <c r="L1011" s="191"/>
      <c r="M1011" s="191"/>
      <c r="N1011" s="191"/>
      <c r="O1011" s="191"/>
      <c r="P1011" s="191"/>
      <c r="Q1011" s="191"/>
      <c r="R1011" s="191"/>
      <c r="S1011" s="191"/>
      <c r="T1011" s="191"/>
      <c r="U1011" s="191"/>
      <c r="V1011" s="191"/>
      <c r="W1011" s="191"/>
      <c r="X1011" s="191"/>
      <c r="Y1011" s="191"/>
      <c r="Z1011" s="191"/>
      <c r="AA1011" s="191"/>
      <c r="AB1011" s="191"/>
      <c r="AC1011" s="190"/>
      <c r="AD1011" s="190"/>
      <c r="AE1011" s="190"/>
      <c r="AF1011" s="190"/>
      <c r="AG1011" s="190"/>
      <c r="AH1011" s="190"/>
      <c r="AI1011" s="190"/>
      <c r="AJ1011" s="190"/>
      <c r="AK1011" s="190"/>
      <c r="AL1011" s="190"/>
      <c r="AM1011" s="190"/>
    </row>
    <row r="1012" spans="2:39">
      <c r="B1012" s="162"/>
      <c r="C1012" s="162"/>
      <c r="D1012" s="191"/>
      <c r="E1012" s="191"/>
      <c r="F1012" s="191"/>
      <c r="G1012" s="191"/>
      <c r="H1012" s="191"/>
      <c r="I1012" s="191"/>
      <c r="J1012" s="191"/>
      <c r="K1012" s="191"/>
      <c r="L1012" s="191"/>
      <c r="M1012" s="191"/>
      <c r="N1012" s="191"/>
      <c r="O1012" s="191"/>
      <c r="P1012" s="191"/>
      <c r="Q1012" s="191"/>
      <c r="R1012" s="191"/>
      <c r="S1012" s="191"/>
      <c r="T1012" s="191"/>
      <c r="U1012" s="191"/>
      <c r="V1012" s="191"/>
      <c r="W1012" s="191"/>
      <c r="X1012" s="191"/>
      <c r="Y1012" s="191"/>
      <c r="Z1012" s="191"/>
      <c r="AA1012" s="191"/>
      <c r="AB1012" s="191"/>
      <c r="AC1012" s="190"/>
      <c r="AD1012" s="190"/>
      <c r="AE1012" s="190"/>
      <c r="AF1012" s="190"/>
      <c r="AG1012" s="190"/>
      <c r="AH1012" s="190"/>
      <c r="AI1012" s="190"/>
      <c r="AJ1012" s="190"/>
      <c r="AK1012" s="190"/>
      <c r="AL1012" s="190"/>
      <c r="AM1012" s="190"/>
    </row>
    <row r="1013" spans="2:39">
      <c r="B1013" s="162"/>
      <c r="C1013" s="162"/>
      <c r="D1013" s="191"/>
      <c r="E1013" s="191"/>
      <c r="F1013" s="191"/>
      <c r="G1013" s="191"/>
      <c r="H1013" s="191"/>
      <c r="I1013" s="191"/>
      <c r="J1013" s="191"/>
      <c r="K1013" s="191"/>
      <c r="L1013" s="191"/>
      <c r="M1013" s="191"/>
      <c r="N1013" s="191"/>
      <c r="O1013" s="191"/>
      <c r="P1013" s="191"/>
      <c r="Q1013" s="191"/>
      <c r="R1013" s="191"/>
      <c r="S1013" s="191"/>
      <c r="T1013" s="191"/>
      <c r="U1013" s="191"/>
      <c r="V1013" s="191"/>
      <c r="W1013" s="191"/>
      <c r="X1013" s="191"/>
      <c r="Y1013" s="191"/>
      <c r="Z1013" s="191"/>
      <c r="AA1013" s="191"/>
      <c r="AB1013" s="191"/>
      <c r="AC1013" s="190"/>
      <c r="AD1013" s="190"/>
      <c r="AE1013" s="190"/>
      <c r="AF1013" s="190"/>
      <c r="AG1013" s="190"/>
      <c r="AH1013" s="190"/>
      <c r="AI1013" s="190"/>
      <c r="AJ1013" s="190"/>
      <c r="AK1013" s="190"/>
      <c r="AL1013" s="190"/>
      <c r="AM1013" s="190"/>
    </row>
    <row r="1014" spans="2:39">
      <c r="B1014" s="162"/>
      <c r="C1014" s="162"/>
      <c r="D1014" s="191"/>
      <c r="E1014" s="191"/>
      <c r="F1014" s="191"/>
      <c r="G1014" s="191"/>
      <c r="H1014" s="191"/>
      <c r="I1014" s="191"/>
      <c r="J1014" s="191"/>
      <c r="K1014" s="191"/>
      <c r="L1014" s="191"/>
      <c r="M1014" s="191"/>
      <c r="N1014" s="191"/>
      <c r="O1014" s="191"/>
      <c r="P1014" s="191"/>
      <c r="Q1014" s="191"/>
      <c r="R1014" s="191"/>
      <c r="S1014" s="191"/>
      <c r="T1014" s="191"/>
      <c r="U1014" s="191"/>
      <c r="V1014" s="191"/>
      <c r="W1014" s="191"/>
      <c r="X1014" s="191"/>
      <c r="Y1014" s="191"/>
      <c r="Z1014" s="191"/>
      <c r="AA1014" s="191"/>
      <c r="AB1014" s="191"/>
      <c r="AC1014" s="190"/>
      <c r="AD1014" s="190"/>
      <c r="AE1014" s="190"/>
      <c r="AF1014" s="190"/>
      <c r="AG1014" s="190"/>
      <c r="AH1014" s="190"/>
      <c r="AI1014" s="190"/>
      <c r="AJ1014" s="190"/>
      <c r="AK1014" s="190"/>
      <c r="AL1014" s="190"/>
      <c r="AM1014" s="190"/>
    </row>
    <row r="1015" spans="2:39">
      <c r="B1015" s="162"/>
      <c r="C1015" s="162"/>
      <c r="D1015" s="191"/>
      <c r="E1015" s="191"/>
      <c r="F1015" s="191"/>
      <c r="G1015" s="191"/>
      <c r="H1015" s="191"/>
      <c r="I1015" s="191"/>
      <c r="J1015" s="191"/>
      <c r="K1015" s="191"/>
      <c r="L1015" s="191"/>
      <c r="M1015" s="191"/>
      <c r="N1015" s="191"/>
      <c r="O1015" s="191"/>
      <c r="P1015" s="191"/>
      <c r="Q1015" s="191"/>
      <c r="R1015" s="191"/>
      <c r="S1015" s="191"/>
      <c r="T1015" s="191"/>
      <c r="U1015" s="191"/>
      <c r="V1015" s="191"/>
      <c r="W1015" s="191"/>
      <c r="X1015" s="191"/>
      <c r="Y1015" s="191"/>
      <c r="Z1015" s="191"/>
      <c r="AA1015" s="191"/>
      <c r="AB1015" s="191"/>
      <c r="AC1015" s="190"/>
      <c r="AD1015" s="190"/>
      <c r="AE1015" s="190"/>
      <c r="AF1015" s="190"/>
      <c r="AG1015" s="190"/>
      <c r="AH1015" s="190"/>
      <c r="AI1015" s="190"/>
      <c r="AJ1015" s="190"/>
      <c r="AK1015" s="190"/>
      <c r="AL1015" s="190"/>
      <c r="AM1015" s="190"/>
    </row>
    <row r="1016" spans="2:39">
      <c r="B1016" s="162"/>
      <c r="C1016" s="162"/>
      <c r="D1016" s="191"/>
      <c r="E1016" s="191"/>
      <c r="F1016" s="191"/>
      <c r="G1016" s="191"/>
      <c r="H1016" s="191"/>
      <c r="I1016" s="191"/>
      <c r="J1016" s="191"/>
      <c r="K1016" s="191"/>
      <c r="L1016" s="191"/>
      <c r="M1016" s="191"/>
      <c r="N1016" s="191"/>
      <c r="O1016" s="191"/>
      <c r="P1016" s="191"/>
      <c r="Q1016" s="191"/>
      <c r="R1016" s="191"/>
      <c r="S1016" s="191"/>
      <c r="T1016" s="191"/>
      <c r="U1016" s="191"/>
      <c r="V1016" s="191"/>
      <c r="W1016" s="191"/>
      <c r="X1016" s="191"/>
      <c r="Y1016" s="191"/>
      <c r="Z1016" s="191"/>
      <c r="AA1016" s="191"/>
      <c r="AB1016" s="191"/>
      <c r="AC1016" s="190"/>
      <c r="AD1016" s="190"/>
      <c r="AE1016" s="190"/>
      <c r="AF1016" s="190"/>
      <c r="AG1016" s="190"/>
      <c r="AH1016" s="190"/>
      <c r="AI1016" s="190"/>
      <c r="AJ1016" s="190"/>
      <c r="AK1016" s="190"/>
      <c r="AL1016" s="190"/>
      <c r="AM1016" s="190"/>
    </row>
    <row r="1017" spans="2:39">
      <c r="B1017" s="162"/>
      <c r="C1017" s="162"/>
      <c r="D1017" s="191"/>
      <c r="E1017" s="191"/>
      <c r="F1017" s="191"/>
      <c r="G1017" s="191"/>
      <c r="H1017" s="191"/>
      <c r="I1017" s="191"/>
      <c r="J1017" s="191"/>
      <c r="K1017" s="191"/>
      <c r="L1017" s="191"/>
      <c r="M1017" s="191"/>
      <c r="N1017" s="191"/>
      <c r="O1017" s="191"/>
      <c r="P1017" s="191"/>
      <c r="Q1017" s="191"/>
      <c r="R1017" s="191"/>
      <c r="S1017" s="191"/>
      <c r="T1017" s="191"/>
      <c r="U1017" s="191"/>
      <c r="V1017" s="191"/>
      <c r="W1017" s="191"/>
      <c r="X1017" s="191"/>
      <c r="Y1017" s="191"/>
      <c r="Z1017" s="191"/>
      <c r="AA1017" s="191"/>
      <c r="AB1017" s="191"/>
      <c r="AC1017" s="190"/>
      <c r="AD1017" s="190"/>
      <c r="AE1017" s="190"/>
      <c r="AF1017" s="190"/>
      <c r="AG1017" s="190"/>
      <c r="AH1017" s="190"/>
      <c r="AI1017" s="190"/>
      <c r="AJ1017" s="190"/>
      <c r="AK1017" s="190"/>
      <c r="AL1017" s="190"/>
      <c r="AM1017" s="190"/>
    </row>
    <row r="1018" spans="2:39">
      <c r="B1018" s="162"/>
      <c r="C1018" s="162"/>
      <c r="D1018" s="191"/>
      <c r="E1018" s="191"/>
      <c r="F1018" s="191"/>
      <c r="G1018" s="191"/>
      <c r="H1018" s="191"/>
      <c r="I1018" s="191"/>
      <c r="J1018" s="191"/>
      <c r="K1018" s="191"/>
      <c r="L1018" s="191"/>
      <c r="M1018" s="191"/>
      <c r="N1018" s="191"/>
      <c r="O1018" s="191"/>
      <c r="P1018" s="191"/>
      <c r="Q1018" s="191"/>
      <c r="R1018" s="191"/>
      <c r="S1018" s="191"/>
      <c r="T1018" s="191"/>
      <c r="U1018" s="191"/>
      <c r="V1018" s="191"/>
      <c r="W1018" s="191"/>
      <c r="X1018" s="191"/>
      <c r="Y1018" s="191"/>
      <c r="Z1018" s="191"/>
      <c r="AA1018" s="191"/>
      <c r="AB1018" s="191"/>
      <c r="AC1018" s="190"/>
      <c r="AD1018" s="190"/>
      <c r="AE1018" s="190"/>
      <c r="AF1018" s="190"/>
      <c r="AG1018" s="190"/>
      <c r="AH1018" s="190"/>
      <c r="AI1018" s="190"/>
      <c r="AJ1018" s="190"/>
      <c r="AK1018" s="190"/>
      <c r="AL1018" s="190"/>
      <c r="AM1018" s="190"/>
    </row>
    <row r="1019" spans="2:39">
      <c r="B1019" s="162"/>
      <c r="C1019" s="162"/>
      <c r="D1019" s="191"/>
      <c r="E1019" s="191"/>
      <c r="F1019" s="191"/>
      <c r="G1019" s="191"/>
      <c r="H1019" s="191"/>
      <c r="I1019" s="191"/>
      <c r="J1019" s="191"/>
      <c r="K1019" s="191"/>
      <c r="L1019" s="191"/>
      <c r="M1019" s="191"/>
      <c r="N1019" s="191"/>
      <c r="O1019" s="191"/>
      <c r="P1019" s="191"/>
      <c r="Q1019" s="191"/>
      <c r="R1019" s="191"/>
      <c r="S1019" s="191"/>
      <c r="T1019" s="191"/>
      <c r="U1019" s="191"/>
      <c r="V1019" s="191"/>
      <c r="W1019" s="191"/>
      <c r="X1019" s="191"/>
      <c r="Y1019" s="191"/>
      <c r="Z1019" s="191"/>
      <c r="AA1019" s="191"/>
      <c r="AB1019" s="191"/>
      <c r="AC1019" s="190"/>
      <c r="AD1019" s="190"/>
      <c r="AE1019" s="190"/>
      <c r="AF1019" s="190"/>
      <c r="AG1019" s="190"/>
      <c r="AH1019" s="190"/>
      <c r="AI1019" s="190"/>
      <c r="AJ1019" s="190"/>
      <c r="AK1019" s="190"/>
      <c r="AL1019" s="190"/>
      <c r="AM1019" s="190"/>
    </row>
    <row r="1020" spans="2:39">
      <c r="B1020" s="162"/>
      <c r="C1020" s="162"/>
      <c r="D1020" s="191"/>
      <c r="E1020" s="191"/>
      <c r="F1020" s="191"/>
      <c r="G1020" s="191"/>
      <c r="H1020" s="191"/>
      <c r="I1020" s="191"/>
      <c r="J1020" s="191"/>
      <c r="K1020" s="191"/>
      <c r="L1020" s="191"/>
      <c r="M1020" s="191"/>
      <c r="N1020" s="191"/>
      <c r="O1020" s="191"/>
      <c r="P1020" s="191"/>
      <c r="Q1020" s="191"/>
      <c r="R1020" s="191"/>
      <c r="S1020" s="191"/>
      <c r="T1020" s="191"/>
      <c r="U1020" s="191"/>
      <c r="V1020" s="191"/>
      <c r="W1020" s="191"/>
      <c r="X1020" s="191"/>
      <c r="Y1020" s="191"/>
      <c r="Z1020" s="191"/>
      <c r="AA1020" s="191"/>
      <c r="AB1020" s="191"/>
      <c r="AC1020" s="190"/>
      <c r="AD1020" s="190"/>
      <c r="AE1020" s="190"/>
      <c r="AF1020" s="190"/>
      <c r="AG1020" s="190"/>
      <c r="AH1020" s="190"/>
      <c r="AI1020" s="190"/>
      <c r="AJ1020" s="190"/>
      <c r="AK1020" s="190"/>
      <c r="AL1020" s="190"/>
      <c r="AM1020" s="190"/>
    </row>
    <row r="1021" spans="2:39">
      <c r="B1021" s="162"/>
      <c r="C1021" s="162"/>
      <c r="D1021" s="191"/>
      <c r="E1021" s="191"/>
      <c r="F1021" s="191"/>
      <c r="G1021" s="191"/>
      <c r="H1021" s="191"/>
      <c r="I1021" s="191"/>
      <c r="J1021" s="191"/>
      <c r="K1021" s="191"/>
      <c r="L1021" s="191"/>
      <c r="M1021" s="191"/>
      <c r="N1021" s="191"/>
      <c r="O1021" s="191"/>
      <c r="P1021" s="191"/>
      <c r="Q1021" s="191"/>
      <c r="R1021" s="191"/>
      <c r="S1021" s="191"/>
      <c r="T1021" s="191"/>
      <c r="U1021" s="191"/>
      <c r="V1021" s="191"/>
      <c r="W1021" s="191"/>
      <c r="X1021" s="191"/>
      <c r="Y1021" s="191"/>
      <c r="Z1021" s="191"/>
      <c r="AA1021" s="191"/>
      <c r="AB1021" s="191"/>
      <c r="AC1021" s="190"/>
      <c r="AD1021" s="190"/>
      <c r="AE1021" s="190"/>
      <c r="AF1021" s="190"/>
      <c r="AG1021" s="190"/>
      <c r="AH1021" s="190"/>
      <c r="AI1021" s="190"/>
      <c r="AJ1021" s="190"/>
      <c r="AK1021" s="190"/>
      <c r="AL1021" s="190"/>
      <c r="AM1021" s="190"/>
    </row>
    <row r="1022" spans="2:39">
      <c r="B1022" s="162"/>
      <c r="C1022" s="162"/>
      <c r="D1022" s="191"/>
      <c r="E1022" s="191"/>
      <c r="F1022" s="191"/>
      <c r="G1022" s="191"/>
      <c r="H1022" s="191"/>
      <c r="I1022" s="191"/>
      <c r="J1022" s="191"/>
      <c r="K1022" s="191"/>
      <c r="L1022" s="191"/>
      <c r="M1022" s="191"/>
      <c r="N1022" s="191"/>
      <c r="O1022" s="191"/>
      <c r="P1022" s="191"/>
      <c r="Q1022" s="191"/>
      <c r="R1022" s="191"/>
      <c r="S1022" s="191"/>
      <c r="T1022" s="191"/>
      <c r="U1022" s="191"/>
      <c r="V1022" s="191"/>
      <c r="W1022" s="191"/>
      <c r="X1022" s="191"/>
      <c r="Y1022" s="191"/>
      <c r="Z1022" s="191"/>
      <c r="AA1022" s="191"/>
      <c r="AB1022" s="191"/>
      <c r="AC1022" s="190"/>
      <c r="AD1022" s="190"/>
      <c r="AE1022" s="190"/>
      <c r="AF1022" s="190"/>
      <c r="AG1022" s="190"/>
      <c r="AH1022" s="190"/>
      <c r="AI1022" s="190"/>
      <c r="AJ1022" s="190"/>
      <c r="AK1022" s="190"/>
      <c r="AL1022" s="190"/>
      <c r="AM1022" s="190"/>
    </row>
    <row r="1023" spans="2:39">
      <c r="B1023" s="162"/>
      <c r="C1023" s="162"/>
      <c r="D1023" s="191"/>
      <c r="E1023" s="191"/>
      <c r="F1023" s="191"/>
      <c r="G1023" s="191"/>
      <c r="H1023" s="191"/>
      <c r="I1023" s="191"/>
      <c r="J1023" s="191"/>
      <c r="K1023" s="191"/>
      <c r="L1023" s="191"/>
      <c r="M1023" s="191"/>
      <c r="N1023" s="191"/>
      <c r="O1023" s="191"/>
      <c r="P1023" s="191"/>
      <c r="Q1023" s="191"/>
      <c r="R1023" s="191"/>
      <c r="S1023" s="191"/>
      <c r="T1023" s="191"/>
      <c r="U1023" s="191"/>
      <c r="V1023" s="191"/>
      <c r="W1023" s="191"/>
      <c r="X1023" s="191"/>
      <c r="Y1023" s="191"/>
      <c r="Z1023" s="191"/>
      <c r="AA1023" s="191"/>
      <c r="AB1023" s="191"/>
      <c r="AC1023" s="190"/>
      <c r="AD1023" s="190"/>
      <c r="AE1023" s="190"/>
      <c r="AF1023" s="190"/>
      <c r="AG1023" s="190"/>
      <c r="AH1023" s="190"/>
      <c r="AI1023" s="190"/>
      <c r="AJ1023" s="190"/>
      <c r="AK1023" s="190"/>
      <c r="AL1023" s="190"/>
      <c r="AM1023" s="190"/>
    </row>
    <row r="1024" spans="2:39">
      <c r="B1024" s="162"/>
      <c r="C1024" s="162"/>
      <c r="D1024" s="191"/>
      <c r="E1024" s="191"/>
      <c r="F1024" s="191"/>
      <c r="G1024" s="191"/>
      <c r="H1024" s="191"/>
      <c r="I1024" s="191"/>
      <c r="J1024" s="191"/>
      <c r="K1024" s="191"/>
      <c r="L1024" s="191"/>
      <c r="M1024" s="191"/>
      <c r="N1024" s="191"/>
      <c r="O1024" s="191"/>
      <c r="P1024" s="191"/>
      <c r="Q1024" s="191"/>
      <c r="R1024" s="191"/>
      <c r="S1024" s="191"/>
      <c r="T1024" s="191"/>
      <c r="U1024" s="191"/>
      <c r="V1024" s="191"/>
      <c r="W1024" s="191"/>
      <c r="X1024" s="191"/>
      <c r="Y1024" s="191"/>
      <c r="Z1024" s="191"/>
      <c r="AA1024" s="191"/>
      <c r="AB1024" s="191"/>
      <c r="AC1024" s="190"/>
      <c r="AD1024" s="190"/>
      <c r="AE1024" s="190"/>
      <c r="AF1024" s="190"/>
      <c r="AG1024" s="190"/>
      <c r="AH1024" s="190"/>
      <c r="AI1024" s="190"/>
      <c r="AJ1024" s="190"/>
      <c r="AK1024" s="190"/>
      <c r="AL1024" s="190"/>
      <c r="AM1024" s="190"/>
    </row>
    <row r="1025" spans="2:39">
      <c r="B1025" s="162"/>
      <c r="C1025" s="162"/>
      <c r="D1025" s="191"/>
      <c r="E1025" s="191"/>
      <c r="F1025" s="191"/>
      <c r="G1025" s="191"/>
      <c r="H1025" s="191"/>
      <c r="I1025" s="191"/>
      <c r="J1025" s="191"/>
      <c r="K1025" s="191"/>
      <c r="L1025" s="191"/>
      <c r="M1025" s="191"/>
      <c r="N1025" s="191"/>
      <c r="O1025" s="191"/>
      <c r="P1025" s="191"/>
      <c r="Q1025" s="191"/>
      <c r="R1025" s="191"/>
      <c r="S1025" s="191"/>
      <c r="T1025" s="191"/>
      <c r="U1025" s="191"/>
      <c r="V1025" s="191"/>
      <c r="W1025" s="191"/>
      <c r="X1025" s="191"/>
      <c r="Y1025" s="191"/>
      <c r="Z1025" s="191"/>
      <c r="AA1025" s="191"/>
      <c r="AB1025" s="191"/>
      <c r="AC1025" s="190"/>
      <c r="AD1025" s="190"/>
      <c r="AE1025" s="190"/>
      <c r="AF1025" s="190"/>
      <c r="AG1025" s="190"/>
      <c r="AH1025" s="190"/>
      <c r="AI1025" s="190"/>
      <c r="AJ1025" s="190"/>
      <c r="AK1025" s="190"/>
      <c r="AL1025" s="190"/>
      <c r="AM1025" s="190"/>
    </row>
    <row r="1026" spans="2:39">
      <c r="B1026" s="162"/>
      <c r="C1026" s="162"/>
      <c r="D1026" s="191"/>
      <c r="E1026" s="191"/>
      <c r="F1026" s="191"/>
      <c r="G1026" s="191"/>
      <c r="H1026" s="191"/>
      <c r="I1026" s="191"/>
      <c r="J1026" s="191"/>
      <c r="K1026" s="191"/>
      <c r="L1026" s="191"/>
      <c r="M1026" s="191"/>
      <c r="N1026" s="191"/>
      <c r="O1026" s="191"/>
      <c r="P1026" s="191"/>
      <c r="Q1026" s="191"/>
      <c r="R1026" s="191"/>
      <c r="S1026" s="191"/>
      <c r="T1026" s="191"/>
      <c r="U1026" s="191"/>
      <c r="V1026" s="191"/>
      <c r="W1026" s="191"/>
      <c r="X1026" s="191"/>
      <c r="Y1026" s="191"/>
      <c r="Z1026" s="191"/>
      <c r="AA1026" s="191"/>
      <c r="AB1026" s="191"/>
      <c r="AC1026" s="190"/>
      <c r="AD1026" s="190"/>
      <c r="AE1026" s="190"/>
      <c r="AF1026" s="190"/>
      <c r="AG1026" s="190"/>
      <c r="AH1026" s="190"/>
      <c r="AI1026" s="190"/>
      <c r="AJ1026" s="190"/>
      <c r="AK1026" s="190"/>
      <c r="AL1026" s="190"/>
      <c r="AM1026" s="190"/>
    </row>
    <row r="1027" spans="2:39">
      <c r="B1027" s="162"/>
      <c r="C1027" s="162"/>
      <c r="D1027" s="191"/>
      <c r="E1027" s="191"/>
      <c r="F1027" s="191"/>
      <c r="G1027" s="191"/>
      <c r="H1027" s="191"/>
      <c r="I1027" s="191"/>
      <c r="J1027" s="191"/>
      <c r="K1027" s="191"/>
      <c r="L1027" s="191"/>
      <c r="M1027" s="191"/>
      <c r="N1027" s="191"/>
      <c r="O1027" s="191"/>
      <c r="P1027" s="191"/>
      <c r="Q1027" s="191"/>
      <c r="R1027" s="191"/>
      <c r="S1027" s="191"/>
      <c r="T1027" s="191"/>
      <c r="U1027" s="191"/>
      <c r="V1027" s="191"/>
      <c r="W1027" s="191"/>
      <c r="X1027" s="191"/>
      <c r="Y1027" s="191"/>
      <c r="Z1027" s="191"/>
      <c r="AA1027" s="191"/>
      <c r="AB1027" s="191"/>
      <c r="AC1027" s="190"/>
      <c r="AD1027" s="190"/>
      <c r="AE1027" s="190"/>
      <c r="AF1027" s="190"/>
      <c r="AG1027" s="190"/>
      <c r="AH1027" s="190"/>
      <c r="AI1027" s="190"/>
      <c r="AJ1027" s="190"/>
      <c r="AK1027" s="190"/>
      <c r="AL1027" s="190"/>
      <c r="AM1027" s="190"/>
    </row>
    <row r="1028" spans="2:39">
      <c r="B1028" s="162"/>
      <c r="C1028" s="162"/>
      <c r="D1028" s="191"/>
      <c r="E1028" s="191"/>
      <c r="F1028" s="191"/>
      <c r="G1028" s="191"/>
      <c r="H1028" s="191"/>
      <c r="I1028" s="191"/>
      <c r="J1028" s="191"/>
      <c r="K1028" s="191"/>
      <c r="L1028" s="191"/>
      <c r="M1028" s="191"/>
      <c r="N1028" s="191"/>
      <c r="O1028" s="191"/>
      <c r="P1028" s="191"/>
      <c r="Q1028" s="191"/>
      <c r="R1028" s="191"/>
      <c r="S1028" s="191"/>
      <c r="T1028" s="191"/>
      <c r="U1028" s="191"/>
      <c r="V1028" s="191"/>
      <c r="W1028" s="191"/>
      <c r="X1028" s="191"/>
      <c r="Y1028" s="191"/>
      <c r="Z1028" s="191"/>
      <c r="AA1028" s="191"/>
      <c r="AB1028" s="191"/>
      <c r="AC1028" s="190"/>
      <c r="AD1028" s="190"/>
      <c r="AE1028" s="190"/>
      <c r="AF1028" s="190"/>
      <c r="AG1028" s="190"/>
      <c r="AH1028" s="190"/>
      <c r="AI1028" s="190"/>
      <c r="AJ1028" s="190"/>
      <c r="AK1028" s="190"/>
      <c r="AL1028" s="190"/>
      <c r="AM1028" s="190"/>
    </row>
    <row r="1029" spans="2:39">
      <c r="B1029" s="162"/>
      <c r="C1029" s="162"/>
      <c r="D1029" s="191"/>
      <c r="E1029" s="191"/>
      <c r="F1029" s="191"/>
      <c r="G1029" s="191"/>
      <c r="H1029" s="191"/>
      <c r="I1029" s="191"/>
      <c r="J1029" s="191"/>
      <c r="K1029" s="191"/>
      <c r="L1029" s="191"/>
      <c r="M1029" s="191"/>
      <c r="N1029" s="191"/>
      <c r="O1029" s="191"/>
      <c r="P1029" s="191"/>
      <c r="Q1029" s="191"/>
      <c r="R1029" s="191"/>
      <c r="S1029" s="191"/>
      <c r="T1029" s="191"/>
      <c r="U1029" s="191"/>
      <c r="V1029" s="191"/>
      <c r="W1029" s="191"/>
      <c r="X1029" s="191"/>
      <c r="Y1029" s="191"/>
      <c r="Z1029" s="191"/>
      <c r="AA1029" s="191"/>
      <c r="AB1029" s="191"/>
      <c r="AC1029" s="190"/>
      <c r="AD1029" s="190"/>
      <c r="AE1029" s="190"/>
      <c r="AF1029" s="190"/>
      <c r="AG1029" s="190"/>
      <c r="AH1029" s="190"/>
      <c r="AI1029" s="190"/>
      <c r="AJ1029" s="190"/>
      <c r="AK1029" s="190"/>
      <c r="AL1029" s="190"/>
      <c r="AM1029" s="190"/>
    </row>
    <row r="1030" spans="2:39">
      <c r="B1030" s="162"/>
      <c r="C1030" s="162"/>
      <c r="D1030" s="191"/>
      <c r="E1030" s="191"/>
      <c r="F1030" s="191"/>
      <c r="G1030" s="191"/>
      <c r="H1030" s="191"/>
      <c r="I1030" s="191"/>
      <c r="J1030" s="191"/>
      <c r="K1030" s="191"/>
      <c r="L1030" s="191"/>
      <c r="M1030" s="191"/>
      <c r="N1030" s="191"/>
      <c r="O1030" s="191"/>
      <c r="P1030" s="191"/>
      <c r="Q1030" s="191"/>
      <c r="R1030" s="191"/>
      <c r="S1030" s="191"/>
      <c r="T1030" s="191"/>
      <c r="U1030" s="191"/>
      <c r="V1030" s="191"/>
      <c r="W1030" s="191"/>
      <c r="X1030" s="191"/>
      <c r="Y1030" s="191"/>
      <c r="Z1030" s="191"/>
      <c r="AA1030" s="191"/>
      <c r="AB1030" s="191"/>
      <c r="AC1030" s="190"/>
      <c r="AD1030" s="190"/>
      <c r="AE1030" s="190"/>
      <c r="AF1030" s="190"/>
      <c r="AG1030" s="190"/>
      <c r="AH1030" s="190"/>
      <c r="AI1030" s="190"/>
      <c r="AJ1030" s="190"/>
      <c r="AK1030" s="190"/>
      <c r="AL1030" s="190"/>
      <c r="AM1030" s="190"/>
    </row>
    <row r="1031" spans="2:39">
      <c r="B1031" s="162"/>
      <c r="C1031" s="162"/>
      <c r="D1031" s="191"/>
      <c r="E1031" s="191"/>
      <c r="F1031" s="191"/>
      <c r="G1031" s="191"/>
      <c r="H1031" s="191"/>
      <c r="I1031" s="191"/>
      <c r="J1031" s="191"/>
      <c r="K1031" s="191"/>
      <c r="L1031" s="191"/>
      <c r="M1031" s="191"/>
      <c r="N1031" s="191"/>
      <c r="O1031" s="191"/>
      <c r="P1031" s="191"/>
      <c r="Q1031" s="191"/>
      <c r="R1031" s="191"/>
      <c r="S1031" s="191"/>
      <c r="T1031" s="191"/>
      <c r="U1031" s="191"/>
      <c r="V1031" s="191"/>
      <c r="W1031" s="191"/>
      <c r="X1031" s="191"/>
      <c r="Y1031" s="191"/>
      <c r="Z1031" s="191"/>
      <c r="AA1031" s="191"/>
      <c r="AB1031" s="191"/>
      <c r="AC1031" s="190"/>
      <c r="AD1031" s="190"/>
      <c r="AE1031" s="190"/>
      <c r="AF1031" s="190"/>
      <c r="AG1031" s="190"/>
      <c r="AH1031" s="190"/>
      <c r="AI1031" s="190"/>
      <c r="AJ1031" s="190"/>
      <c r="AK1031" s="190"/>
      <c r="AL1031" s="190"/>
      <c r="AM1031" s="190"/>
    </row>
    <row r="1032" spans="2:39">
      <c r="B1032" s="162"/>
      <c r="C1032" s="162"/>
      <c r="D1032" s="191"/>
      <c r="E1032" s="191"/>
      <c r="F1032" s="191"/>
      <c r="G1032" s="191"/>
      <c r="H1032" s="191"/>
      <c r="I1032" s="191"/>
      <c r="J1032" s="191"/>
      <c r="K1032" s="191"/>
      <c r="L1032" s="191"/>
      <c r="M1032" s="191"/>
      <c r="N1032" s="191"/>
      <c r="O1032" s="191"/>
      <c r="P1032" s="191"/>
      <c r="Q1032" s="191"/>
      <c r="R1032" s="191"/>
      <c r="S1032" s="191"/>
      <c r="T1032" s="191"/>
      <c r="U1032" s="191"/>
      <c r="V1032" s="191"/>
      <c r="W1032" s="191"/>
      <c r="X1032" s="191"/>
      <c r="Y1032" s="191"/>
      <c r="Z1032" s="191"/>
      <c r="AA1032" s="191"/>
      <c r="AB1032" s="191"/>
      <c r="AC1032" s="190"/>
      <c r="AD1032" s="190"/>
      <c r="AE1032" s="190"/>
      <c r="AF1032" s="190"/>
      <c r="AG1032" s="190"/>
      <c r="AH1032" s="190"/>
      <c r="AI1032" s="190"/>
      <c r="AJ1032" s="190"/>
      <c r="AK1032" s="190"/>
      <c r="AL1032" s="190"/>
      <c r="AM1032" s="190"/>
    </row>
    <row r="1033" spans="2:39">
      <c r="B1033" s="162"/>
      <c r="C1033" s="162"/>
      <c r="D1033" s="191"/>
      <c r="E1033" s="191"/>
      <c r="F1033" s="191"/>
      <c r="G1033" s="191"/>
      <c r="H1033" s="191"/>
      <c r="I1033" s="191"/>
      <c r="J1033" s="191"/>
      <c r="K1033" s="191"/>
      <c r="L1033" s="191"/>
      <c r="M1033" s="191"/>
      <c r="N1033" s="191"/>
      <c r="O1033" s="191"/>
      <c r="P1033" s="191"/>
      <c r="Q1033" s="191"/>
      <c r="R1033" s="191"/>
      <c r="S1033" s="191"/>
      <c r="T1033" s="191"/>
      <c r="U1033" s="191"/>
      <c r="V1033" s="191"/>
      <c r="W1033" s="191"/>
      <c r="X1033" s="191"/>
      <c r="Y1033" s="191"/>
      <c r="Z1033" s="191"/>
      <c r="AA1033" s="191"/>
      <c r="AB1033" s="191"/>
      <c r="AC1033" s="190"/>
      <c r="AD1033" s="190"/>
      <c r="AE1033" s="190"/>
      <c r="AF1033" s="190"/>
      <c r="AG1033" s="190"/>
      <c r="AH1033" s="190"/>
      <c r="AI1033" s="190"/>
      <c r="AJ1033" s="190"/>
      <c r="AK1033" s="190"/>
      <c r="AL1033" s="190"/>
      <c r="AM1033" s="190"/>
    </row>
    <row r="1034" spans="2:39">
      <c r="B1034" s="162"/>
      <c r="C1034" s="162"/>
      <c r="D1034" s="191"/>
      <c r="E1034" s="191"/>
      <c r="F1034" s="191"/>
      <c r="G1034" s="191"/>
      <c r="H1034" s="191"/>
      <c r="I1034" s="191"/>
      <c r="J1034" s="191"/>
      <c r="K1034" s="191"/>
      <c r="L1034" s="191"/>
      <c r="M1034" s="191"/>
      <c r="N1034" s="191"/>
      <c r="O1034" s="191"/>
      <c r="P1034" s="191"/>
      <c r="Q1034" s="191"/>
      <c r="R1034" s="191"/>
      <c r="S1034" s="191"/>
      <c r="T1034" s="191"/>
      <c r="U1034" s="191"/>
      <c r="V1034" s="191"/>
      <c r="W1034" s="191"/>
      <c r="X1034" s="191"/>
      <c r="Y1034" s="191"/>
      <c r="Z1034" s="191"/>
      <c r="AA1034" s="191"/>
      <c r="AB1034" s="191"/>
      <c r="AC1034" s="190"/>
      <c r="AD1034" s="190"/>
      <c r="AE1034" s="190"/>
      <c r="AF1034" s="190"/>
      <c r="AG1034" s="190"/>
      <c r="AH1034" s="190"/>
      <c r="AI1034" s="190"/>
      <c r="AJ1034" s="190"/>
      <c r="AK1034" s="190"/>
      <c r="AL1034" s="190"/>
      <c r="AM1034" s="190"/>
    </row>
    <row r="1035" spans="2:39">
      <c r="B1035" s="162"/>
      <c r="C1035" s="162"/>
      <c r="D1035" s="191"/>
      <c r="E1035" s="191"/>
      <c r="F1035" s="191"/>
      <c r="G1035" s="191"/>
      <c r="H1035" s="191"/>
      <c r="I1035" s="191"/>
      <c r="J1035" s="191"/>
      <c r="K1035" s="191"/>
      <c r="L1035" s="191"/>
      <c r="M1035" s="191"/>
      <c r="N1035" s="191"/>
      <c r="O1035" s="191"/>
      <c r="P1035" s="191"/>
      <c r="Q1035" s="191"/>
      <c r="R1035" s="191"/>
      <c r="S1035" s="191"/>
      <c r="T1035" s="191"/>
      <c r="U1035" s="191"/>
      <c r="V1035" s="191"/>
      <c r="W1035" s="191"/>
      <c r="X1035" s="191"/>
      <c r="Y1035" s="191"/>
      <c r="Z1035" s="191"/>
      <c r="AA1035" s="191"/>
      <c r="AB1035" s="191"/>
      <c r="AC1035" s="190"/>
      <c r="AD1035" s="190"/>
      <c r="AE1035" s="190"/>
      <c r="AF1035" s="190"/>
      <c r="AG1035" s="190"/>
      <c r="AH1035" s="190"/>
      <c r="AI1035" s="190"/>
      <c r="AJ1035" s="190"/>
      <c r="AK1035" s="190"/>
      <c r="AL1035" s="190"/>
      <c r="AM1035" s="190"/>
    </row>
    <row r="1036" spans="2:39">
      <c r="B1036" s="162"/>
      <c r="C1036" s="162"/>
      <c r="D1036" s="191"/>
      <c r="E1036" s="191"/>
      <c r="F1036" s="191"/>
      <c r="G1036" s="191"/>
      <c r="H1036" s="191"/>
      <c r="I1036" s="191"/>
      <c r="J1036" s="191"/>
      <c r="K1036" s="191"/>
      <c r="L1036" s="191"/>
      <c r="M1036" s="191"/>
      <c r="N1036" s="191"/>
      <c r="O1036" s="191"/>
      <c r="P1036" s="191"/>
      <c r="Q1036" s="191"/>
      <c r="R1036" s="191"/>
      <c r="S1036" s="191"/>
      <c r="T1036" s="191"/>
      <c r="U1036" s="191"/>
      <c r="V1036" s="191"/>
      <c r="W1036" s="191"/>
      <c r="X1036" s="191"/>
      <c r="Y1036" s="191"/>
      <c r="Z1036" s="191"/>
      <c r="AA1036" s="191"/>
      <c r="AB1036" s="191"/>
      <c r="AC1036" s="190"/>
      <c r="AD1036" s="190"/>
      <c r="AE1036" s="190"/>
      <c r="AF1036" s="190"/>
      <c r="AG1036" s="190"/>
      <c r="AH1036" s="190"/>
      <c r="AI1036" s="190"/>
      <c r="AJ1036" s="190"/>
      <c r="AK1036" s="190"/>
      <c r="AL1036" s="190"/>
      <c r="AM1036" s="190"/>
    </row>
    <row r="1037" spans="2:39">
      <c r="B1037" s="162"/>
      <c r="C1037" s="162"/>
      <c r="D1037" s="191"/>
      <c r="E1037" s="191"/>
      <c r="F1037" s="191"/>
      <c r="G1037" s="191"/>
      <c r="H1037" s="191"/>
      <c r="I1037" s="191"/>
      <c r="J1037" s="191"/>
      <c r="K1037" s="191"/>
      <c r="L1037" s="191"/>
      <c r="M1037" s="191"/>
      <c r="N1037" s="191"/>
      <c r="O1037" s="191"/>
      <c r="P1037" s="191"/>
      <c r="Q1037" s="191"/>
      <c r="R1037" s="191"/>
      <c r="S1037" s="191"/>
      <c r="T1037" s="191"/>
      <c r="U1037" s="191"/>
      <c r="V1037" s="191"/>
      <c r="W1037" s="191"/>
      <c r="X1037" s="191"/>
      <c r="Y1037" s="191"/>
      <c r="Z1037" s="191"/>
      <c r="AA1037" s="191"/>
      <c r="AB1037" s="191"/>
      <c r="AC1037" s="190"/>
      <c r="AD1037" s="190"/>
      <c r="AE1037" s="190"/>
      <c r="AF1037" s="190"/>
      <c r="AG1037" s="190"/>
      <c r="AH1037" s="190"/>
      <c r="AI1037" s="190"/>
      <c r="AJ1037" s="190"/>
      <c r="AK1037" s="190"/>
      <c r="AL1037" s="190"/>
      <c r="AM1037" s="190"/>
    </row>
    <row r="1038" spans="2:39">
      <c r="B1038" s="162"/>
      <c r="C1038" s="162"/>
      <c r="D1038" s="191"/>
      <c r="E1038" s="191"/>
      <c r="F1038" s="191"/>
      <c r="G1038" s="191"/>
      <c r="H1038" s="191"/>
      <c r="I1038" s="191"/>
      <c r="J1038" s="191"/>
      <c r="K1038" s="191"/>
      <c r="L1038" s="191"/>
      <c r="M1038" s="191"/>
      <c r="N1038" s="191"/>
      <c r="O1038" s="191"/>
      <c r="P1038" s="191"/>
      <c r="Q1038" s="191"/>
      <c r="R1038" s="191"/>
      <c r="S1038" s="191"/>
      <c r="T1038" s="191"/>
      <c r="U1038" s="191"/>
      <c r="V1038" s="191"/>
      <c r="W1038" s="191"/>
      <c r="X1038" s="191"/>
      <c r="Y1038" s="191"/>
      <c r="Z1038" s="191"/>
      <c r="AA1038" s="191"/>
      <c r="AB1038" s="191"/>
      <c r="AC1038" s="190"/>
      <c r="AD1038" s="190"/>
      <c r="AE1038" s="190"/>
      <c r="AF1038" s="190"/>
      <c r="AG1038" s="190"/>
      <c r="AH1038" s="190"/>
      <c r="AI1038" s="190"/>
      <c r="AJ1038" s="190"/>
      <c r="AK1038" s="190"/>
      <c r="AL1038" s="190"/>
      <c r="AM1038" s="190"/>
    </row>
    <row r="1039" spans="2:39">
      <c r="B1039" s="162"/>
      <c r="C1039" s="162"/>
      <c r="D1039" s="191"/>
      <c r="E1039" s="191"/>
      <c r="F1039" s="191"/>
      <c r="G1039" s="191"/>
      <c r="H1039" s="191"/>
      <c r="I1039" s="191"/>
      <c r="J1039" s="191"/>
      <c r="K1039" s="191"/>
      <c r="L1039" s="191"/>
      <c r="M1039" s="191"/>
      <c r="N1039" s="191"/>
      <c r="O1039" s="191"/>
      <c r="P1039" s="191"/>
      <c r="Q1039" s="191"/>
      <c r="R1039" s="191"/>
      <c r="S1039" s="191"/>
      <c r="T1039" s="191"/>
      <c r="U1039" s="191"/>
      <c r="V1039" s="191"/>
      <c r="W1039" s="191"/>
      <c r="X1039" s="191"/>
      <c r="Y1039" s="191"/>
      <c r="Z1039" s="191"/>
      <c r="AA1039" s="191"/>
      <c r="AB1039" s="191"/>
      <c r="AC1039" s="190"/>
      <c r="AD1039" s="190"/>
      <c r="AE1039" s="190"/>
      <c r="AF1039" s="190"/>
      <c r="AG1039" s="190"/>
      <c r="AH1039" s="190"/>
      <c r="AI1039" s="190"/>
      <c r="AJ1039" s="190"/>
      <c r="AK1039" s="190"/>
      <c r="AL1039" s="190"/>
      <c r="AM1039" s="190"/>
    </row>
    <row r="1040" spans="2:39">
      <c r="B1040" s="162"/>
      <c r="C1040" s="162"/>
      <c r="D1040" s="191"/>
      <c r="E1040" s="191"/>
      <c r="F1040" s="191"/>
      <c r="G1040" s="191"/>
      <c r="H1040" s="191"/>
      <c r="I1040" s="191"/>
      <c r="J1040" s="191"/>
      <c r="K1040" s="191"/>
      <c r="L1040" s="191"/>
      <c r="M1040" s="191"/>
      <c r="N1040" s="191"/>
      <c r="O1040" s="191"/>
      <c r="P1040" s="191"/>
      <c r="Q1040" s="191"/>
      <c r="R1040" s="191"/>
      <c r="S1040" s="191"/>
      <c r="T1040" s="191"/>
      <c r="U1040" s="191"/>
      <c r="V1040" s="191"/>
      <c r="W1040" s="191"/>
      <c r="X1040" s="191"/>
      <c r="Y1040" s="191"/>
      <c r="Z1040" s="191"/>
      <c r="AA1040" s="191"/>
      <c r="AB1040" s="191"/>
      <c r="AC1040" s="190"/>
      <c r="AD1040" s="190"/>
      <c r="AE1040" s="190"/>
      <c r="AF1040" s="190"/>
      <c r="AG1040" s="190"/>
      <c r="AH1040" s="190"/>
      <c r="AI1040" s="190"/>
      <c r="AJ1040" s="190"/>
      <c r="AK1040" s="190"/>
      <c r="AL1040" s="190"/>
      <c r="AM1040" s="190"/>
    </row>
    <row r="1041" spans="2:39">
      <c r="B1041" s="162"/>
      <c r="C1041" s="162"/>
      <c r="D1041" s="191"/>
      <c r="E1041" s="191"/>
      <c r="F1041" s="191"/>
      <c r="G1041" s="191"/>
      <c r="H1041" s="191"/>
      <c r="I1041" s="191"/>
      <c r="J1041" s="191"/>
      <c r="K1041" s="191"/>
      <c r="L1041" s="191"/>
      <c r="M1041" s="191"/>
      <c r="N1041" s="191"/>
      <c r="O1041" s="191"/>
      <c r="P1041" s="191"/>
      <c r="Q1041" s="191"/>
      <c r="R1041" s="191"/>
      <c r="S1041" s="191"/>
      <c r="T1041" s="191"/>
      <c r="U1041" s="191"/>
      <c r="V1041" s="191"/>
      <c r="W1041" s="191"/>
      <c r="X1041" s="191"/>
      <c r="Y1041" s="191"/>
      <c r="Z1041" s="191"/>
      <c r="AA1041" s="191"/>
      <c r="AB1041" s="191"/>
      <c r="AC1041" s="190"/>
      <c r="AD1041" s="190"/>
      <c r="AE1041" s="190"/>
      <c r="AF1041" s="190"/>
      <c r="AG1041" s="190"/>
      <c r="AH1041" s="190"/>
      <c r="AI1041" s="190"/>
      <c r="AJ1041" s="190"/>
      <c r="AK1041" s="190"/>
      <c r="AL1041" s="190"/>
      <c r="AM1041" s="190"/>
    </row>
    <row r="1042" spans="2:39">
      <c r="B1042" s="162"/>
      <c r="C1042" s="162"/>
      <c r="D1042" s="191"/>
      <c r="E1042" s="191"/>
      <c r="F1042" s="191"/>
      <c r="G1042" s="191"/>
      <c r="H1042" s="191"/>
      <c r="I1042" s="191"/>
      <c r="J1042" s="191"/>
      <c r="K1042" s="191"/>
      <c r="L1042" s="191"/>
      <c r="M1042" s="191"/>
      <c r="N1042" s="191"/>
      <c r="O1042" s="191"/>
      <c r="P1042" s="191"/>
      <c r="Q1042" s="191"/>
      <c r="R1042" s="191"/>
      <c r="S1042" s="191"/>
      <c r="T1042" s="191"/>
      <c r="U1042" s="191"/>
      <c r="V1042" s="191"/>
      <c r="W1042" s="191"/>
      <c r="X1042" s="191"/>
      <c r="Y1042" s="191"/>
      <c r="Z1042" s="191"/>
      <c r="AA1042" s="191"/>
      <c r="AB1042" s="191"/>
      <c r="AC1042" s="190"/>
      <c r="AD1042" s="190"/>
      <c r="AE1042" s="190"/>
      <c r="AF1042" s="190"/>
      <c r="AG1042" s="190"/>
      <c r="AH1042" s="190"/>
      <c r="AI1042" s="190"/>
      <c r="AJ1042" s="190"/>
      <c r="AK1042" s="190"/>
      <c r="AL1042" s="190"/>
      <c r="AM1042" s="190"/>
    </row>
    <row r="1043" spans="2:39">
      <c r="B1043" s="162"/>
      <c r="C1043" s="162"/>
      <c r="D1043" s="191"/>
      <c r="E1043" s="191"/>
      <c r="F1043" s="191"/>
      <c r="G1043" s="191"/>
      <c r="H1043" s="191"/>
      <c r="I1043" s="191"/>
      <c r="J1043" s="191"/>
      <c r="K1043" s="191"/>
      <c r="L1043" s="191"/>
      <c r="M1043" s="191"/>
      <c r="N1043" s="191"/>
      <c r="O1043" s="191"/>
      <c r="P1043" s="191"/>
      <c r="Q1043" s="191"/>
      <c r="R1043" s="191"/>
      <c r="S1043" s="191"/>
      <c r="T1043" s="191"/>
      <c r="U1043" s="191"/>
      <c r="V1043" s="191"/>
      <c r="W1043" s="191"/>
      <c r="X1043" s="191"/>
      <c r="Y1043" s="191"/>
      <c r="Z1043" s="191"/>
      <c r="AA1043" s="191"/>
      <c r="AB1043" s="191"/>
      <c r="AC1043" s="190"/>
      <c r="AD1043" s="190"/>
      <c r="AE1043" s="190"/>
      <c r="AF1043" s="190"/>
      <c r="AG1043" s="190"/>
      <c r="AH1043" s="190"/>
      <c r="AI1043" s="190"/>
      <c r="AJ1043" s="190"/>
      <c r="AK1043" s="190"/>
      <c r="AL1043" s="190"/>
      <c r="AM1043" s="190"/>
    </row>
    <row r="1044" spans="2:39">
      <c r="B1044" s="162"/>
      <c r="C1044" s="162"/>
      <c r="D1044" s="191"/>
      <c r="E1044" s="191"/>
      <c r="F1044" s="191"/>
      <c r="G1044" s="191"/>
      <c r="H1044" s="191"/>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0"/>
      <c r="AD1044" s="190"/>
      <c r="AE1044" s="190"/>
      <c r="AF1044" s="190"/>
      <c r="AG1044" s="190"/>
      <c r="AH1044" s="190"/>
      <c r="AI1044" s="190"/>
      <c r="AJ1044" s="190"/>
      <c r="AK1044" s="190"/>
      <c r="AL1044" s="190"/>
      <c r="AM1044" s="190"/>
    </row>
    <row r="1045" spans="2:39">
      <c r="B1045" s="162"/>
      <c r="C1045" s="162"/>
      <c r="D1045" s="191"/>
      <c r="E1045" s="191"/>
      <c r="F1045" s="191"/>
      <c r="G1045" s="191"/>
      <c r="H1045" s="191"/>
      <c r="I1045" s="191"/>
      <c r="J1045" s="191"/>
      <c r="K1045" s="191"/>
      <c r="L1045" s="191"/>
      <c r="M1045" s="191"/>
      <c r="N1045" s="191"/>
      <c r="O1045" s="191"/>
      <c r="P1045" s="191"/>
      <c r="Q1045" s="191"/>
      <c r="R1045" s="191"/>
      <c r="S1045" s="191"/>
      <c r="T1045" s="191"/>
      <c r="U1045" s="191"/>
      <c r="V1045" s="191"/>
      <c r="W1045" s="191"/>
      <c r="X1045" s="191"/>
      <c r="Y1045" s="191"/>
      <c r="Z1045" s="191"/>
      <c r="AA1045" s="191"/>
      <c r="AB1045" s="191"/>
      <c r="AC1045" s="190"/>
      <c r="AD1045" s="190"/>
      <c r="AE1045" s="190"/>
      <c r="AF1045" s="190"/>
      <c r="AG1045" s="190"/>
      <c r="AH1045" s="190"/>
      <c r="AI1045" s="190"/>
      <c r="AJ1045" s="190"/>
      <c r="AK1045" s="190"/>
      <c r="AL1045" s="190"/>
      <c r="AM1045" s="190"/>
    </row>
    <row r="1046" spans="2:39">
      <c r="B1046" s="162"/>
      <c r="C1046" s="162"/>
      <c r="D1046" s="191"/>
      <c r="E1046" s="191"/>
      <c r="F1046" s="191"/>
      <c r="G1046" s="191"/>
      <c r="H1046" s="191"/>
      <c r="I1046" s="191"/>
      <c r="J1046" s="191"/>
      <c r="K1046" s="191"/>
      <c r="L1046" s="191"/>
      <c r="M1046" s="191"/>
      <c r="N1046" s="191"/>
      <c r="O1046" s="191"/>
      <c r="P1046" s="191"/>
      <c r="Q1046" s="191"/>
      <c r="R1046" s="191"/>
      <c r="S1046" s="191"/>
      <c r="T1046" s="191"/>
      <c r="U1046" s="191"/>
      <c r="V1046" s="191"/>
      <c r="W1046" s="191"/>
      <c r="X1046" s="191"/>
      <c r="Y1046" s="191"/>
      <c r="Z1046" s="191"/>
      <c r="AA1046" s="191"/>
      <c r="AB1046" s="191"/>
      <c r="AC1046" s="190"/>
      <c r="AD1046" s="190"/>
      <c r="AE1046" s="190"/>
      <c r="AF1046" s="190"/>
      <c r="AG1046" s="190"/>
      <c r="AH1046" s="190"/>
      <c r="AI1046" s="190"/>
      <c r="AJ1046" s="190"/>
      <c r="AK1046" s="190"/>
      <c r="AL1046" s="190"/>
      <c r="AM1046" s="190"/>
    </row>
    <row r="1047" spans="2:39">
      <c r="B1047" s="162"/>
      <c r="C1047" s="162"/>
      <c r="D1047" s="191"/>
      <c r="E1047" s="191"/>
      <c r="F1047" s="191"/>
      <c r="G1047" s="191"/>
      <c r="H1047" s="191"/>
      <c r="I1047" s="191"/>
      <c r="J1047" s="191"/>
      <c r="K1047" s="191"/>
      <c r="L1047" s="191"/>
      <c r="M1047" s="191"/>
      <c r="N1047" s="191"/>
      <c r="O1047" s="191"/>
      <c r="P1047" s="191"/>
      <c r="Q1047" s="191"/>
      <c r="R1047" s="191"/>
      <c r="S1047" s="191"/>
      <c r="T1047" s="191"/>
      <c r="U1047" s="191"/>
      <c r="V1047" s="191"/>
      <c r="W1047" s="191"/>
      <c r="X1047" s="191"/>
      <c r="Y1047" s="191"/>
      <c r="Z1047" s="191"/>
      <c r="AA1047" s="191"/>
      <c r="AB1047" s="191"/>
      <c r="AC1047" s="190"/>
      <c r="AD1047" s="190"/>
      <c r="AE1047" s="190"/>
      <c r="AF1047" s="190"/>
      <c r="AG1047" s="190"/>
      <c r="AH1047" s="190"/>
      <c r="AI1047" s="190"/>
      <c r="AJ1047" s="190"/>
      <c r="AK1047" s="190"/>
      <c r="AL1047" s="190"/>
      <c r="AM1047" s="190"/>
    </row>
    <row r="1048" spans="2:39">
      <c r="B1048" s="162"/>
      <c r="C1048" s="162"/>
      <c r="D1048" s="191"/>
      <c r="E1048" s="191"/>
      <c r="F1048" s="191"/>
      <c r="G1048" s="191"/>
      <c r="H1048" s="191"/>
      <c r="I1048" s="191"/>
      <c r="J1048" s="191"/>
      <c r="K1048" s="191"/>
      <c r="L1048" s="191"/>
      <c r="M1048" s="191"/>
      <c r="N1048" s="191"/>
      <c r="O1048" s="191"/>
      <c r="P1048" s="191"/>
      <c r="Q1048" s="191"/>
      <c r="R1048" s="191"/>
      <c r="S1048" s="191"/>
      <c r="T1048" s="191"/>
      <c r="U1048" s="191"/>
      <c r="V1048" s="191"/>
      <c r="W1048" s="191"/>
      <c r="X1048" s="191"/>
      <c r="Y1048" s="191"/>
      <c r="Z1048" s="191"/>
      <c r="AA1048" s="191"/>
      <c r="AB1048" s="191"/>
      <c r="AC1048" s="190"/>
      <c r="AD1048" s="190"/>
      <c r="AE1048" s="190"/>
      <c r="AF1048" s="190"/>
      <c r="AG1048" s="190"/>
      <c r="AH1048" s="190"/>
      <c r="AI1048" s="190"/>
      <c r="AJ1048" s="190"/>
      <c r="AK1048" s="190"/>
      <c r="AL1048" s="190"/>
      <c r="AM1048" s="190"/>
    </row>
    <row r="1049" spans="2:39">
      <c r="B1049" s="162"/>
      <c r="C1049" s="162"/>
      <c r="D1049" s="191"/>
      <c r="E1049" s="191"/>
      <c r="F1049" s="191"/>
      <c r="G1049" s="191"/>
      <c r="H1049" s="191"/>
      <c r="I1049" s="191"/>
      <c r="J1049" s="191"/>
      <c r="K1049" s="191"/>
      <c r="L1049" s="191"/>
      <c r="M1049" s="191"/>
      <c r="N1049" s="191"/>
      <c r="O1049" s="191"/>
      <c r="P1049" s="191"/>
      <c r="Q1049" s="191"/>
      <c r="R1049" s="191"/>
      <c r="S1049" s="191"/>
      <c r="T1049" s="191"/>
      <c r="U1049" s="191"/>
      <c r="V1049" s="191"/>
      <c r="W1049" s="191"/>
      <c r="X1049" s="191"/>
      <c r="Y1049" s="191"/>
      <c r="Z1049" s="191"/>
      <c r="AA1049" s="191"/>
      <c r="AB1049" s="191"/>
      <c r="AC1049" s="190"/>
      <c r="AD1049" s="190"/>
      <c r="AE1049" s="190"/>
      <c r="AF1049" s="190"/>
      <c r="AG1049" s="190"/>
      <c r="AH1049" s="190"/>
      <c r="AI1049" s="190"/>
      <c r="AJ1049" s="190"/>
      <c r="AK1049" s="190"/>
      <c r="AL1049" s="190"/>
      <c r="AM1049" s="190"/>
    </row>
    <row r="1050" spans="2:39">
      <c r="B1050" s="162"/>
      <c r="C1050" s="162"/>
      <c r="D1050" s="191"/>
      <c r="E1050" s="191"/>
      <c r="F1050" s="191"/>
      <c r="G1050" s="191"/>
      <c r="H1050" s="191"/>
      <c r="I1050" s="191"/>
      <c r="J1050" s="191"/>
      <c r="K1050" s="191"/>
      <c r="L1050" s="191"/>
      <c r="M1050" s="191"/>
      <c r="N1050" s="191"/>
      <c r="O1050" s="191"/>
      <c r="P1050" s="191"/>
      <c r="Q1050" s="191"/>
      <c r="R1050" s="191"/>
      <c r="S1050" s="191"/>
      <c r="T1050" s="191"/>
      <c r="U1050" s="191"/>
      <c r="V1050" s="191"/>
      <c r="W1050" s="191"/>
      <c r="X1050" s="191"/>
      <c r="Y1050" s="191"/>
      <c r="Z1050" s="191"/>
      <c r="AA1050" s="191"/>
      <c r="AB1050" s="191"/>
      <c r="AC1050" s="190"/>
      <c r="AD1050" s="190"/>
      <c r="AE1050" s="190"/>
      <c r="AF1050" s="190"/>
      <c r="AG1050" s="190"/>
      <c r="AH1050" s="190"/>
      <c r="AI1050" s="190"/>
      <c r="AJ1050" s="190"/>
      <c r="AK1050" s="190"/>
      <c r="AL1050" s="190"/>
      <c r="AM1050" s="190"/>
    </row>
    <row r="1051" spans="2:39">
      <c r="B1051" s="162"/>
      <c r="C1051" s="162"/>
      <c r="D1051" s="191"/>
      <c r="E1051" s="191"/>
      <c r="F1051" s="191"/>
      <c r="G1051" s="191"/>
      <c r="H1051" s="191"/>
      <c r="I1051" s="191"/>
      <c r="J1051" s="191"/>
      <c r="K1051" s="191"/>
      <c r="L1051" s="191"/>
      <c r="M1051" s="191"/>
      <c r="N1051" s="191"/>
      <c r="O1051" s="191"/>
      <c r="P1051" s="191"/>
      <c r="Q1051" s="191"/>
      <c r="R1051" s="191"/>
      <c r="S1051" s="191"/>
      <c r="T1051" s="191"/>
      <c r="U1051" s="191"/>
      <c r="V1051" s="191"/>
      <c r="W1051" s="191"/>
      <c r="X1051" s="191"/>
      <c r="Y1051" s="191"/>
      <c r="Z1051" s="191"/>
      <c r="AA1051" s="191"/>
      <c r="AB1051" s="191"/>
      <c r="AC1051" s="190"/>
      <c r="AD1051" s="190"/>
      <c r="AE1051" s="190"/>
      <c r="AF1051" s="190"/>
      <c r="AG1051" s="190"/>
      <c r="AH1051" s="190"/>
      <c r="AI1051" s="190"/>
      <c r="AJ1051" s="190"/>
      <c r="AK1051" s="190"/>
      <c r="AL1051" s="190"/>
      <c r="AM1051" s="190"/>
    </row>
    <row r="1052" spans="2:39">
      <c r="B1052" s="162"/>
      <c r="C1052" s="162"/>
      <c r="D1052" s="191"/>
      <c r="E1052" s="191"/>
      <c r="F1052" s="191"/>
      <c r="G1052" s="191"/>
      <c r="H1052" s="191"/>
      <c r="I1052" s="191"/>
      <c r="J1052" s="191"/>
      <c r="K1052" s="191"/>
      <c r="L1052" s="191"/>
      <c r="M1052" s="191"/>
      <c r="N1052" s="191"/>
      <c r="O1052" s="191"/>
      <c r="P1052" s="191"/>
      <c r="Q1052" s="191"/>
      <c r="R1052" s="191"/>
      <c r="S1052" s="191"/>
      <c r="T1052" s="191"/>
      <c r="U1052" s="191"/>
      <c r="V1052" s="191"/>
      <c r="W1052" s="191"/>
      <c r="X1052" s="191"/>
      <c r="Y1052" s="191"/>
      <c r="Z1052" s="191"/>
      <c r="AA1052" s="191"/>
      <c r="AB1052" s="191"/>
      <c r="AC1052" s="190"/>
      <c r="AD1052" s="190"/>
      <c r="AE1052" s="190"/>
      <c r="AF1052" s="190"/>
      <c r="AG1052" s="190"/>
      <c r="AH1052" s="190"/>
      <c r="AI1052" s="190"/>
      <c r="AJ1052" s="190"/>
      <c r="AK1052" s="190"/>
      <c r="AL1052" s="190"/>
      <c r="AM1052" s="190"/>
    </row>
    <row r="1053" spans="2:39">
      <c r="B1053" s="162"/>
      <c r="C1053" s="162"/>
      <c r="D1053" s="191"/>
      <c r="E1053" s="191"/>
      <c r="F1053" s="191"/>
      <c r="G1053" s="191"/>
      <c r="H1053" s="191"/>
      <c r="I1053" s="191"/>
      <c r="J1053" s="191"/>
      <c r="K1053" s="191"/>
      <c r="L1053" s="191"/>
      <c r="M1053" s="191"/>
      <c r="N1053" s="191"/>
      <c r="O1053" s="191"/>
      <c r="P1053" s="191"/>
      <c r="Q1053" s="191"/>
      <c r="R1053" s="191"/>
      <c r="S1053" s="191"/>
      <c r="T1053" s="191"/>
      <c r="U1053" s="191"/>
      <c r="V1053" s="191"/>
      <c r="W1053" s="191"/>
      <c r="X1053" s="191"/>
      <c r="Y1053" s="191"/>
      <c r="Z1053" s="191"/>
      <c r="AA1053" s="191"/>
      <c r="AB1053" s="191"/>
      <c r="AC1053" s="190"/>
      <c r="AD1053" s="190"/>
      <c r="AE1053" s="190"/>
      <c r="AF1053" s="190"/>
      <c r="AG1053" s="190"/>
      <c r="AH1053" s="190"/>
      <c r="AI1053" s="190"/>
      <c r="AJ1053" s="190"/>
      <c r="AK1053" s="190"/>
      <c r="AL1053" s="190"/>
      <c r="AM1053" s="190"/>
    </row>
    <row r="1054" spans="2:39">
      <c r="B1054" s="162"/>
      <c r="C1054" s="162"/>
      <c r="D1054" s="191"/>
      <c r="E1054" s="191"/>
      <c r="F1054" s="191"/>
      <c r="G1054" s="191"/>
      <c r="H1054" s="191"/>
      <c r="I1054" s="191"/>
      <c r="J1054" s="191"/>
      <c r="K1054" s="191"/>
      <c r="L1054" s="191"/>
      <c r="M1054" s="191"/>
      <c r="N1054" s="191"/>
      <c r="O1054" s="191"/>
      <c r="P1054" s="191"/>
      <c r="Q1054" s="191"/>
      <c r="R1054" s="191"/>
      <c r="S1054" s="191"/>
      <c r="T1054" s="191"/>
      <c r="U1054" s="191"/>
      <c r="V1054" s="191"/>
      <c r="W1054" s="191"/>
      <c r="X1054" s="191"/>
      <c r="Y1054" s="191"/>
      <c r="Z1054" s="191"/>
      <c r="AA1054" s="191"/>
      <c r="AB1054" s="191"/>
      <c r="AC1054" s="190"/>
      <c r="AD1054" s="190"/>
      <c r="AE1054" s="190"/>
      <c r="AF1054" s="190"/>
      <c r="AG1054" s="190"/>
      <c r="AH1054" s="190"/>
      <c r="AI1054" s="190"/>
      <c r="AJ1054" s="190"/>
      <c r="AK1054" s="190"/>
      <c r="AL1054" s="190"/>
      <c r="AM1054" s="190"/>
    </row>
    <row r="1055" spans="2:39">
      <c r="B1055" s="162"/>
      <c r="C1055" s="162"/>
      <c r="D1055" s="191"/>
      <c r="E1055" s="191"/>
      <c r="F1055" s="191"/>
      <c r="G1055" s="191"/>
      <c r="H1055" s="191"/>
      <c r="I1055" s="191"/>
      <c r="J1055" s="191"/>
      <c r="K1055" s="191"/>
      <c r="L1055" s="191"/>
      <c r="M1055" s="191"/>
      <c r="N1055" s="191"/>
      <c r="O1055" s="191"/>
      <c r="P1055" s="191"/>
      <c r="Q1055" s="191"/>
      <c r="R1055" s="191"/>
      <c r="S1055" s="191"/>
      <c r="T1055" s="191"/>
      <c r="U1055" s="191"/>
      <c r="V1055" s="191"/>
      <c r="W1055" s="191"/>
      <c r="X1055" s="191"/>
      <c r="Y1055" s="191"/>
      <c r="Z1055" s="191"/>
      <c r="AA1055" s="191"/>
      <c r="AB1055" s="191"/>
      <c r="AC1055" s="190"/>
      <c r="AD1055" s="190"/>
      <c r="AE1055" s="190"/>
      <c r="AF1055" s="190"/>
      <c r="AG1055" s="190"/>
      <c r="AH1055" s="190"/>
      <c r="AI1055" s="190"/>
      <c r="AJ1055" s="190"/>
      <c r="AK1055" s="190"/>
      <c r="AL1055" s="190"/>
      <c r="AM1055" s="190"/>
    </row>
    <row r="1056" spans="2:39">
      <c r="B1056" s="162"/>
      <c r="C1056" s="162"/>
      <c r="D1056" s="191"/>
      <c r="E1056" s="191"/>
      <c r="F1056" s="191"/>
      <c r="G1056" s="191"/>
      <c r="H1056" s="191"/>
      <c r="I1056" s="191"/>
      <c r="J1056" s="191"/>
      <c r="K1056" s="191"/>
      <c r="L1056" s="191"/>
      <c r="M1056" s="191"/>
      <c r="N1056" s="191"/>
      <c r="O1056" s="191"/>
      <c r="P1056" s="191"/>
      <c r="Q1056" s="191"/>
      <c r="R1056" s="191"/>
      <c r="S1056" s="191"/>
      <c r="T1056" s="191"/>
      <c r="U1056" s="191"/>
      <c r="V1056" s="191"/>
      <c r="W1056" s="191"/>
      <c r="X1056" s="191"/>
      <c r="Y1056" s="191"/>
      <c r="Z1056" s="191"/>
      <c r="AA1056" s="191"/>
      <c r="AB1056" s="191"/>
      <c r="AC1056" s="190"/>
      <c r="AD1056" s="190"/>
      <c r="AE1056" s="190"/>
      <c r="AF1056" s="190"/>
      <c r="AG1056" s="190"/>
      <c r="AH1056" s="190"/>
      <c r="AI1056" s="190"/>
      <c r="AJ1056" s="190"/>
      <c r="AK1056" s="190"/>
      <c r="AL1056" s="190"/>
      <c r="AM1056" s="190"/>
    </row>
    <row r="1057" spans="2:39">
      <c r="B1057" s="162"/>
      <c r="C1057" s="162"/>
      <c r="D1057" s="191"/>
      <c r="E1057" s="191"/>
      <c r="F1057" s="191"/>
      <c r="G1057" s="191"/>
      <c r="H1057" s="191"/>
      <c r="I1057" s="191"/>
      <c r="J1057" s="191"/>
      <c r="K1057" s="191"/>
      <c r="L1057" s="191"/>
      <c r="M1057" s="191"/>
      <c r="N1057" s="191"/>
      <c r="O1057" s="191"/>
      <c r="P1057" s="191"/>
      <c r="Q1057" s="191"/>
      <c r="R1057" s="191"/>
      <c r="S1057" s="191"/>
      <c r="T1057" s="191"/>
      <c r="U1057" s="191"/>
      <c r="V1057" s="191"/>
      <c r="W1057" s="191"/>
      <c r="X1057" s="191"/>
      <c r="Y1057" s="191"/>
      <c r="Z1057" s="191"/>
      <c r="AA1057" s="191"/>
      <c r="AB1057" s="191"/>
      <c r="AC1057" s="190"/>
      <c r="AD1057" s="190"/>
      <c r="AE1057" s="190"/>
      <c r="AF1057" s="190"/>
      <c r="AG1057" s="190"/>
      <c r="AH1057" s="190"/>
      <c r="AI1057" s="190"/>
      <c r="AJ1057" s="190"/>
      <c r="AK1057" s="190"/>
      <c r="AL1057" s="190"/>
      <c r="AM1057" s="190"/>
    </row>
    <row r="1058" spans="2:39">
      <c r="B1058" s="162"/>
      <c r="C1058" s="162"/>
      <c r="D1058" s="191"/>
      <c r="E1058" s="191"/>
      <c r="F1058" s="191"/>
      <c r="G1058" s="191"/>
      <c r="H1058" s="191"/>
      <c r="I1058" s="191"/>
      <c r="J1058" s="191"/>
      <c r="K1058" s="191"/>
      <c r="L1058" s="191"/>
      <c r="M1058" s="191"/>
      <c r="N1058" s="191"/>
      <c r="O1058" s="191"/>
      <c r="P1058" s="191"/>
      <c r="Q1058" s="191"/>
      <c r="R1058" s="191"/>
      <c r="S1058" s="191"/>
      <c r="T1058" s="191"/>
      <c r="U1058" s="191"/>
      <c r="V1058" s="191"/>
      <c r="W1058" s="191"/>
      <c r="X1058" s="191"/>
      <c r="Y1058" s="191"/>
      <c r="Z1058" s="191"/>
      <c r="AA1058" s="191"/>
      <c r="AB1058" s="191"/>
      <c r="AC1058" s="190"/>
      <c r="AD1058" s="190"/>
      <c r="AE1058" s="190"/>
      <c r="AF1058" s="190"/>
      <c r="AG1058" s="190"/>
      <c r="AH1058" s="190"/>
      <c r="AI1058" s="190"/>
      <c r="AJ1058" s="190"/>
      <c r="AK1058" s="190"/>
      <c r="AL1058" s="190"/>
      <c r="AM1058" s="190"/>
    </row>
    <row r="1059" spans="2:39">
      <c r="B1059" s="162"/>
      <c r="C1059" s="162"/>
      <c r="D1059" s="191"/>
      <c r="E1059" s="191"/>
      <c r="F1059" s="191"/>
      <c r="G1059" s="191"/>
      <c r="H1059" s="191"/>
      <c r="I1059" s="191"/>
      <c r="J1059" s="191"/>
      <c r="K1059" s="191"/>
      <c r="L1059" s="191"/>
      <c r="M1059" s="191"/>
      <c r="N1059" s="191"/>
      <c r="O1059" s="191"/>
      <c r="P1059" s="191"/>
      <c r="Q1059" s="191"/>
      <c r="R1059" s="191"/>
      <c r="S1059" s="191"/>
      <c r="T1059" s="191"/>
      <c r="U1059" s="191"/>
      <c r="V1059" s="191"/>
      <c r="W1059" s="191"/>
      <c r="X1059" s="191"/>
      <c r="Y1059" s="191"/>
      <c r="Z1059" s="191"/>
      <c r="AA1059" s="191"/>
      <c r="AB1059" s="191"/>
      <c r="AC1059" s="190"/>
      <c r="AD1059" s="190"/>
      <c r="AE1059" s="190"/>
      <c r="AF1059" s="190"/>
      <c r="AG1059" s="190"/>
      <c r="AH1059" s="190"/>
      <c r="AI1059" s="190"/>
      <c r="AJ1059" s="190"/>
      <c r="AK1059" s="190"/>
      <c r="AL1059" s="190"/>
      <c r="AM1059" s="190"/>
    </row>
    <row r="1060" spans="2:39">
      <c r="B1060" s="162"/>
      <c r="C1060" s="162"/>
      <c r="D1060" s="191"/>
      <c r="E1060" s="191"/>
      <c r="F1060" s="191"/>
      <c r="G1060" s="191"/>
      <c r="H1060" s="191"/>
      <c r="I1060" s="191"/>
      <c r="J1060" s="191"/>
      <c r="K1060" s="191"/>
      <c r="L1060" s="191"/>
      <c r="M1060" s="191"/>
      <c r="N1060" s="191"/>
      <c r="O1060" s="191"/>
      <c r="P1060" s="191"/>
      <c r="Q1060" s="191"/>
      <c r="R1060" s="191"/>
      <c r="S1060" s="191"/>
      <c r="T1060" s="191"/>
      <c r="U1060" s="191"/>
      <c r="V1060" s="191"/>
      <c r="W1060" s="191"/>
      <c r="X1060" s="191"/>
      <c r="Y1060" s="191"/>
      <c r="Z1060" s="191"/>
      <c r="AA1060" s="191"/>
      <c r="AB1060" s="191"/>
      <c r="AC1060" s="190"/>
      <c r="AD1060" s="190"/>
      <c r="AE1060" s="190"/>
      <c r="AF1060" s="190"/>
      <c r="AG1060" s="190"/>
      <c r="AH1060" s="190"/>
      <c r="AI1060" s="190"/>
      <c r="AJ1060" s="190"/>
      <c r="AK1060" s="190"/>
      <c r="AL1060" s="190"/>
      <c r="AM1060" s="190"/>
    </row>
    <row r="1061" spans="2:39">
      <c r="B1061" s="162"/>
      <c r="C1061" s="162"/>
      <c r="D1061" s="191"/>
      <c r="E1061" s="191"/>
      <c r="F1061" s="191"/>
      <c r="G1061" s="191"/>
      <c r="H1061" s="191"/>
      <c r="I1061" s="191"/>
      <c r="J1061" s="191"/>
      <c r="K1061" s="191"/>
      <c r="L1061" s="191"/>
      <c r="M1061" s="191"/>
      <c r="N1061" s="191"/>
      <c r="O1061" s="191"/>
      <c r="P1061" s="191"/>
      <c r="Q1061" s="191"/>
      <c r="R1061" s="191"/>
      <c r="S1061" s="191"/>
      <c r="T1061" s="191"/>
      <c r="U1061" s="191"/>
      <c r="V1061" s="191"/>
      <c r="W1061" s="191"/>
      <c r="X1061" s="191"/>
      <c r="Y1061" s="191"/>
      <c r="Z1061" s="191"/>
      <c r="AA1061" s="191"/>
      <c r="AB1061" s="191"/>
      <c r="AC1061" s="190"/>
      <c r="AD1061" s="190"/>
      <c r="AE1061" s="190"/>
      <c r="AF1061" s="190"/>
      <c r="AG1061" s="190"/>
      <c r="AH1061" s="190"/>
      <c r="AI1061" s="190"/>
      <c r="AJ1061" s="190"/>
      <c r="AK1061" s="190"/>
      <c r="AL1061" s="190"/>
      <c r="AM1061" s="190"/>
    </row>
    <row r="1062" spans="2:39">
      <c r="B1062" s="162"/>
      <c r="C1062" s="162"/>
      <c r="D1062" s="191"/>
      <c r="E1062" s="191"/>
      <c r="F1062" s="191"/>
      <c r="G1062" s="191"/>
      <c r="H1062" s="191"/>
      <c r="I1062" s="191"/>
      <c r="J1062" s="191"/>
      <c r="K1062" s="191"/>
      <c r="L1062" s="191"/>
      <c r="M1062" s="191"/>
      <c r="N1062" s="191"/>
      <c r="O1062" s="191"/>
      <c r="P1062" s="191"/>
      <c r="Q1062" s="191"/>
      <c r="R1062" s="191"/>
      <c r="S1062" s="191"/>
      <c r="T1062" s="191"/>
      <c r="U1062" s="191"/>
      <c r="V1062" s="191"/>
      <c r="W1062" s="191"/>
      <c r="X1062" s="191"/>
      <c r="Y1062" s="191"/>
      <c r="Z1062" s="191"/>
      <c r="AA1062" s="191"/>
      <c r="AB1062" s="191"/>
      <c r="AC1062" s="190"/>
      <c r="AD1062" s="190"/>
      <c r="AE1062" s="190"/>
      <c r="AF1062" s="190"/>
      <c r="AG1062" s="190"/>
      <c r="AH1062" s="190"/>
      <c r="AI1062" s="190"/>
      <c r="AJ1062" s="190"/>
      <c r="AK1062" s="190"/>
      <c r="AL1062" s="190"/>
      <c r="AM1062" s="190"/>
    </row>
    <row r="1063" spans="2:39">
      <c r="B1063" s="162"/>
      <c r="C1063" s="162"/>
      <c r="D1063" s="191"/>
      <c r="E1063" s="191"/>
      <c r="F1063" s="191"/>
      <c r="G1063" s="191"/>
      <c r="H1063" s="191"/>
      <c r="I1063" s="191"/>
      <c r="J1063" s="191"/>
      <c r="K1063" s="191"/>
      <c r="L1063" s="191"/>
      <c r="M1063" s="191"/>
      <c r="N1063" s="191"/>
      <c r="O1063" s="191"/>
      <c r="P1063" s="191"/>
      <c r="Q1063" s="191"/>
      <c r="R1063" s="191"/>
      <c r="S1063" s="191"/>
      <c r="T1063" s="191"/>
      <c r="U1063" s="191"/>
      <c r="V1063" s="191"/>
      <c r="W1063" s="191"/>
      <c r="X1063" s="191"/>
      <c r="Y1063" s="191"/>
      <c r="Z1063" s="191"/>
      <c r="AA1063" s="191"/>
      <c r="AB1063" s="191"/>
      <c r="AC1063" s="190"/>
      <c r="AD1063" s="190"/>
      <c r="AE1063" s="190"/>
      <c r="AF1063" s="190"/>
      <c r="AG1063" s="190"/>
      <c r="AH1063" s="190"/>
      <c r="AI1063" s="190"/>
      <c r="AJ1063" s="190"/>
      <c r="AK1063" s="190"/>
      <c r="AL1063" s="190"/>
      <c r="AM1063" s="190"/>
    </row>
    <row r="1064" spans="2:39">
      <c r="B1064" s="162"/>
      <c r="C1064" s="162"/>
      <c r="D1064" s="191"/>
      <c r="E1064" s="191"/>
      <c r="F1064" s="191"/>
      <c r="G1064" s="191"/>
      <c r="H1064" s="191"/>
      <c r="I1064" s="191"/>
      <c r="J1064" s="191"/>
      <c r="K1064" s="191"/>
      <c r="L1064" s="191"/>
      <c r="M1064" s="191"/>
      <c r="N1064" s="191"/>
      <c r="O1064" s="191"/>
      <c r="P1064" s="191"/>
      <c r="Q1064" s="191"/>
      <c r="R1064" s="191"/>
      <c r="S1064" s="191"/>
      <c r="T1064" s="191"/>
      <c r="U1064" s="191"/>
      <c r="V1064" s="191"/>
      <c r="W1064" s="191"/>
      <c r="X1064" s="191"/>
      <c r="Y1064" s="191"/>
      <c r="Z1064" s="191"/>
      <c r="AA1064" s="191"/>
      <c r="AB1064" s="191"/>
      <c r="AC1064" s="190"/>
      <c r="AD1064" s="190"/>
      <c r="AE1064" s="190"/>
      <c r="AF1064" s="190"/>
      <c r="AG1064" s="190"/>
      <c r="AH1064" s="190"/>
      <c r="AI1064" s="190"/>
      <c r="AJ1064" s="190"/>
      <c r="AK1064" s="190"/>
      <c r="AL1064" s="190"/>
      <c r="AM1064" s="190"/>
    </row>
    <row r="1065" spans="2:39">
      <c r="B1065" s="162"/>
      <c r="C1065" s="162"/>
      <c r="D1065" s="191"/>
      <c r="E1065" s="191"/>
      <c r="F1065" s="191"/>
      <c r="G1065" s="191"/>
      <c r="H1065" s="191"/>
      <c r="I1065" s="191"/>
      <c r="J1065" s="191"/>
      <c r="K1065" s="191"/>
      <c r="L1065" s="191"/>
      <c r="M1065" s="191"/>
      <c r="N1065" s="191"/>
      <c r="O1065" s="191"/>
      <c r="P1065" s="191"/>
      <c r="Q1065" s="191"/>
      <c r="R1065" s="191"/>
      <c r="S1065" s="191"/>
      <c r="T1065" s="191"/>
      <c r="U1065" s="191"/>
      <c r="V1065" s="191"/>
      <c r="W1065" s="191"/>
      <c r="X1065" s="191"/>
      <c r="Y1065" s="191"/>
      <c r="Z1065" s="191"/>
      <c r="AA1065" s="191"/>
      <c r="AB1065" s="191"/>
      <c r="AC1065" s="190"/>
      <c r="AD1065" s="190"/>
      <c r="AE1065" s="190"/>
      <c r="AF1065" s="190"/>
      <c r="AG1065" s="190"/>
      <c r="AH1065" s="190"/>
      <c r="AI1065" s="190"/>
      <c r="AJ1065" s="190"/>
      <c r="AK1065" s="190"/>
      <c r="AL1065" s="190"/>
      <c r="AM1065" s="190"/>
    </row>
    <row r="1066" spans="2:39">
      <c r="B1066" s="162"/>
      <c r="C1066" s="162"/>
      <c r="D1066" s="191"/>
      <c r="E1066" s="191"/>
      <c r="F1066" s="191"/>
      <c r="G1066" s="191"/>
      <c r="H1066" s="191"/>
      <c r="I1066" s="191"/>
      <c r="J1066" s="191"/>
      <c r="K1066" s="191"/>
      <c r="L1066" s="191"/>
      <c r="M1066" s="191"/>
      <c r="N1066" s="191"/>
      <c r="O1066" s="191"/>
      <c r="P1066" s="191"/>
      <c r="Q1066" s="191"/>
      <c r="R1066" s="191"/>
      <c r="S1066" s="191"/>
      <c r="T1066" s="191"/>
      <c r="U1066" s="191"/>
      <c r="V1066" s="191"/>
      <c r="W1066" s="191"/>
      <c r="X1066" s="191"/>
      <c r="Y1066" s="191"/>
      <c r="Z1066" s="191"/>
      <c r="AA1066" s="191"/>
      <c r="AB1066" s="191"/>
      <c r="AC1066" s="190"/>
      <c r="AD1066" s="190"/>
      <c r="AE1066" s="190"/>
      <c r="AF1066" s="190"/>
      <c r="AG1066" s="190"/>
      <c r="AH1066" s="190"/>
      <c r="AI1066" s="190"/>
      <c r="AJ1066" s="190"/>
      <c r="AK1066" s="190"/>
      <c r="AL1066" s="190"/>
      <c r="AM1066" s="190"/>
    </row>
    <row r="1067" spans="2:39">
      <c r="B1067" s="162"/>
      <c r="C1067" s="162"/>
      <c r="D1067" s="191"/>
      <c r="E1067" s="191"/>
      <c r="F1067" s="191"/>
      <c r="G1067" s="191"/>
      <c r="H1067" s="191"/>
      <c r="I1067" s="191"/>
      <c r="J1067" s="191"/>
      <c r="K1067" s="191"/>
      <c r="L1067" s="191"/>
      <c r="M1067" s="191"/>
      <c r="N1067" s="191"/>
      <c r="O1067" s="191"/>
      <c r="P1067" s="191"/>
      <c r="Q1067" s="191"/>
      <c r="R1067" s="191"/>
      <c r="S1067" s="191"/>
      <c r="T1067" s="191"/>
      <c r="U1067" s="191"/>
      <c r="V1067" s="191"/>
      <c r="W1067" s="191"/>
      <c r="X1067" s="191"/>
      <c r="Y1067" s="191"/>
      <c r="Z1067" s="191"/>
      <c r="AA1067" s="191"/>
      <c r="AB1067" s="191"/>
      <c r="AC1067" s="190"/>
      <c r="AD1067" s="190"/>
      <c r="AE1067" s="190"/>
      <c r="AF1067" s="190"/>
      <c r="AG1067" s="190"/>
      <c r="AH1067" s="190"/>
      <c r="AI1067" s="190"/>
      <c r="AJ1067" s="190"/>
      <c r="AK1067" s="190"/>
      <c r="AL1067" s="190"/>
      <c r="AM1067" s="190"/>
    </row>
    <row r="1068" spans="2:39">
      <c r="B1068" s="162"/>
      <c r="C1068" s="162"/>
      <c r="D1068" s="191"/>
      <c r="E1068" s="191"/>
      <c r="F1068" s="191"/>
      <c r="G1068" s="191"/>
      <c r="H1068" s="191"/>
      <c r="I1068" s="191"/>
      <c r="J1068" s="191"/>
      <c r="K1068" s="191"/>
      <c r="L1068" s="191"/>
      <c r="M1068" s="191"/>
      <c r="N1068" s="191"/>
      <c r="O1068" s="191"/>
      <c r="P1068" s="191"/>
      <c r="Q1068" s="191"/>
      <c r="R1068" s="191"/>
      <c r="S1068" s="191"/>
      <c r="T1068" s="191"/>
      <c r="U1068" s="191"/>
      <c r="V1068" s="191"/>
      <c r="W1068" s="191"/>
      <c r="X1068" s="191"/>
      <c r="Y1068" s="191"/>
      <c r="Z1068" s="191"/>
      <c r="AA1068" s="191"/>
      <c r="AB1068" s="191"/>
      <c r="AC1068" s="190"/>
      <c r="AD1068" s="190"/>
      <c r="AE1068" s="190"/>
      <c r="AF1068" s="190"/>
      <c r="AG1068" s="190"/>
      <c r="AH1068" s="190"/>
      <c r="AI1068" s="190"/>
      <c r="AJ1068" s="190"/>
      <c r="AK1068" s="190"/>
      <c r="AL1068" s="190"/>
      <c r="AM1068" s="190"/>
    </row>
    <row r="1069" spans="2:39">
      <c r="B1069" s="162"/>
      <c r="C1069" s="162"/>
      <c r="D1069" s="191"/>
      <c r="E1069" s="191"/>
      <c r="F1069" s="191"/>
      <c r="G1069" s="191"/>
      <c r="H1069" s="191"/>
      <c r="I1069" s="191"/>
      <c r="J1069" s="191"/>
      <c r="K1069" s="191"/>
      <c r="L1069" s="191"/>
      <c r="M1069" s="191"/>
      <c r="N1069" s="191"/>
      <c r="O1069" s="191"/>
      <c r="P1069" s="191"/>
      <c r="Q1069" s="191"/>
      <c r="R1069" s="191"/>
      <c r="S1069" s="191"/>
      <c r="T1069" s="191"/>
      <c r="U1069" s="191"/>
      <c r="V1069" s="191"/>
      <c r="W1069" s="191"/>
      <c r="X1069" s="191"/>
      <c r="Y1069" s="191"/>
      <c r="Z1069" s="191"/>
      <c r="AA1069" s="191"/>
      <c r="AB1069" s="191"/>
      <c r="AC1069" s="190"/>
      <c r="AD1069" s="190"/>
      <c r="AE1069" s="190"/>
      <c r="AF1069" s="190"/>
      <c r="AG1069" s="190"/>
      <c r="AH1069" s="190"/>
      <c r="AI1069" s="190"/>
      <c r="AJ1069" s="190"/>
      <c r="AK1069" s="190"/>
      <c r="AL1069" s="190"/>
      <c r="AM1069" s="190"/>
    </row>
    <row r="1070" spans="2:39">
      <c r="B1070" s="162"/>
      <c r="C1070" s="162"/>
      <c r="D1070" s="191"/>
      <c r="E1070" s="191"/>
      <c r="F1070" s="191"/>
      <c r="G1070" s="191"/>
      <c r="H1070" s="191"/>
      <c r="I1070" s="191"/>
      <c r="J1070" s="191"/>
      <c r="K1070" s="191"/>
      <c r="L1070" s="191"/>
      <c r="M1070" s="191"/>
      <c r="N1070" s="191"/>
      <c r="O1070" s="191"/>
      <c r="P1070" s="191"/>
      <c r="Q1070" s="191"/>
      <c r="R1070" s="191"/>
      <c r="S1070" s="191"/>
      <c r="T1070" s="191"/>
      <c r="U1070" s="191"/>
      <c r="V1070" s="191"/>
      <c r="W1070" s="191"/>
      <c r="X1070" s="191"/>
      <c r="Y1070" s="191"/>
      <c r="Z1070" s="191"/>
      <c r="AA1070" s="191"/>
      <c r="AB1070" s="191"/>
      <c r="AC1070" s="190"/>
      <c r="AD1070" s="190"/>
      <c r="AE1070" s="190"/>
      <c r="AF1070" s="190"/>
      <c r="AG1070" s="190"/>
      <c r="AH1070" s="190"/>
      <c r="AI1070" s="190"/>
      <c r="AJ1070" s="190"/>
      <c r="AK1070" s="190"/>
      <c r="AL1070" s="190"/>
      <c r="AM1070" s="190"/>
    </row>
    <row r="1071" spans="2:39">
      <c r="B1071" s="162"/>
      <c r="C1071" s="162"/>
      <c r="D1071" s="191"/>
      <c r="E1071" s="191"/>
      <c r="F1071" s="191"/>
      <c r="G1071" s="191"/>
      <c r="H1071" s="191"/>
      <c r="I1071" s="191"/>
      <c r="J1071" s="191"/>
      <c r="K1071" s="191"/>
      <c r="L1071" s="191"/>
      <c r="M1071" s="191"/>
      <c r="N1071" s="191"/>
      <c r="O1071" s="191"/>
      <c r="P1071" s="191"/>
      <c r="Q1071" s="191"/>
      <c r="R1071" s="191"/>
      <c r="S1071" s="191"/>
      <c r="T1071" s="191"/>
      <c r="U1071" s="191"/>
      <c r="V1071" s="191"/>
      <c r="W1071" s="191"/>
      <c r="X1071" s="191"/>
      <c r="Y1071" s="191"/>
      <c r="Z1071" s="191"/>
      <c r="AA1071" s="191"/>
      <c r="AB1071" s="191"/>
      <c r="AC1071" s="190"/>
      <c r="AD1071" s="190"/>
      <c r="AE1071" s="190"/>
      <c r="AF1071" s="190"/>
      <c r="AG1071" s="190"/>
      <c r="AH1071" s="190"/>
      <c r="AI1071" s="190"/>
      <c r="AJ1071" s="190"/>
      <c r="AK1071" s="190"/>
      <c r="AL1071" s="190"/>
      <c r="AM1071" s="190"/>
    </row>
    <row r="1072" spans="2:39">
      <c r="B1072" s="162"/>
      <c r="C1072" s="162"/>
      <c r="D1072" s="191"/>
      <c r="E1072" s="191"/>
      <c r="F1072" s="191"/>
      <c r="G1072" s="191"/>
      <c r="H1072" s="191"/>
      <c r="I1072" s="191"/>
      <c r="J1072" s="191"/>
      <c r="K1072" s="191"/>
      <c r="L1072" s="191"/>
      <c r="M1072" s="191"/>
      <c r="N1072" s="191"/>
      <c r="O1072" s="191"/>
      <c r="P1072" s="191"/>
      <c r="Q1072" s="191"/>
      <c r="R1072" s="191"/>
      <c r="S1072" s="191"/>
      <c r="T1072" s="191"/>
      <c r="U1072" s="191"/>
      <c r="V1072" s="191"/>
      <c r="W1072" s="191"/>
      <c r="X1072" s="191"/>
      <c r="Y1072" s="191"/>
      <c r="Z1072" s="191"/>
      <c r="AA1072" s="191"/>
      <c r="AB1072" s="191"/>
      <c r="AC1072" s="190"/>
      <c r="AD1072" s="190"/>
      <c r="AE1072" s="190"/>
      <c r="AF1072" s="190"/>
      <c r="AG1072" s="190"/>
      <c r="AH1072" s="190"/>
      <c r="AI1072" s="190"/>
      <c r="AJ1072" s="190"/>
      <c r="AK1072" s="190"/>
      <c r="AL1072" s="190"/>
      <c r="AM1072" s="190"/>
    </row>
    <row r="1073" spans="2:39">
      <c r="B1073" s="162"/>
      <c r="C1073" s="162"/>
      <c r="D1073" s="191"/>
      <c r="E1073" s="191"/>
      <c r="F1073" s="191"/>
      <c r="G1073" s="191"/>
      <c r="H1073" s="191"/>
      <c r="I1073" s="191"/>
      <c r="J1073" s="191"/>
      <c r="K1073" s="191"/>
      <c r="L1073" s="191"/>
      <c r="M1073" s="191"/>
      <c r="N1073" s="191"/>
      <c r="O1073" s="191"/>
      <c r="P1073" s="191"/>
      <c r="Q1073" s="191"/>
      <c r="R1073" s="191"/>
      <c r="S1073" s="191"/>
      <c r="T1073" s="191"/>
      <c r="U1073" s="191"/>
      <c r="V1073" s="191"/>
      <c r="W1073" s="191"/>
      <c r="X1073" s="191"/>
      <c r="Y1073" s="191"/>
      <c r="Z1073" s="191"/>
      <c r="AA1073" s="191"/>
      <c r="AB1073" s="191"/>
      <c r="AC1073" s="190"/>
      <c r="AD1073" s="190"/>
      <c r="AE1073" s="190"/>
      <c r="AF1073" s="190"/>
      <c r="AG1073" s="190"/>
      <c r="AH1073" s="190"/>
      <c r="AI1073" s="190"/>
      <c r="AJ1073" s="190"/>
      <c r="AK1073" s="190"/>
      <c r="AL1073" s="190"/>
      <c r="AM1073" s="190"/>
    </row>
    <row r="1074" spans="2:39">
      <c r="B1074" s="162"/>
      <c r="C1074" s="162"/>
      <c r="D1074" s="191"/>
      <c r="E1074" s="191"/>
      <c r="F1074" s="191"/>
      <c r="G1074" s="191"/>
      <c r="H1074" s="191"/>
      <c r="I1074" s="191"/>
      <c r="J1074" s="191"/>
      <c r="K1074" s="191"/>
      <c r="L1074" s="191"/>
      <c r="M1074" s="191"/>
      <c r="N1074" s="191"/>
      <c r="O1074" s="191"/>
      <c r="P1074" s="191"/>
      <c r="Q1074" s="191"/>
      <c r="R1074" s="191"/>
      <c r="S1074" s="191"/>
      <c r="T1074" s="191"/>
      <c r="U1074" s="191"/>
      <c r="V1074" s="191"/>
      <c r="W1074" s="191"/>
      <c r="X1074" s="191"/>
      <c r="Y1074" s="191"/>
      <c r="Z1074" s="191"/>
      <c r="AA1074" s="191"/>
      <c r="AB1074" s="191"/>
      <c r="AC1074" s="190"/>
      <c r="AD1074" s="190"/>
      <c r="AE1074" s="190"/>
      <c r="AF1074" s="190"/>
      <c r="AG1074" s="190"/>
      <c r="AH1074" s="190"/>
      <c r="AI1074" s="190"/>
      <c r="AJ1074" s="190"/>
      <c r="AK1074" s="190"/>
      <c r="AL1074" s="190"/>
      <c r="AM1074" s="190"/>
    </row>
    <row r="1075" spans="2:39">
      <c r="B1075" s="162"/>
      <c r="C1075" s="162"/>
      <c r="D1075" s="191"/>
      <c r="E1075" s="191"/>
      <c r="F1075" s="191"/>
      <c r="G1075" s="191"/>
      <c r="H1075" s="191"/>
      <c r="I1075" s="191"/>
      <c r="J1075" s="191"/>
      <c r="K1075" s="191"/>
      <c r="L1075" s="191"/>
      <c r="M1075" s="191"/>
      <c r="N1075" s="191"/>
      <c r="O1075" s="191"/>
      <c r="P1075" s="191"/>
      <c r="Q1075" s="191"/>
      <c r="R1075" s="191"/>
      <c r="S1075" s="191"/>
      <c r="T1075" s="191"/>
      <c r="U1075" s="191"/>
      <c r="V1075" s="191"/>
      <c r="W1075" s="191"/>
      <c r="X1075" s="191"/>
      <c r="Y1075" s="191"/>
      <c r="Z1075" s="191"/>
      <c r="AA1075" s="191"/>
      <c r="AB1075" s="191"/>
      <c r="AC1075" s="190"/>
      <c r="AD1075" s="190"/>
      <c r="AE1075" s="190"/>
      <c r="AF1075" s="190"/>
      <c r="AG1075" s="190"/>
      <c r="AH1075" s="190"/>
      <c r="AI1075" s="190"/>
      <c r="AJ1075" s="190"/>
      <c r="AK1075" s="190"/>
      <c r="AL1075" s="190"/>
      <c r="AM1075" s="190"/>
    </row>
    <row r="1076" spans="2:39">
      <c r="B1076" s="162"/>
      <c r="C1076" s="162"/>
      <c r="D1076" s="191"/>
      <c r="E1076" s="191"/>
      <c r="F1076" s="191"/>
      <c r="G1076" s="191"/>
      <c r="H1076" s="191"/>
      <c r="I1076" s="191"/>
      <c r="J1076" s="191"/>
      <c r="K1076" s="191"/>
      <c r="L1076" s="191"/>
      <c r="M1076" s="191"/>
      <c r="N1076" s="191"/>
      <c r="O1076" s="191"/>
      <c r="P1076" s="191"/>
      <c r="Q1076" s="191"/>
      <c r="R1076" s="191"/>
      <c r="S1076" s="191"/>
      <c r="T1076" s="191"/>
      <c r="U1076" s="191"/>
      <c r="V1076" s="191"/>
      <c r="W1076" s="191"/>
      <c r="X1076" s="191"/>
      <c r="Y1076" s="191"/>
      <c r="Z1076" s="191"/>
      <c r="AA1076" s="191"/>
      <c r="AB1076" s="191"/>
      <c r="AC1076" s="190"/>
      <c r="AD1076" s="190"/>
      <c r="AE1076" s="190"/>
      <c r="AF1076" s="190"/>
      <c r="AG1076" s="190"/>
      <c r="AH1076" s="190"/>
      <c r="AI1076" s="190"/>
      <c r="AJ1076" s="190"/>
      <c r="AK1076" s="190"/>
      <c r="AL1076" s="190"/>
      <c r="AM1076" s="190"/>
    </row>
    <row r="1077" spans="2:39">
      <c r="B1077" s="162"/>
      <c r="C1077" s="162"/>
      <c r="D1077" s="191"/>
      <c r="E1077" s="191"/>
      <c r="F1077" s="191"/>
      <c r="G1077" s="191"/>
      <c r="H1077" s="191"/>
      <c r="I1077" s="191"/>
      <c r="J1077" s="191"/>
      <c r="K1077" s="191"/>
      <c r="L1077" s="191"/>
      <c r="M1077" s="191"/>
      <c r="N1077" s="191"/>
      <c r="O1077" s="191"/>
      <c r="P1077" s="191"/>
      <c r="Q1077" s="191"/>
      <c r="R1077" s="191"/>
      <c r="S1077" s="191"/>
      <c r="T1077" s="191"/>
      <c r="U1077" s="191"/>
      <c r="V1077" s="191"/>
      <c r="W1077" s="191"/>
      <c r="X1077" s="191"/>
      <c r="Y1077" s="191"/>
      <c r="Z1077" s="191"/>
      <c r="AA1077" s="191"/>
      <c r="AB1077" s="191"/>
      <c r="AC1077" s="190"/>
      <c r="AD1077" s="190"/>
      <c r="AE1077" s="190"/>
      <c r="AF1077" s="190"/>
      <c r="AG1077" s="190"/>
      <c r="AH1077" s="190"/>
      <c r="AI1077" s="190"/>
      <c r="AJ1077" s="190"/>
      <c r="AK1077" s="190"/>
      <c r="AL1077" s="190"/>
      <c r="AM1077" s="190"/>
    </row>
    <row r="1078" spans="2:39">
      <c r="B1078" s="162"/>
      <c r="C1078" s="162"/>
      <c r="D1078" s="191"/>
      <c r="E1078" s="191"/>
      <c r="F1078" s="191"/>
      <c r="G1078" s="191"/>
      <c r="H1078" s="191"/>
      <c r="I1078" s="191"/>
      <c r="J1078" s="191"/>
      <c r="K1078" s="191"/>
      <c r="L1078" s="191"/>
      <c r="M1078" s="191"/>
      <c r="N1078" s="191"/>
      <c r="O1078" s="191"/>
      <c r="P1078" s="191"/>
      <c r="Q1078" s="191"/>
      <c r="R1078" s="191"/>
      <c r="S1078" s="191"/>
      <c r="T1078" s="191"/>
      <c r="U1078" s="191"/>
      <c r="V1078" s="191"/>
      <c r="W1078" s="191"/>
      <c r="X1078" s="191"/>
      <c r="Y1078" s="191"/>
      <c r="Z1078" s="191"/>
      <c r="AA1078" s="191"/>
      <c r="AB1078" s="191"/>
      <c r="AC1078" s="190"/>
      <c r="AD1078" s="190"/>
      <c r="AE1078" s="190"/>
      <c r="AF1078" s="190"/>
      <c r="AG1078" s="190"/>
      <c r="AH1078" s="190"/>
      <c r="AI1078" s="190"/>
      <c r="AJ1078" s="190"/>
      <c r="AK1078" s="190"/>
      <c r="AL1078" s="190"/>
      <c r="AM1078" s="190"/>
    </row>
    <row r="1079" spans="2:39">
      <c r="B1079" s="162"/>
      <c r="C1079" s="162"/>
      <c r="D1079" s="191"/>
      <c r="E1079" s="191"/>
      <c r="F1079" s="191"/>
      <c r="G1079" s="191"/>
      <c r="H1079" s="191"/>
      <c r="I1079" s="191"/>
      <c r="J1079" s="191"/>
      <c r="K1079" s="191"/>
      <c r="L1079" s="191"/>
      <c r="M1079" s="191"/>
      <c r="N1079" s="191"/>
      <c r="O1079" s="191"/>
      <c r="P1079" s="191"/>
      <c r="Q1079" s="191"/>
      <c r="R1079" s="191"/>
      <c r="S1079" s="191"/>
      <c r="T1079" s="191"/>
      <c r="U1079" s="191"/>
      <c r="V1079" s="191"/>
      <c r="W1079" s="191"/>
      <c r="X1079" s="191"/>
      <c r="Y1079" s="191"/>
      <c r="Z1079" s="191"/>
      <c r="AA1079" s="191"/>
      <c r="AB1079" s="191"/>
      <c r="AC1079" s="190"/>
      <c r="AD1079" s="190"/>
      <c r="AE1079" s="190"/>
      <c r="AF1079" s="190"/>
      <c r="AG1079" s="190"/>
      <c r="AH1079" s="190"/>
      <c r="AI1079" s="190"/>
      <c r="AJ1079" s="190"/>
      <c r="AK1079" s="190"/>
      <c r="AL1079" s="190"/>
      <c r="AM1079" s="190"/>
    </row>
    <row r="1080" spans="2:39">
      <c r="B1080" s="162"/>
      <c r="C1080" s="162"/>
      <c r="D1080" s="191"/>
      <c r="E1080" s="191"/>
      <c r="F1080" s="191"/>
      <c r="G1080" s="191"/>
      <c r="H1080" s="191"/>
      <c r="I1080" s="191"/>
      <c r="J1080" s="191"/>
      <c r="K1080" s="191"/>
      <c r="L1080" s="191"/>
      <c r="M1080" s="191"/>
      <c r="N1080" s="191"/>
      <c r="O1080" s="191"/>
      <c r="P1080" s="191"/>
      <c r="Q1080" s="191"/>
      <c r="R1080" s="191"/>
      <c r="S1080" s="191"/>
      <c r="T1080" s="191"/>
      <c r="U1080" s="191"/>
      <c r="V1080" s="191"/>
      <c r="W1080" s="191"/>
      <c r="X1080" s="191"/>
      <c r="Y1080" s="191"/>
      <c r="Z1080" s="191"/>
      <c r="AA1080" s="191"/>
      <c r="AB1080" s="191"/>
      <c r="AC1080" s="190"/>
      <c r="AD1080" s="190"/>
      <c r="AE1080" s="190"/>
      <c r="AF1080" s="190"/>
      <c r="AG1080" s="190"/>
      <c r="AH1080" s="190"/>
      <c r="AI1080" s="190"/>
      <c r="AJ1080" s="190"/>
      <c r="AK1080" s="190"/>
      <c r="AL1080" s="190"/>
      <c r="AM1080" s="190"/>
    </row>
    <row r="1081" spans="2:39">
      <c r="B1081" s="162"/>
      <c r="C1081" s="162"/>
      <c r="D1081" s="191"/>
      <c r="E1081" s="191"/>
      <c r="F1081" s="191"/>
      <c r="G1081" s="191"/>
      <c r="H1081" s="191"/>
      <c r="I1081" s="191"/>
      <c r="J1081" s="191"/>
      <c r="K1081" s="191"/>
      <c r="L1081" s="191"/>
      <c r="M1081" s="191"/>
      <c r="N1081" s="191"/>
      <c r="O1081" s="191"/>
      <c r="P1081" s="191"/>
      <c r="Q1081" s="191"/>
      <c r="R1081" s="191"/>
      <c r="S1081" s="191"/>
      <c r="T1081" s="191"/>
      <c r="U1081" s="191"/>
      <c r="V1081" s="191"/>
      <c r="W1081" s="191"/>
      <c r="X1081" s="191"/>
      <c r="Y1081" s="191"/>
      <c r="Z1081" s="191"/>
      <c r="AA1081" s="191"/>
      <c r="AB1081" s="191"/>
      <c r="AC1081" s="190"/>
      <c r="AD1081" s="190"/>
      <c r="AE1081" s="190"/>
      <c r="AF1081" s="190"/>
      <c r="AG1081" s="190"/>
      <c r="AH1081" s="190"/>
      <c r="AI1081" s="190"/>
      <c r="AJ1081" s="190"/>
      <c r="AK1081" s="190"/>
      <c r="AL1081" s="190"/>
      <c r="AM1081" s="190"/>
    </row>
    <row r="1082" spans="2:39">
      <c r="B1082" s="162"/>
      <c r="C1082" s="162"/>
      <c r="D1082" s="191"/>
      <c r="E1082" s="191"/>
      <c r="F1082" s="191"/>
      <c r="G1082" s="191"/>
      <c r="H1082" s="191"/>
      <c r="I1082" s="191"/>
      <c r="J1082" s="191"/>
      <c r="K1082" s="191"/>
      <c r="L1082" s="191"/>
      <c r="M1082" s="191"/>
      <c r="N1082" s="191"/>
      <c r="O1082" s="191"/>
      <c r="P1082" s="191"/>
      <c r="Q1082" s="191"/>
      <c r="R1082" s="191"/>
      <c r="S1082" s="191"/>
      <c r="T1082" s="191"/>
      <c r="U1082" s="191"/>
      <c r="V1082" s="191"/>
      <c r="W1082" s="191"/>
      <c r="X1082" s="191"/>
      <c r="Y1082" s="191"/>
      <c r="Z1082" s="191"/>
      <c r="AA1082" s="191"/>
      <c r="AB1082" s="191"/>
      <c r="AC1082" s="190"/>
      <c r="AD1082" s="190"/>
      <c r="AE1082" s="190"/>
      <c r="AF1082" s="190"/>
      <c r="AG1082" s="190"/>
      <c r="AH1082" s="190"/>
      <c r="AI1082" s="190"/>
      <c r="AJ1082" s="190"/>
      <c r="AK1082" s="190"/>
      <c r="AL1082" s="190"/>
      <c r="AM1082" s="190"/>
    </row>
    <row r="1083" spans="2:39">
      <c r="B1083" s="162"/>
      <c r="C1083" s="162"/>
      <c r="D1083" s="191"/>
      <c r="E1083" s="191"/>
      <c r="F1083" s="191"/>
      <c r="G1083" s="191"/>
      <c r="H1083" s="191"/>
      <c r="I1083" s="191"/>
      <c r="J1083" s="191"/>
      <c r="K1083" s="191"/>
      <c r="L1083" s="191"/>
      <c r="M1083" s="191"/>
      <c r="N1083" s="191"/>
      <c r="O1083" s="191"/>
      <c r="P1083" s="191"/>
      <c r="Q1083" s="191"/>
      <c r="R1083" s="191"/>
      <c r="S1083" s="191"/>
      <c r="T1083" s="191"/>
      <c r="U1083" s="191"/>
      <c r="V1083" s="191"/>
      <c r="W1083" s="191"/>
      <c r="X1083" s="191"/>
      <c r="Y1083" s="191"/>
      <c r="Z1083" s="191"/>
      <c r="AA1083" s="191"/>
      <c r="AB1083" s="191"/>
      <c r="AC1083" s="190"/>
      <c r="AD1083" s="190"/>
      <c r="AE1083" s="190"/>
      <c r="AF1083" s="190"/>
      <c r="AG1083" s="190"/>
      <c r="AH1083" s="190"/>
      <c r="AI1083" s="190"/>
      <c r="AJ1083" s="190"/>
      <c r="AK1083" s="190"/>
      <c r="AL1083" s="190"/>
      <c r="AM1083" s="190"/>
    </row>
    <row r="1084" spans="2:39">
      <c r="B1084" s="162"/>
      <c r="C1084" s="162"/>
      <c r="D1084" s="191"/>
      <c r="E1084" s="191"/>
      <c r="F1084" s="191"/>
      <c r="G1084" s="191"/>
      <c r="H1084" s="191"/>
      <c r="I1084" s="191"/>
      <c r="J1084" s="191"/>
      <c r="K1084" s="191"/>
      <c r="L1084" s="191"/>
      <c r="M1084" s="191"/>
      <c r="N1084" s="191"/>
      <c r="O1084" s="191"/>
      <c r="P1084" s="191"/>
      <c r="Q1084" s="191"/>
      <c r="R1084" s="191"/>
      <c r="S1084" s="191"/>
      <c r="T1084" s="191"/>
      <c r="U1084" s="191"/>
      <c r="V1084" s="191"/>
      <c r="W1084" s="191"/>
      <c r="X1084" s="191"/>
      <c r="Y1084" s="191"/>
      <c r="Z1084" s="191"/>
      <c r="AA1084" s="191"/>
      <c r="AB1084" s="191"/>
      <c r="AC1084" s="190"/>
      <c r="AD1084" s="190"/>
      <c r="AE1084" s="190"/>
      <c r="AF1084" s="190"/>
      <c r="AG1084" s="190"/>
      <c r="AH1084" s="190"/>
      <c r="AI1084" s="190"/>
      <c r="AJ1084" s="190"/>
      <c r="AK1084" s="190"/>
      <c r="AL1084" s="190"/>
      <c r="AM1084" s="190"/>
    </row>
    <row r="1085" spans="2:39">
      <c r="B1085" s="162"/>
      <c r="C1085" s="162"/>
      <c r="D1085" s="191"/>
      <c r="E1085" s="191"/>
      <c r="F1085" s="191"/>
      <c r="G1085" s="191"/>
      <c r="H1085" s="191"/>
      <c r="I1085" s="191"/>
      <c r="J1085" s="191"/>
      <c r="K1085" s="191"/>
      <c r="L1085" s="191"/>
      <c r="M1085" s="191"/>
      <c r="N1085" s="191"/>
      <c r="O1085" s="191"/>
      <c r="P1085" s="191"/>
      <c r="Q1085" s="191"/>
      <c r="R1085" s="191"/>
      <c r="S1085" s="191"/>
      <c r="T1085" s="191"/>
      <c r="U1085" s="191"/>
      <c r="V1085" s="191"/>
      <c r="W1085" s="191"/>
      <c r="X1085" s="191"/>
      <c r="Y1085" s="191"/>
      <c r="Z1085" s="191"/>
      <c r="AA1085" s="191"/>
      <c r="AB1085" s="191"/>
      <c r="AC1085" s="190"/>
      <c r="AD1085" s="190"/>
      <c r="AE1085" s="190"/>
      <c r="AF1085" s="190"/>
      <c r="AG1085" s="190"/>
      <c r="AH1085" s="190"/>
      <c r="AI1085" s="190"/>
      <c r="AJ1085" s="190"/>
      <c r="AK1085" s="190"/>
      <c r="AL1085" s="190"/>
      <c r="AM1085" s="190"/>
    </row>
    <row r="1086" spans="2:39">
      <c r="B1086" s="162"/>
      <c r="C1086" s="162"/>
      <c r="D1086" s="191"/>
      <c r="E1086" s="191"/>
      <c r="F1086" s="191"/>
      <c r="G1086" s="191"/>
      <c r="H1086" s="191"/>
      <c r="I1086" s="191"/>
      <c r="J1086" s="191"/>
      <c r="K1086" s="191"/>
      <c r="L1086" s="191"/>
      <c r="M1086" s="191"/>
      <c r="N1086" s="191"/>
      <c r="O1086" s="191"/>
      <c r="P1086" s="191"/>
      <c r="Q1086" s="191"/>
      <c r="R1086" s="191"/>
      <c r="S1086" s="191"/>
      <c r="T1086" s="191"/>
      <c r="U1086" s="191"/>
      <c r="V1086" s="191"/>
      <c r="W1086" s="191"/>
      <c r="X1086" s="191"/>
      <c r="Y1086" s="191"/>
      <c r="Z1086" s="191"/>
      <c r="AA1086" s="191"/>
      <c r="AB1086" s="191"/>
      <c r="AC1086" s="190"/>
      <c r="AD1086" s="190"/>
      <c r="AE1086" s="190"/>
      <c r="AF1086" s="190"/>
      <c r="AG1086" s="190"/>
      <c r="AH1086" s="190"/>
      <c r="AI1086" s="190"/>
      <c r="AJ1086" s="190"/>
      <c r="AK1086" s="190"/>
      <c r="AL1086" s="190"/>
      <c r="AM1086" s="190"/>
    </row>
    <row r="1087" spans="2:39">
      <c r="B1087" s="162"/>
      <c r="C1087" s="162"/>
      <c r="D1087" s="191"/>
      <c r="E1087" s="191"/>
      <c r="F1087" s="191"/>
      <c r="G1087" s="191"/>
      <c r="H1087" s="191"/>
      <c r="I1087" s="191"/>
      <c r="J1087" s="191"/>
      <c r="K1087" s="191"/>
      <c r="L1087" s="191"/>
      <c r="M1087" s="191"/>
      <c r="N1087" s="191"/>
      <c r="O1087" s="191"/>
      <c r="P1087" s="191"/>
      <c r="Q1087" s="191"/>
      <c r="R1087" s="191"/>
      <c r="S1087" s="191"/>
      <c r="T1087" s="191"/>
      <c r="U1087" s="191"/>
      <c r="V1087" s="191"/>
      <c r="W1087" s="191"/>
      <c r="X1087" s="191"/>
      <c r="Y1087" s="191"/>
      <c r="Z1087" s="191"/>
      <c r="AA1087" s="191"/>
      <c r="AB1087" s="191"/>
      <c r="AC1087" s="190"/>
      <c r="AD1087" s="190"/>
      <c r="AE1087" s="190"/>
      <c r="AF1087" s="190"/>
      <c r="AG1087" s="190"/>
      <c r="AH1087" s="190"/>
      <c r="AI1087" s="190"/>
      <c r="AJ1087" s="190"/>
      <c r="AK1087" s="190"/>
      <c r="AL1087" s="190"/>
      <c r="AM1087" s="190"/>
    </row>
    <row r="1088" spans="2:39">
      <c r="B1088" s="162"/>
      <c r="C1088" s="162"/>
      <c r="D1088" s="191"/>
      <c r="E1088" s="191"/>
      <c r="F1088" s="191"/>
      <c r="G1088" s="191"/>
      <c r="H1088" s="191"/>
      <c r="I1088" s="191"/>
      <c r="J1088" s="191"/>
      <c r="K1088" s="191"/>
      <c r="L1088" s="191"/>
      <c r="M1088" s="191"/>
      <c r="N1088" s="191"/>
      <c r="O1088" s="191"/>
      <c r="P1088" s="191"/>
      <c r="Q1088" s="191"/>
      <c r="R1088" s="191"/>
      <c r="S1088" s="191"/>
      <c r="T1088" s="191"/>
      <c r="U1088" s="191"/>
      <c r="V1088" s="191"/>
      <c r="W1088" s="191"/>
      <c r="X1088" s="191"/>
      <c r="Y1088" s="191"/>
      <c r="Z1088" s="191"/>
      <c r="AA1088" s="191"/>
      <c r="AB1088" s="191"/>
      <c r="AC1088" s="190"/>
      <c r="AD1088" s="190"/>
      <c r="AE1088" s="190"/>
      <c r="AF1088" s="190"/>
      <c r="AG1088" s="190"/>
      <c r="AH1088" s="190"/>
      <c r="AI1088" s="190"/>
      <c r="AJ1088" s="190"/>
      <c r="AK1088" s="190"/>
      <c r="AL1088" s="190"/>
      <c r="AM1088" s="190"/>
    </row>
    <row r="1089" spans="2:39">
      <c r="B1089" s="162"/>
      <c r="C1089" s="162"/>
      <c r="D1089" s="191"/>
      <c r="E1089" s="191"/>
      <c r="F1089" s="191"/>
      <c r="G1089" s="191"/>
      <c r="H1089" s="191"/>
      <c r="I1089" s="191"/>
      <c r="J1089" s="191"/>
      <c r="K1089" s="191"/>
      <c r="L1089" s="191"/>
      <c r="M1089" s="191"/>
      <c r="N1089" s="191"/>
      <c r="O1089" s="191"/>
      <c r="P1089" s="191"/>
      <c r="Q1089" s="191"/>
      <c r="R1089" s="191"/>
      <c r="S1089" s="191"/>
      <c r="T1089" s="191"/>
      <c r="U1089" s="191"/>
      <c r="V1089" s="191"/>
      <c r="W1089" s="191"/>
      <c r="X1089" s="191"/>
      <c r="Y1089" s="191"/>
      <c r="Z1089" s="191"/>
      <c r="AA1089" s="191"/>
      <c r="AB1089" s="191"/>
      <c r="AC1089" s="190"/>
      <c r="AD1089" s="190"/>
      <c r="AE1089" s="190"/>
      <c r="AF1089" s="190"/>
      <c r="AG1089" s="190"/>
      <c r="AH1089" s="190"/>
      <c r="AI1089" s="190"/>
      <c r="AJ1089" s="190"/>
      <c r="AK1089" s="190"/>
      <c r="AL1089" s="190"/>
      <c r="AM1089" s="190"/>
    </row>
    <row r="1090" spans="2:39">
      <c r="B1090" s="162"/>
      <c r="C1090" s="162"/>
      <c r="D1090" s="191"/>
      <c r="E1090" s="191"/>
      <c r="F1090" s="191"/>
      <c r="G1090" s="191"/>
      <c r="H1090" s="191"/>
      <c r="I1090" s="191"/>
      <c r="J1090" s="191"/>
      <c r="K1090" s="191"/>
      <c r="L1090" s="191"/>
      <c r="M1090" s="191"/>
      <c r="N1090" s="191"/>
      <c r="O1090" s="191"/>
      <c r="P1090" s="191"/>
      <c r="Q1090" s="191"/>
      <c r="R1090" s="191"/>
      <c r="S1090" s="191"/>
      <c r="T1090" s="191"/>
      <c r="U1090" s="191"/>
      <c r="V1090" s="191"/>
      <c r="W1090" s="191"/>
      <c r="X1090" s="191"/>
      <c r="Y1090" s="191"/>
      <c r="Z1090" s="191"/>
      <c r="AA1090" s="191"/>
      <c r="AB1090" s="191"/>
      <c r="AC1090" s="190"/>
      <c r="AD1090" s="190"/>
      <c r="AE1090" s="190"/>
      <c r="AF1090" s="190"/>
      <c r="AG1090" s="190"/>
      <c r="AH1090" s="190"/>
      <c r="AI1090" s="190"/>
      <c r="AJ1090" s="190"/>
      <c r="AK1090" s="190"/>
      <c r="AL1090" s="190"/>
      <c r="AM1090" s="190"/>
    </row>
    <row r="1091" spans="2:39">
      <c r="B1091" s="162"/>
      <c r="C1091" s="162"/>
      <c r="D1091" s="191"/>
      <c r="E1091" s="191"/>
      <c r="F1091" s="191"/>
      <c r="G1091" s="191"/>
      <c r="H1091" s="191"/>
      <c r="I1091" s="191"/>
      <c r="J1091" s="191"/>
      <c r="K1091" s="191"/>
      <c r="L1091" s="191"/>
      <c r="M1091" s="191"/>
      <c r="N1091" s="191"/>
      <c r="O1091" s="191"/>
      <c r="P1091" s="191"/>
      <c r="Q1091" s="191"/>
      <c r="R1091" s="191"/>
      <c r="S1091" s="191"/>
      <c r="T1091" s="191"/>
      <c r="U1091" s="191"/>
      <c r="V1091" s="191"/>
      <c r="W1091" s="191"/>
      <c r="X1091" s="191"/>
      <c r="Y1091" s="191"/>
      <c r="Z1091" s="191"/>
      <c r="AA1091" s="191"/>
      <c r="AB1091" s="191"/>
      <c r="AC1091" s="190"/>
      <c r="AD1091" s="190"/>
      <c r="AE1091" s="190"/>
      <c r="AF1091" s="190"/>
      <c r="AG1091" s="190"/>
      <c r="AH1091" s="190"/>
      <c r="AI1091" s="190"/>
      <c r="AJ1091" s="190"/>
      <c r="AK1091" s="190"/>
      <c r="AL1091" s="190"/>
      <c r="AM1091" s="190"/>
    </row>
    <row r="1092" spans="2:39">
      <c r="B1092" s="162"/>
      <c r="C1092" s="162"/>
      <c r="D1092" s="191"/>
      <c r="E1092" s="191"/>
      <c r="F1092" s="191"/>
      <c r="G1092" s="191"/>
      <c r="H1092" s="191"/>
      <c r="I1092" s="191"/>
      <c r="J1092" s="191"/>
      <c r="K1092" s="191"/>
      <c r="L1092" s="191"/>
      <c r="M1092" s="191"/>
      <c r="N1092" s="191"/>
      <c r="O1092" s="191"/>
      <c r="P1092" s="191"/>
      <c r="Q1092" s="191"/>
      <c r="R1092" s="191"/>
      <c r="S1092" s="191"/>
      <c r="T1092" s="191"/>
      <c r="U1092" s="191"/>
      <c r="V1092" s="191"/>
      <c r="W1092" s="191"/>
      <c r="X1092" s="191"/>
      <c r="Y1092" s="191"/>
      <c r="Z1092" s="191"/>
      <c r="AA1092" s="191"/>
      <c r="AB1092" s="191"/>
      <c r="AC1092" s="190"/>
      <c r="AD1092" s="190"/>
      <c r="AE1092" s="190"/>
      <c r="AF1092" s="190"/>
      <c r="AG1092" s="190"/>
      <c r="AH1092" s="190"/>
      <c r="AI1092" s="190"/>
      <c r="AJ1092" s="190"/>
      <c r="AK1092" s="190"/>
      <c r="AL1092" s="190"/>
      <c r="AM1092" s="190"/>
    </row>
    <row r="1093" spans="2:39">
      <c r="B1093" s="162"/>
      <c r="C1093" s="162"/>
      <c r="D1093" s="191"/>
      <c r="E1093" s="191"/>
      <c r="F1093" s="191"/>
      <c r="G1093" s="191"/>
      <c r="H1093" s="191"/>
      <c r="I1093" s="191"/>
      <c r="J1093" s="191"/>
      <c r="K1093" s="191"/>
      <c r="L1093" s="191"/>
      <c r="M1093" s="191"/>
      <c r="N1093" s="191"/>
      <c r="O1093" s="191"/>
      <c r="P1093" s="191"/>
      <c r="Q1093" s="191"/>
      <c r="R1093" s="191"/>
      <c r="S1093" s="191"/>
      <c r="T1093" s="191"/>
      <c r="U1093" s="191"/>
      <c r="V1093" s="191"/>
      <c r="W1093" s="191"/>
      <c r="X1093" s="191"/>
      <c r="Y1093" s="191"/>
      <c r="Z1093" s="191"/>
      <c r="AA1093" s="191"/>
      <c r="AB1093" s="191"/>
      <c r="AC1093" s="190"/>
      <c r="AD1093" s="190"/>
      <c r="AE1093" s="190"/>
      <c r="AF1093" s="190"/>
      <c r="AG1093" s="190"/>
      <c r="AH1093" s="190"/>
      <c r="AI1093" s="190"/>
      <c r="AJ1093" s="190"/>
      <c r="AK1093" s="190"/>
      <c r="AL1093" s="190"/>
      <c r="AM1093" s="190"/>
    </row>
    <row r="1094" spans="2:39">
      <c r="B1094" s="162"/>
      <c r="C1094" s="162"/>
      <c r="D1094" s="191"/>
      <c r="E1094" s="191"/>
      <c r="F1094" s="191"/>
      <c r="G1094" s="191"/>
      <c r="H1094" s="191"/>
      <c r="I1094" s="191"/>
      <c r="J1094" s="191"/>
      <c r="K1094" s="191"/>
      <c r="L1094" s="191"/>
      <c r="M1094" s="191"/>
      <c r="N1094" s="191"/>
      <c r="O1094" s="191"/>
      <c r="P1094" s="191"/>
      <c r="Q1094" s="191"/>
      <c r="R1094" s="191"/>
      <c r="S1094" s="191"/>
      <c r="T1094" s="191"/>
      <c r="U1094" s="191"/>
      <c r="V1094" s="191"/>
      <c r="W1094" s="191"/>
      <c r="X1094" s="191"/>
      <c r="Y1094" s="191"/>
      <c r="Z1094" s="191"/>
      <c r="AA1094" s="191"/>
      <c r="AB1094" s="191"/>
      <c r="AC1094" s="190"/>
      <c r="AD1094" s="190"/>
      <c r="AE1094" s="190"/>
      <c r="AF1094" s="190"/>
      <c r="AG1094" s="190"/>
      <c r="AH1094" s="190"/>
      <c r="AI1094" s="190"/>
      <c r="AJ1094" s="190"/>
      <c r="AK1094" s="190"/>
      <c r="AL1094" s="190"/>
      <c r="AM1094" s="190"/>
    </row>
    <row r="1095" spans="2:39">
      <c r="B1095" s="162"/>
      <c r="C1095" s="162"/>
      <c r="D1095" s="191"/>
      <c r="E1095" s="191"/>
      <c r="F1095" s="191"/>
      <c r="G1095" s="191"/>
      <c r="H1095" s="191"/>
      <c r="I1095" s="191"/>
      <c r="J1095" s="191"/>
      <c r="K1095" s="191"/>
      <c r="L1095" s="191"/>
      <c r="M1095" s="191"/>
      <c r="N1095" s="191"/>
      <c r="O1095" s="191"/>
      <c r="P1095" s="191"/>
      <c r="Q1095" s="191"/>
      <c r="R1095" s="191"/>
      <c r="S1095" s="191"/>
      <c r="T1095" s="191"/>
      <c r="U1095" s="191"/>
      <c r="V1095" s="191"/>
      <c r="W1095" s="191"/>
      <c r="X1095" s="191"/>
      <c r="Y1095" s="191"/>
      <c r="Z1095" s="191"/>
      <c r="AA1095" s="191"/>
      <c r="AB1095" s="191"/>
      <c r="AC1095" s="190"/>
      <c r="AD1095" s="190"/>
      <c r="AE1095" s="190"/>
      <c r="AF1095" s="190"/>
      <c r="AG1095" s="190"/>
      <c r="AH1095" s="190"/>
      <c r="AI1095" s="190"/>
      <c r="AJ1095" s="190"/>
      <c r="AK1095" s="190"/>
      <c r="AL1095" s="190"/>
      <c r="AM1095" s="190"/>
    </row>
    <row r="1096" spans="2:39">
      <c r="B1096" s="162"/>
      <c r="C1096" s="162"/>
      <c r="D1096" s="191"/>
      <c r="E1096" s="191"/>
      <c r="F1096" s="191"/>
      <c r="G1096" s="191"/>
      <c r="H1096" s="191"/>
      <c r="I1096" s="191"/>
      <c r="J1096" s="191"/>
      <c r="K1096" s="191"/>
      <c r="L1096" s="191"/>
      <c r="M1096" s="191"/>
      <c r="N1096" s="191"/>
      <c r="O1096" s="191"/>
      <c r="P1096" s="191"/>
      <c r="Q1096" s="191"/>
      <c r="R1096" s="191"/>
      <c r="S1096" s="191"/>
      <c r="T1096" s="191"/>
      <c r="U1096" s="191"/>
      <c r="V1096" s="191"/>
      <c r="W1096" s="191"/>
      <c r="X1096" s="191"/>
      <c r="Y1096" s="191"/>
      <c r="Z1096" s="191"/>
      <c r="AA1096" s="191"/>
      <c r="AB1096" s="191"/>
      <c r="AC1096" s="190"/>
      <c r="AD1096" s="190"/>
      <c r="AE1096" s="190"/>
      <c r="AF1096" s="190"/>
      <c r="AG1096" s="190"/>
      <c r="AH1096" s="190"/>
      <c r="AI1096" s="190"/>
      <c r="AJ1096" s="190"/>
      <c r="AK1096" s="190"/>
      <c r="AL1096" s="190"/>
      <c r="AM1096" s="190"/>
    </row>
    <row r="1097" spans="2:39">
      <c r="B1097" s="162"/>
      <c r="C1097" s="162"/>
      <c r="D1097" s="191"/>
      <c r="E1097" s="191"/>
      <c r="F1097" s="191"/>
      <c r="G1097" s="191"/>
      <c r="H1097" s="191"/>
      <c r="I1097" s="191"/>
      <c r="J1097" s="191"/>
      <c r="K1097" s="191"/>
      <c r="L1097" s="191"/>
      <c r="M1097" s="191"/>
      <c r="N1097" s="191"/>
      <c r="O1097" s="191"/>
      <c r="P1097" s="191"/>
      <c r="Q1097" s="191"/>
      <c r="R1097" s="191"/>
      <c r="S1097" s="191"/>
      <c r="T1097" s="191"/>
      <c r="U1097" s="191"/>
      <c r="V1097" s="191"/>
      <c r="W1097" s="191"/>
      <c r="X1097" s="191"/>
      <c r="Y1097" s="191"/>
      <c r="Z1097" s="191"/>
      <c r="AA1097" s="191"/>
      <c r="AB1097" s="191"/>
      <c r="AC1097" s="190"/>
      <c r="AD1097" s="190"/>
      <c r="AE1097" s="190"/>
      <c r="AF1097" s="190"/>
      <c r="AG1097" s="190"/>
      <c r="AH1097" s="190"/>
      <c r="AI1097" s="190"/>
      <c r="AJ1097" s="190"/>
      <c r="AK1097" s="190"/>
      <c r="AL1097" s="190"/>
      <c r="AM1097" s="190"/>
    </row>
    <row r="1098" spans="2:39">
      <c r="B1098" s="162"/>
      <c r="C1098" s="162"/>
      <c r="D1098" s="191"/>
      <c r="E1098" s="191"/>
      <c r="F1098" s="191"/>
      <c r="G1098" s="191"/>
      <c r="H1098" s="191"/>
      <c r="I1098" s="191"/>
      <c r="J1098" s="191"/>
      <c r="K1098" s="191"/>
      <c r="L1098" s="191"/>
      <c r="M1098" s="191"/>
      <c r="N1098" s="191"/>
      <c r="O1098" s="191"/>
      <c r="P1098" s="191"/>
      <c r="Q1098" s="191"/>
      <c r="R1098" s="191"/>
      <c r="S1098" s="191"/>
      <c r="T1098" s="191"/>
      <c r="U1098" s="191"/>
      <c r="V1098" s="191"/>
      <c r="W1098" s="191"/>
      <c r="X1098" s="191"/>
      <c r="Y1098" s="191"/>
      <c r="Z1098" s="191"/>
      <c r="AA1098" s="191"/>
      <c r="AB1098" s="191"/>
      <c r="AC1098" s="190"/>
      <c r="AD1098" s="190"/>
      <c r="AE1098" s="190"/>
      <c r="AF1098" s="190"/>
      <c r="AG1098" s="190"/>
      <c r="AH1098" s="190"/>
      <c r="AI1098" s="190"/>
      <c r="AJ1098" s="190"/>
      <c r="AK1098" s="190"/>
      <c r="AL1098" s="190"/>
      <c r="AM1098" s="190"/>
    </row>
    <row r="1099" spans="2:39">
      <c r="B1099" s="162"/>
      <c r="C1099" s="162"/>
      <c r="D1099" s="191"/>
      <c r="E1099" s="191"/>
      <c r="F1099" s="191"/>
      <c r="G1099" s="191"/>
      <c r="H1099" s="191"/>
      <c r="I1099" s="191"/>
      <c r="J1099" s="191"/>
      <c r="K1099" s="191"/>
      <c r="L1099" s="191"/>
      <c r="M1099" s="191"/>
      <c r="N1099" s="191"/>
      <c r="O1099" s="191"/>
      <c r="P1099" s="191"/>
      <c r="Q1099" s="191"/>
      <c r="R1099" s="191"/>
      <c r="S1099" s="191"/>
      <c r="T1099" s="191"/>
      <c r="U1099" s="191"/>
      <c r="V1099" s="191"/>
      <c r="W1099" s="191"/>
      <c r="X1099" s="191"/>
      <c r="Y1099" s="191"/>
      <c r="Z1099" s="191"/>
      <c r="AA1099" s="191"/>
      <c r="AB1099" s="191"/>
      <c r="AC1099" s="190"/>
      <c r="AD1099" s="190"/>
      <c r="AE1099" s="190"/>
      <c r="AF1099" s="190"/>
      <c r="AG1099" s="190"/>
      <c r="AH1099" s="190"/>
      <c r="AI1099" s="190"/>
      <c r="AJ1099" s="190"/>
      <c r="AK1099" s="190"/>
      <c r="AL1099" s="190"/>
      <c r="AM1099" s="190"/>
    </row>
    <row r="1100" spans="2:39">
      <c r="B1100" s="162"/>
      <c r="C1100" s="162"/>
      <c r="D1100" s="191"/>
      <c r="E1100" s="191"/>
      <c r="F1100" s="191"/>
      <c r="G1100" s="191"/>
      <c r="H1100" s="191"/>
      <c r="I1100" s="191"/>
      <c r="J1100" s="191"/>
      <c r="K1100" s="191"/>
      <c r="L1100" s="191"/>
      <c r="M1100" s="191"/>
      <c r="N1100" s="191"/>
      <c r="O1100" s="191"/>
      <c r="P1100" s="191"/>
      <c r="Q1100" s="191"/>
      <c r="R1100" s="191"/>
      <c r="S1100" s="191"/>
      <c r="T1100" s="191"/>
      <c r="U1100" s="191"/>
      <c r="V1100" s="191"/>
      <c r="W1100" s="191"/>
      <c r="X1100" s="191"/>
      <c r="Y1100" s="191"/>
      <c r="Z1100" s="191"/>
      <c r="AA1100" s="191"/>
      <c r="AB1100" s="191"/>
      <c r="AC1100" s="190"/>
      <c r="AD1100" s="190"/>
      <c r="AE1100" s="190"/>
      <c r="AF1100" s="190"/>
      <c r="AG1100" s="190"/>
      <c r="AH1100" s="190"/>
      <c r="AI1100" s="190"/>
      <c r="AJ1100" s="190"/>
      <c r="AK1100" s="190"/>
      <c r="AL1100" s="190"/>
      <c r="AM1100" s="190"/>
    </row>
    <row r="1101" spans="2:39">
      <c r="B1101" s="162"/>
      <c r="C1101" s="162"/>
      <c r="D1101" s="191"/>
      <c r="E1101" s="191"/>
      <c r="F1101" s="191"/>
      <c r="G1101" s="191"/>
      <c r="H1101" s="191"/>
      <c r="I1101" s="191"/>
      <c r="J1101" s="191"/>
      <c r="K1101" s="191"/>
      <c r="L1101" s="191"/>
      <c r="M1101" s="191"/>
      <c r="N1101" s="191"/>
      <c r="O1101" s="191"/>
      <c r="P1101" s="191"/>
      <c r="Q1101" s="191"/>
      <c r="R1101" s="191"/>
      <c r="S1101" s="191"/>
      <c r="T1101" s="191"/>
      <c r="U1101" s="191"/>
      <c r="V1101" s="191"/>
      <c r="W1101" s="191"/>
      <c r="X1101" s="191"/>
      <c r="Y1101" s="191"/>
      <c r="Z1101" s="191"/>
      <c r="AA1101" s="191"/>
      <c r="AB1101" s="191"/>
      <c r="AC1101" s="190"/>
      <c r="AD1101" s="190"/>
      <c r="AE1101" s="190"/>
      <c r="AF1101" s="190"/>
      <c r="AG1101" s="190"/>
      <c r="AH1101" s="190"/>
      <c r="AI1101" s="190"/>
      <c r="AJ1101" s="190"/>
      <c r="AK1101" s="190"/>
      <c r="AL1101" s="190"/>
      <c r="AM1101" s="190"/>
    </row>
    <row r="1102" spans="2:39">
      <c r="B1102" s="162"/>
      <c r="C1102" s="162"/>
      <c r="D1102" s="191"/>
      <c r="E1102" s="191"/>
      <c r="F1102" s="191"/>
      <c r="G1102" s="191"/>
      <c r="H1102" s="191"/>
      <c r="I1102" s="191"/>
      <c r="J1102" s="191"/>
      <c r="K1102" s="191"/>
      <c r="L1102" s="191"/>
      <c r="M1102" s="191"/>
      <c r="N1102" s="191"/>
      <c r="O1102" s="191"/>
      <c r="P1102" s="191"/>
      <c r="Q1102" s="191"/>
      <c r="R1102" s="191"/>
      <c r="S1102" s="191"/>
      <c r="T1102" s="191"/>
      <c r="U1102" s="191"/>
      <c r="V1102" s="191"/>
      <c r="W1102" s="191"/>
      <c r="X1102" s="191"/>
      <c r="Y1102" s="191"/>
      <c r="Z1102" s="191"/>
      <c r="AA1102" s="191"/>
      <c r="AB1102" s="191"/>
      <c r="AC1102" s="190"/>
      <c r="AD1102" s="190"/>
      <c r="AE1102" s="190"/>
      <c r="AF1102" s="190"/>
      <c r="AG1102" s="190"/>
      <c r="AH1102" s="190"/>
      <c r="AI1102" s="190"/>
      <c r="AJ1102" s="190"/>
      <c r="AK1102" s="190"/>
      <c r="AL1102" s="190"/>
      <c r="AM1102" s="190"/>
    </row>
    <row r="1103" spans="2:39">
      <c r="B1103" s="162"/>
      <c r="C1103" s="162"/>
      <c r="D1103" s="191"/>
      <c r="E1103" s="191"/>
      <c r="F1103" s="191"/>
      <c r="G1103" s="191"/>
      <c r="H1103" s="191"/>
      <c r="I1103" s="191"/>
      <c r="J1103" s="191"/>
      <c r="K1103" s="191"/>
      <c r="L1103" s="191"/>
      <c r="M1103" s="191"/>
      <c r="N1103" s="191"/>
      <c r="O1103" s="191"/>
      <c r="P1103" s="191"/>
      <c r="Q1103" s="191"/>
      <c r="R1103" s="191"/>
      <c r="S1103" s="191"/>
      <c r="T1103" s="191"/>
      <c r="U1103" s="191"/>
      <c r="V1103" s="191"/>
      <c r="W1103" s="191"/>
      <c r="X1103" s="191"/>
      <c r="Y1103" s="191"/>
      <c r="Z1103" s="191"/>
      <c r="AA1103" s="191"/>
      <c r="AB1103" s="191"/>
      <c r="AC1103" s="190"/>
      <c r="AD1103" s="190"/>
      <c r="AE1103" s="190"/>
      <c r="AF1103" s="190"/>
      <c r="AG1103" s="190"/>
      <c r="AH1103" s="190"/>
      <c r="AI1103" s="190"/>
      <c r="AJ1103" s="190"/>
      <c r="AK1103" s="190"/>
      <c r="AL1103" s="190"/>
      <c r="AM1103" s="190"/>
    </row>
    <row r="1104" spans="2:39">
      <c r="B1104" s="162"/>
      <c r="C1104" s="162"/>
      <c r="D1104" s="191"/>
      <c r="E1104" s="191"/>
      <c r="F1104" s="191"/>
      <c r="G1104" s="191"/>
      <c r="H1104" s="191"/>
      <c r="I1104" s="191"/>
      <c r="J1104" s="191"/>
      <c r="K1104" s="191"/>
      <c r="L1104" s="191"/>
      <c r="M1104" s="191"/>
      <c r="N1104" s="191"/>
      <c r="O1104" s="191"/>
      <c r="P1104" s="191"/>
      <c r="Q1104" s="191"/>
      <c r="R1104" s="191"/>
      <c r="S1104" s="191"/>
      <c r="T1104" s="191"/>
      <c r="U1104" s="191"/>
      <c r="V1104" s="191"/>
      <c r="W1104" s="191"/>
      <c r="X1104" s="191"/>
      <c r="Y1104" s="191"/>
      <c r="Z1104" s="191"/>
      <c r="AA1104" s="191"/>
      <c r="AB1104" s="191"/>
      <c r="AC1104" s="190"/>
      <c r="AD1104" s="190"/>
      <c r="AE1104" s="190"/>
      <c r="AF1104" s="190"/>
      <c r="AG1104" s="190"/>
      <c r="AH1104" s="190"/>
      <c r="AI1104" s="190"/>
      <c r="AJ1104" s="190"/>
      <c r="AK1104" s="190"/>
      <c r="AL1104" s="190"/>
      <c r="AM1104" s="190"/>
    </row>
    <row r="1105" spans="2:39">
      <c r="B1105" s="162"/>
      <c r="C1105" s="162"/>
      <c r="D1105" s="191"/>
      <c r="E1105" s="191"/>
      <c r="F1105" s="191"/>
      <c r="G1105" s="191"/>
      <c r="H1105" s="191"/>
      <c r="I1105" s="191"/>
      <c r="J1105" s="191"/>
      <c r="K1105" s="191"/>
      <c r="L1105" s="191"/>
      <c r="M1105" s="191"/>
      <c r="N1105" s="191"/>
      <c r="O1105" s="191"/>
      <c r="P1105" s="191"/>
      <c r="Q1105" s="191"/>
      <c r="R1105" s="191"/>
      <c r="S1105" s="191"/>
      <c r="T1105" s="191"/>
      <c r="U1105" s="191"/>
      <c r="V1105" s="191"/>
      <c r="W1105" s="191"/>
      <c r="X1105" s="191"/>
      <c r="Y1105" s="191"/>
      <c r="Z1105" s="191"/>
      <c r="AA1105" s="191"/>
      <c r="AB1105" s="191"/>
      <c r="AC1105" s="190"/>
      <c r="AD1105" s="190"/>
      <c r="AE1105" s="190"/>
      <c r="AF1105" s="190"/>
      <c r="AG1105" s="190"/>
      <c r="AH1105" s="190"/>
      <c r="AI1105" s="190"/>
      <c r="AJ1105" s="190"/>
      <c r="AK1105" s="190"/>
      <c r="AL1105" s="190"/>
      <c r="AM1105" s="190"/>
    </row>
    <row r="1106" spans="2:39">
      <c r="B1106" s="162"/>
      <c r="C1106" s="162"/>
      <c r="D1106" s="191"/>
      <c r="E1106" s="191"/>
      <c r="F1106" s="191"/>
      <c r="G1106" s="191"/>
      <c r="H1106" s="191"/>
      <c r="I1106" s="191"/>
      <c r="J1106" s="191"/>
      <c r="K1106" s="191"/>
      <c r="L1106" s="191"/>
      <c r="M1106" s="191"/>
      <c r="N1106" s="191"/>
      <c r="O1106" s="191"/>
      <c r="P1106" s="191"/>
      <c r="Q1106" s="191"/>
      <c r="R1106" s="191"/>
      <c r="S1106" s="191"/>
      <c r="T1106" s="191"/>
      <c r="U1106" s="191"/>
      <c r="V1106" s="191"/>
      <c r="W1106" s="191"/>
      <c r="X1106" s="191"/>
      <c r="Y1106" s="191"/>
      <c r="Z1106" s="191"/>
      <c r="AA1106" s="191"/>
      <c r="AB1106" s="191"/>
      <c r="AC1106" s="190"/>
      <c r="AD1106" s="190"/>
      <c r="AE1106" s="190"/>
      <c r="AF1106" s="190"/>
      <c r="AG1106" s="190"/>
      <c r="AH1106" s="190"/>
      <c r="AI1106" s="190"/>
      <c r="AJ1106" s="190"/>
      <c r="AK1106" s="190"/>
      <c r="AL1106" s="190"/>
      <c r="AM1106" s="190"/>
    </row>
    <row r="1107" spans="2:39">
      <c r="B1107" s="162"/>
      <c r="C1107" s="162"/>
      <c r="D1107" s="191"/>
      <c r="E1107" s="191"/>
      <c r="F1107" s="191"/>
      <c r="G1107" s="191"/>
      <c r="H1107" s="191"/>
      <c r="I1107" s="191"/>
      <c r="J1107" s="191"/>
      <c r="K1107" s="191"/>
      <c r="L1107" s="191"/>
      <c r="M1107" s="191"/>
      <c r="N1107" s="191"/>
      <c r="O1107" s="191"/>
      <c r="P1107" s="191"/>
      <c r="Q1107" s="191"/>
      <c r="R1107" s="191"/>
      <c r="S1107" s="191"/>
      <c r="T1107" s="191"/>
      <c r="U1107" s="191"/>
      <c r="V1107" s="191"/>
      <c r="W1107" s="191"/>
      <c r="X1107" s="191"/>
      <c r="Y1107" s="191"/>
      <c r="Z1107" s="191"/>
      <c r="AA1107" s="191"/>
      <c r="AB1107" s="191"/>
      <c r="AC1107" s="190"/>
      <c r="AD1107" s="190"/>
      <c r="AE1107" s="190"/>
      <c r="AF1107" s="190"/>
      <c r="AG1107" s="190"/>
      <c r="AH1107" s="190"/>
      <c r="AI1107" s="190"/>
      <c r="AJ1107" s="190"/>
      <c r="AK1107" s="190"/>
      <c r="AL1107" s="190"/>
      <c r="AM1107" s="190"/>
    </row>
    <row r="1108" spans="2:39">
      <c r="B1108" s="162"/>
      <c r="C1108" s="162"/>
      <c r="D1108" s="191"/>
      <c r="E1108" s="191"/>
      <c r="F1108" s="191"/>
      <c r="G1108" s="191"/>
      <c r="H1108" s="191"/>
      <c r="I1108" s="191"/>
      <c r="J1108" s="191"/>
      <c r="K1108" s="191"/>
      <c r="L1108" s="191"/>
      <c r="M1108" s="191"/>
      <c r="N1108" s="191"/>
      <c r="O1108" s="191"/>
      <c r="P1108" s="191"/>
      <c r="Q1108" s="191"/>
      <c r="R1108" s="191"/>
      <c r="S1108" s="191"/>
      <c r="T1108" s="191"/>
      <c r="U1108" s="191"/>
      <c r="V1108" s="191"/>
      <c r="W1108" s="191"/>
      <c r="X1108" s="191"/>
      <c r="Y1108" s="191"/>
      <c r="Z1108" s="191"/>
      <c r="AA1108" s="191"/>
      <c r="AB1108" s="191"/>
      <c r="AC1108" s="190"/>
      <c r="AD1108" s="190"/>
      <c r="AE1108" s="190"/>
      <c r="AF1108" s="190"/>
      <c r="AG1108" s="190"/>
      <c r="AH1108" s="190"/>
      <c r="AI1108" s="190"/>
      <c r="AJ1108" s="190"/>
      <c r="AK1108" s="190"/>
      <c r="AL1108" s="190"/>
      <c r="AM1108" s="190"/>
    </row>
    <row r="1109" spans="2:39">
      <c r="B1109" s="162"/>
      <c r="C1109" s="162"/>
      <c r="D1109" s="191"/>
      <c r="E1109" s="191"/>
      <c r="F1109" s="191"/>
      <c r="G1109" s="191"/>
      <c r="H1109" s="191"/>
      <c r="I1109" s="191"/>
      <c r="J1109" s="191"/>
      <c r="K1109" s="191"/>
      <c r="L1109" s="191"/>
      <c r="M1109" s="191"/>
      <c r="N1109" s="191"/>
      <c r="O1109" s="191"/>
      <c r="P1109" s="191"/>
      <c r="Q1109" s="191"/>
      <c r="R1109" s="191"/>
      <c r="S1109" s="191"/>
      <c r="T1109" s="191"/>
      <c r="U1109" s="191"/>
      <c r="V1109" s="191"/>
      <c r="W1109" s="191"/>
      <c r="X1109" s="191"/>
      <c r="Y1109" s="191"/>
      <c r="Z1109" s="191"/>
      <c r="AA1109" s="191"/>
      <c r="AB1109" s="191"/>
      <c r="AC1109" s="190"/>
      <c r="AD1109" s="190"/>
      <c r="AE1109" s="190"/>
      <c r="AF1109" s="190"/>
      <c r="AG1109" s="190"/>
      <c r="AH1109" s="190"/>
      <c r="AI1109" s="190"/>
      <c r="AJ1109" s="190"/>
      <c r="AK1109" s="190"/>
      <c r="AL1109" s="190"/>
      <c r="AM1109" s="190"/>
    </row>
    <row r="1110" spans="2:39">
      <c r="B1110" s="162"/>
      <c r="C1110" s="162"/>
      <c r="D1110" s="191"/>
      <c r="E1110" s="191"/>
      <c r="F1110" s="191"/>
      <c r="G1110" s="191"/>
      <c r="H1110" s="191"/>
      <c r="I1110" s="191"/>
      <c r="J1110" s="191"/>
      <c r="K1110" s="191"/>
      <c r="L1110" s="191"/>
      <c r="M1110" s="191"/>
      <c r="N1110" s="191"/>
      <c r="O1110" s="191"/>
      <c r="P1110" s="191"/>
      <c r="Q1110" s="191"/>
      <c r="R1110" s="191"/>
      <c r="S1110" s="191"/>
      <c r="T1110" s="191"/>
      <c r="U1110" s="191"/>
      <c r="V1110" s="191"/>
      <c r="W1110" s="191"/>
      <c r="X1110" s="191"/>
      <c r="Y1110" s="191"/>
      <c r="Z1110" s="191"/>
      <c r="AA1110" s="191"/>
      <c r="AB1110" s="191"/>
      <c r="AC1110" s="190"/>
      <c r="AD1110" s="190"/>
      <c r="AE1110" s="190"/>
      <c r="AF1110" s="190"/>
      <c r="AG1110" s="190"/>
      <c r="AH1110" s="190"/>
      <c r="AI1110" s="190"/>
      <c r="AJ1110" s="190"/>
      <c r="AK1110" s="190"/>
      <c r="AL1110" s="190"/>
      <c r="AM1110" s="190"/>
    </row>
    <row r="1111" spans="2:39">
      <c r="B1111" s="162"/>
      <c r="C1111" s="162"/>
      <c r="D1111" s="191"/>
      <c r="E1111" s="191"/>
      <c r="F1111" s="191"/>
      <c r="G1111" s="191"/>
      <c r="H1111" s="191"/>
      <c r="I1111" s="191"/>
      <c r="J1111" s="191"/>
      <c r="K1111" s="191"/>
      <c r="L1111" s="191"/>
      <c r="M1111" s="191"/>
      <c r="N1111" s="191"/>
      <c r="O1111" s="191"/>
      <c r="P1111" s="191"/>
      <c r="Q1111" s="191"/>
      <c r="R1111" s="191"/>
      <c r="S1111" s="191"/>
      <c r="T1111" s="191"/>
      <c r="U1111" s="191"/>
      <c r="V1111" s="191"/>
      <c r="W1111" s="191"/>
      <c r="X1111" s="191"/>
      <c r="Y1111" s="191"/>
      <c r="Z1111" s="191"/>
      <c r="AA1111" s="191"/>
      <c r="AB1111" s="191"/>
      <c r="AC1111" s="190"/>
      <c r="AD1111" s="190"/>
      <c r="AE1111" s="190"/>
      <c r="AF1111" s="190"/>
      <c r="AG1111" s="190"/>
      <c r="AH1111" s="190"/>
      <c r="AI1111" s="190"/>
      <c r="AJ1111" s="190"/>
      <c r="AK1111" s="190"/>
      <c r="AL1111" s="190"/>
      <c r="AM1111" s="190"/>
    </row>
    <row r="1112" spans="2:39">
      <c r="B1112" s="162"/>
      <c r="C1112" s="162"/>
      <c r="D1112" s="191"/>
      <c r="E1112" s="191"/>
      <c r="F1112" s="191"/>
      <c r="G1112" s="191"/>
      <c r="H1112" s="191"/>
      <c r="I1112" s="191"/>
      <c r="J1112" s="191"/>
      <c r="K1112" s="191"/>
      <c r="L1112" s="191"/>
      <c r="M1112" s="191"/>
      <c r="N1112" s="191"/>
      <c r="O1112" s="191"/>
      <c r="P1112" s="191"/>
      <c r="Q1112" s="191"/>
      <c r="R1112" s="191"/>
      <c r="S1112" s="191"/>
      <c r="T1112" s="191"/>
      <c r="U1112" s="191"/>
      <c r="V1112" s="191"/>
      <c r="W1112" s="191"/>
      <c r="X1112" s="191"/>
      <c r="Y1112" s="191"/>
      <c r="Z1112" s="191"/>
      <c r="AA1112" s="191"/>
      <c r="AB1112" s="191"/>
      <c r="AC1112" s="190"/>
      <c r="AD1112" s="190"/>
      <c r="AE1112" s="190"/>
      <c r="AF1112" s="190"/>
      <c r="AG1112" s="190"/>
      <c r="AH1112" s="190"/>
      <c r="AI1112" s="190"/>
      <c r="AJ1112" s="190"/>
      <c r="AK1112" s="190"/>
      <c r="AL1112" s="190"/>
      <c r="AM1112" s="190"/>
    </row>
    <row r="1113" spans="2:39">
      <c r="B1113" s="162"/>
      <c r="C1113" s="162"/>
      <c r="D1113" s="191"/>
      <c r="E1113" s="191"/>
      <c r="F1113" s="191"/>
      <c r="G1113" s="191"/>
      <c r="H1113" s="191"/>
      <c r="I1113" s="191"/>
      <c r="J1113" s="191"/>
      <c r="K1113" s="191"/>
      <c r="L1113" s="191"/>
      <c r="M1113" s="191"/>
      <c r="N1113" s="191"/>
      <c r="O1113" s="191"/>
      <c r="P1113" s="191"/>
      <c r="Q1113" s="191"/>
      <c r="R1113" s="191"/>
      <c r="S1113" s="191"/>
      <c r="T1113" s="191"/>
      <c r="U1113" s="191"/>
      <c r="V1113" s="191"/>
      <c r="W1113" s="191"/>
      <c r="X1113" s="191"/>
      <c r="Y1113" s="191"/>
      <c r="Z1113" s="191"/>
      <c r="AA1113" s="191"/>
      <c r="AB1113" s="191"/>
      <c r="AC1113" s="190"/>
      <c r="AD1113" s="190"/>
      <c r="AE1113" s="190"/>
      <c r="AF1113" s="190"/>
      <c r="AG1113" s="190"/>
      <c r="AH1113" s="190"/>
      <c r="AI1113" s="190"/>
      <c r="AJ1113" s="190"/>
      <c r="AK1113" s="190"/>
      <c r="AL1113" s="190"/>
      <c r="AM1113" s="190"/>
    </row>
    <row r="1114" spans="2:39">
      <c r="B1114" s="162"/>
      <c r="C1114" s="162"/>
      <c r="D1114" s="191"/>
      <c r="E1114" s="191"/>
      <c r="F1114" s="191"/>
      <c r="G1114" s="191"/>
      <c r="H1114" s="191"/>
      <c r="I1114" s="191"/>
      <c r="J1114" s="191"/>
      <c r="K1114" s="191"/>
      <c r="L1114" s="191"/>
      <c r="M1114" s="191"/>
      <c r="N1114" s="191"/>
      <c r="O1114" s="191"/>
      <c r="P1114" s="191"/>
      <c r="Q1114" s="191"/>
      <c r="R1114" s="191"/>
      <c r="S1114" s="191"/>
      <c r="T1114" s="191"/>
      <c r="U1114" s="191"/>
      <c r="V1114" s="191"/>
      <c r="W1114" s="191"/>
      <c r="X1114" s="191"/>
      <c r="Y1114" s="191"/>
      <c r="Z1114" s="191"/>
      <c r="AA1114" s="191"/>
      <c r="AB1114" s="191"/>
      <c r="AC1114" s="190"/>
      <c r="AD1114" s="190"/>
      <c r="AE1114" s="190"/>
      <c r="AF1114" s="190"/>
      <c r="AG1114" s="190"/>
      <c r="AH1114" s="190"/>
      <c r="AI1114" s="190"/>
      <c r="AJ1114" s="190"/>
      <c r="AK1114" s="190"/>
      <c r="AL1114" s="190"/>
      <c r="AM1114" s="190"/>
    </row>
    <row r="1115" spans="2:39">
      <c r="B1115" s="162"/>
      <c r="C1115" s="162"/>
      <c r="D1115" s="191"/>
      <c r="E1115" s="191"/>
      <c r="F1115" s="191"/>
      <c r="G1115" s="191"/>
      <c r="H1115" s="191"/>
      <c r="I1115" s="191"/>
      <c r="J1115" s="191"/>
      <c r="K1115" s="191"/>
      <c r="L1115" s="191"/>
      <c r="M1115" s="191"/>
      <c r="N1115" s="191"/>
      <c r="O1115" s="191"/>
      <c r="P1115" s="191"/>
      <c r="Q1115" s="191"/>
      <c r="R1115" s="191"/>
      <c r="S1115" s="191"/>
      <c r="T1115" s="191"/>
      <c r="U1115" s="191"/>
      <c r="V1115" s="191"/>
      <c r="W1115" s="191"/>
      <c r="X1115" s="191"/>
      <c r="Y1115" s="191"/>
      <c r="Z1115" s="191"/>
      <c r="AA1115" s="191"/>
      <c r="AB1115" s="191"/>
      <c r="AC1115" s="190"/>
      <c r="AD1115" s="190"/>
      <c r="AE1115" s="190"/>
      <c r="AF1115" s="190"/>
      <c r="AG1115" s="190"/>
      <c r="AH1115" s="190"/>
      <c r="AI1115" s="190"/>
      <c r="AJ1115" s="190"/>
      <c r="AK1115" s="190"/>
      <c r="AL1115" s="190"/>
      <c r="AM1115" s="190"/>
    </row>
    <row r="1116" spans="2:39">
      <c r="B1116" s="162"/>
      <c r="C1116" s="162"/>
      <c r="D1116" s="191"/>
      <c r="E1116" s="191"/>
      <c r="F1116" s="191"/>
      <c r="G1116" s="191"/>
      <c r="H1116" s="191"/>
      <c r="I1116" s="191"/>
      <c r="J1116" s="191"/>
      <c r="K1116" s="191"/>
      <c r="L1116" s="191"/>
      <c r="M1116" s="191"/>
      <c r="N1116" s="191"/>
      <c r="O1116" s="191"/>
      <c r="P1116" s="191"/>
      <c r="Q1116" s="191"/>
      <c r="R1116" s="191"/>
      <c r="S1116" s="191"/>
      <c r="T1116" s="191"/>
      <c r="U1116" s="191"/>
      <c r="V1116" s="191"/>
      <c r="W1116" s="191"/>
      <c r="X1116" s="191"/>
      <c r="Y1116" s="191"/>
      <c r="Z1116" s="191"/>
      <c r="AA1116" s="191"/>
      <c r="AB1116" s="191"/>
      <c r="AC1116" s="190"/>
      <c r="AD1116" s="190"/>
      <c r="AE1116" s="190"/>
      <c r="AF1116" s="190"/>
      <c r="AG1116" s="190"/>
      <c r="AH1116" s="190"/>
      <c r="AI1116" s="190"/>
      <c r="AJ1116" s="190"/>
      <c r="AK1116" s="190"/>
      <c r="AL1116" s="190"/>
      <c r="AM1116" s="190"/>
    </row>
    <row r="1117" spans="2:39">
      <c r="B1117" s="162"/>
      <c r="C1117" s="162"/>
      <c r="D1117" s="191"/>
      <c r="E1117" s="191"/>
      <c r="F1117" s="191"/>
      <c r="G1117" s="191"/>
      <c r="H1117" s="191"/>
      <c r="I1117" s="191"/>
      <c r="J1117" s="191"/>
      <c r="K1117" s="191"/>
      <c r="L1117" s="191"/>
      <c r="M1117" s="191"/>
      <c r="N1117" s="191"/>
      <c r="O1117" s="191"/>
      <c r="P1117" s="191"/>
      <c r="Q1117" s="191"/>
      <c r="R1117" s="191"/>
      <c r="S1117" s="191"/>
      <c r="T1117" s="191"/>
      <c r="U1117" s="191"/>
      <c r="V1117" s="191"/>
      <c r="W1117" s="191"/>
      <c r="X1117" s="191"/>
      <c r="Y1117" s="191"/>
      <c r="Z1117" s="191"/>
      <c r="AA1117" s="191"/>
      <c r="AB1117" s="191"/>
      <c r="AC1117" s="190"/>
      <c r="AD1117" s="190"/>
      <c r="AE1117" s="190"/>
      <c r="AF1117" s="190"/>
      <c r="AG1117" s="190"/>
      <c r="AH1117" s="190"/>
      <c r="AI1117" s="190"/>
      <c r="AJ1117" s="190"/>
      <c r="AK1117" s="190"/>
      <c r="AL1117" s="190"/>
      <c r="AM1117" s="190"/>
    </row>
    <row r="1118" spans="2:39">
      <c r="B1118" s="162"/>
      <c r="C1118" s="162"/>
      <c r="D1118" s="191"/>
      <c r="E1118" s="191"/>
      <c r="F1118" s="191"/>
      <c r="G1118" s="191"/>
      <c r="H1118" s="191"/>
      <c r="I1118" s="191"/>
      <c r="J1118" s="191"/>
      <c r="K1118" s="191"/>
      <c r="L1118" s="191"/>
      <c r="M1118" s="191"/>
      <c r="N1118" s="191"/>
      <c r="O1118" s="191"/>
      <c r="P1118" s="191"/>
      <c r="Q1118" s="191"/>
      <c r="R1118" s="191"/>
      <c r="S1118" s="191"/>
      <c r="T1118" s="191"/>
      <c r="U1118" s="191"/>
      <c r="V1118" s="191"/>
      <c r="W1118" s="191"/>
      <c r="X1118" s="191"/>
      <c r="Y1118" s="191"/>
      <c r="Z1118" s="191"/>
      <c r="AA1118" s="191"/>
      <c r="AB1118" s="191"/>
      <c r="AC1118" s="190"/>
      <c r="AD1118" s="190"/>
      <c r="AE1118" s="190"/>
      <c r="AF1118" s="190"/>
      <c r="AG1118" s="190"/>
      <c r="AH1118" s="190"/>
      <c r="AI1118" s="190"/>
      <c r="AJ1118" s="190"/>
      <c r="AK1118" s="190"/>
      <c r="AL1118" s="190"/>
      <c r="AM1118" s="190"/>
    </row>
    <row r="1119" spans="2:39">
      <c r="B1119" s="162"/>
      <c r="C1119" s="162"/>
      <c r="D1119" s="191"/>
      <c r="E1119" s="191"/>
      <c r="F1119" s="191"/>
      <c r="G1119" s="191"/>
      <c r="H1119" s="191"/>
      <c r="I1119" s="191"/>
      <c r="J1119" s="191"/>
      <c r="K1119" s="191"/>
      <c r="L1119" s="191"/>
      <c r="M1119" s="191"/>
      <c r="N1119" s="191"/>
      <c r="O1119" s="191"/>
      <c r="P1119" s="191"/>
      <c r="Q1119" s="191"/>
      <c r="R1119" s="191"/>
      <c r="S1119" s="191"/>
      <c r="T1119" s="191"/>
      <c r="U1119" s="191"/>
      <c r="V1119" s="191"/>
      <c r="W1119" s="191"/>
      <c r="X1119" s="191"/>
      <c r="Y1119" s="191"/>
      <c r="Z1119" s="191"/>
      <c r="AA1119" s="191"/>
      <c r="AB1119" s="191"/>
      <c r="AC1119" s="190"/>
      <c r="AD1119" s="190"/>
      <c r="AE1119" s="190"/>
      <c r="AF1119" s="190"/>
      <c r="AG1119" s="190"/>
      <c r="AH1119" s="190"/>
      <c r="AI1119" s="190"/>
      <c r="AJ1119" s="190"/>
      <c r="AK1119" s="190"/>
      <c r="AL1119" s="190"/>
      <c r="AM1119" s="190"/>
    </row>
    <row r="1120" spans="2:39">
      <c r="B1120" s="162"/>
      <c r="C1120" s="162"/>
      <c r="D1120" s="191"/>
      <c r="E1120" s="191"/>
      <c r="F1120" s="191"/>
      <c r="G1120" s="191"/>
      <c r="H1120" s="191"/>
      <c r="I1120" s="191"/>
      <c r="J1120" s="191"/>
      <c r="K1120" s="191"/>
      <c r="L1120" s="191"/>
      <c r="M1120" s="191"/>
      <c r="N1120" s="191"/>
      <c r="O1120" s="191"/>
      <c r="P1120" s="191"/>
      <c r="Q1120" s="191"/>
      <c r="R1120" s="191"/>
      <c r="S1120" s="191"/>
      <c r="T1120" s="191"/>
      <c r="U1120" s="191"/>
      <c r="V1120" s="191"/>
      <c r="W1120" s="191"/>
      <c r="X1120" s="191"/>
      <c r="Y1120" s="191"/>
      <c r="Z1120" s="191"/>
      <c r="AA1120" s="191"/>
      <c r="AB1120" s="191"/>
      <c r="AC1120" s="190"/>
      <c r="AD1120" s="190"/>
      <c r="AE1120" s="190"/>
      <c r="AF1120" s="190"/>
      <c r="AG1120" s="190"/>
      <c r="AH1120" s="190"/>
      <c r="AI1120" s="190"/>
      <c r="AJ1120" s="190"/>
      <c r="AK1120" s="190"/>
      <c r="AL1120" s="190"/>
      <c r="AM1120" s="190"/>
    </row>
    <row r="1121" spans="2:39">
      <c r="B1121" s="162"/>
      <c r="C1121" s="162"/>
      <c r="D1121" s="191"/>
      <c r="E1121" s="191"/>
      <c r="F1121" s="191"/>
      <c r="G1121" s="191"/>
      <c r="H1121" s="191"/>
      <c r="I1121" s="191"/>
      <c r="J1121" s="191"/>
      <c r="K1121" s="191"/>
      <c r="L1121" s="191"/>
      <c r="M1121" s="191"/>
      <c r="N1121" s="191"/>
      <c r="O1121" s="191"/>
      <c r="P1121" s="191"/>
      <c r="Q1121" s="191"/>
      <c r="R1121" s="191"/>
      <c r="S1121" s="191"/>
      <c r="T1121" s="191"/>
      <c r="U1121" s="191"/>
      <c r="V1121" s="191"/>
      <c r="W1121" s="191"/>
      <c r="X1121" s="191"/>
      <c r="Y1121" s="191"/>
      <c r="Z1121" s="191"/>
      <c r="AA1121" s="191"/>
      <c r="AB1121" s="191"/>
      <c r="AC1121" s="190"/>
      <c r="AD1121" s="190"/>
      <c r="AE1121" s="190"/>
      <c r="AF1121" s="190"/>
      <c r="AG1121" s="190"/>
      <c r="AH1121" s="190"/>
      <c r="AI1121" s="190"/>
      <c r="AJ1121" s="190"/>
      <c r="AK1121" s="190"/>
      <c r="AL1121" s="190"/>
      <c r="AM1121" s="190"/>
    </row>
    <row r="1122" spans="2:39">
      <c r="B1122" s="162"/>
      <c r="C1122" s="162"/>
      <c r="D1122" s="191"/>
      <c r="E1122" s="191"/>
      <c r="F1122" s="191"/>
      <c r="G1122" s="191"/>
      <c r="H1122" s="191"/>
      <c r="I1122" s="191"/>
      <c r="J1122" s="191"/>
      <c r="K1122" s="191"/>
      <c r="L1122" s="191"/>
      <c r="M1122" s="191"/>
      <c r="N1122" s="191"/>
      <c r="O1122" s="191"/>
      <c r="P1122" s="191"/>
      <c r="Q1122" s="191"/>
      <c r="R1122" s="191"/>
      <c r="S1122" s="191"/>
      <c r="T1122" s="191"/>
      <c r="U1122" s="191"/>
      <c r="V1122" s="191"/>
      <c r="W1122" s="191"/>
      <c r="X1122" s="191"/>
      <c r="Y1122" s="191"/>
      <c r="Z1122" s="191"/>
      <c r="AA1122" s="191"/>
      <c r="AB1122" s="191"/>
      <c r="AC1122" s="190"/>
      <c r="AD1122" s="190"/>
      <c r="AE1122" s="190"/>
      <c r="AF1122" s="190"/>
      <c r="AG1122" s="190"/>
      <c r="AH1122" s="190"/>
      <c r="AI1122" s="190"/>
      <c r="AJ1122" s="190"/>
      <c r="AK1122" s="190"/>
      <c r="AL1122" s="190"/>
      <c r="AM1122" s="190"/>
    </row>
    <row r="1123" spans="2:39">
      <c r="B1123" s="162"/>
      <c r="C1123" s="162"/>
      <c r="D1123" s="191"/>
      <c r="E1123" s="191"/>
      <c r="F1123" s="191"/>
      <c r="G1123" s="191"/>
      <c r="H1123" s="191"/>
      <c r="I1123" s="191"/>
      <c r="J1123" s="191"/>
      <c r="K1123" s="191"/>
      <c r="L1123" s="191"/>
      <c r="M1123" s="191"/>
      <c r="N1123" s="191"/>
      <c r="O1123" s="191"/>
      <c r="P1123" s="191"/>
      <c r="Q1123" s="191"/>
      <c r="R1123" s="191"/>
      <c r="S1123" s="191"/>
      <c r="T1123" s="191"/>
      <c r="U1123" s="191"/>
      <c r="V1123" s="191"/>
      <c r="W1123" s="191"/>
      <c r="X1123" s="191"/>
      <c r="Y1123" s="191"/>
      <c r="Z1123" s="191"/>
      <c r="AA1123" s="191"/>
      <c r="AB1123" s="191"/>
      <c r="AC1123" s="190"/>
      <c r="AD1123" s="190"/>
      <c r="AE1123" s="190"/>
      <c r="AF1123" s="190"/>
      <c r="AG1123" s="190"/>
      <c r="AH1123" s="190"/>
      <c r="AI1123" s="190"/>
      <c r="AJ1123" s="190"/>
      <c r="AK1123" s="190"/>
      <c r="AL1123" s="190"/>
      <c r="AM1123" s="190"/>
    </row>
    <row r="1124" spans="2:39">
      <c r="B1124" s="162"/>
      <c r="C1124" s="162"/>
      <c r="D1124" s="191"/>
      <c r="E1124" s="191"/>
      <c r="F1124" s="191"/>
      <c r="G1124" s="191"/>
      <c r="H1124" s="191"/>
      <c r="I1124" s="191"/>
      <c r="J1124" s="191"/>
      <c r="K1124" s="191"/>
      <c r="L1124" s="191"/>
      <c r="M1124" s="191"/>
      <c r="N1124" s="191"/>
      <c r="O1124" s="191"/>
      <c r="P1124" s="191"/>
      <c r="Q1124" s="191"/>
      <c r="R1124" s="191"/>
      <c r="S1124" s="191"/>
      <c r="T1124" s="191"/>
      <c r="U1124" s="191"/>
      <c r="V1124" s="191"/>
      <c r="W1124" s="191"/>
      <c r="X1124" s="191"/>
      <c r="Y1124" s="191"/>
      <c r="Z1124" s="191"/>
      <c r="AA1124" s="191"/>
      <c r="AB1124" s="191"/>
      <c r="AC1124" s="190"/>
      <c r="AD1124" s="190"/>
      <c r="AE1124" s="190"/>
      <c r="AF1124" s="190"/>
      <c r="AG1124" s="190"/>
      <c r="AH1124" s="190"/>
      <c r="AI1124" s="190"/>
      <c r="AJ1124" s="190"/>
      <c r="AK1124" s="190"/>
      <c r="AL1124" s="190"/>
      <c r="AM1124" s="190"/>
    </row>
    <row r="1125" spans="2:39">
      <c r="B1125" s="162"/>
      <c r="C1125" s="162"/>
      <c r="D1125" s="191"/>
      <c r="E1125" s="191"/>
      <c r="F1125" s="191"/>
      <c r="G1125" s="191"/>
      <c r="H1125" s="191"/>
      <c r="I1125" s="191"/>
      <c r="J1125" s="191"/>
      <c r="K1125" s="191"/>
      <c r="L1125" s="191"/>
      <c r="M1125" s="191"/>
      <c r="N1125" s="191"/>
      <c r="O1125" s="191"/>
      <c r="P1125" s="191"/>
      <c r="Q1125" s="191"/>
      <c r="R1125" s="191"/>
      <c r="S1125" s="191"/>
      <c r="T1125" s="191"/>
      <c r="U1125" s="191"/>
      <c r="V1125" s="191"/>
      <c r="W1125" s="191"/>
      <c r="X1125" s="191"/>
      <c r="Y1125" s="191"/>
      <c r="Z1125" s="191"/>
      <c r="AA1125" s="191"/>
      <c r="AB1125" s="191"/>
      <c r="AC1125" s="190"/>
      <c r="AD1125" s="190"/>
      <c r="AE1125" s="190"/>
      <c r="AF1125" s="190"/>
      <c r="AG1125" s="190"/>
      <c r="AH1125" s="190"/>
      <c r="AI1125" s="190"/>
      <c r="AJ1125" s="190"/>
      <c r="AK1125" s="190"/>
      <c r="AL1125" s="190"/>
      <c r="AM1125" s="190"/>
    </row>
    <row r="1126" spans="2:39">
      <c r="B1126" s="162"/>
      <c r="C1126" s="162"/>
      <c r="D1126" s="191"/>
      <c r="E1126" s="191"/>
      <c r="F1126" s="191"/>
      <c r="G1126" s="191"/>
      <c r="H1126" s="191"/>
      <c r="I1126" s="191"/>
      <c r="J1126" s="191"/>
      <c r="K1126" s="191"/>
      <c r="L1126" s="191"/>
      <c r="M1126" s="191"/>
      <c r="N1126" s="191"/>
      <c r="O1126" s="191"/>
      <c r="P1126" s="191"/>
      <c r="Q1126" s="191"/>
      <c r="R1126" s="191"/>
      <c r="S1126" s="191"/>
      <c r="T1126" s="191"/>
      <c r="U1126" s="191"/>
      <c r="V1126" s="191"/>
      <c r="W1126" s="191"/>
      <c r="X1126" s="191"/>
      <c r="Y1126" s="191"/>
      <c r="Z1126" s="191"/>
      <c r="AA1126" s="191"/>
      <c r="AB1126" s="191"/>
      <c r="AC1126" s="190"/>
      <c r="AD1126" s="190"/>
      <c r="AE1126" s="190"/>
      <c r="AF1126" s="190"/>
      <c r="AG1126" s="190"/>
      <c r="AH1126" s="190"/>
      <c r="AI1126" s="190"/>
      <c r="AJ1126" s="190"/>
      <c r="AK1126" s="190"/>
      <c r="AL1126" s="190"/>
      <c r="AM1126" s="190"/>
    </row>
    <row r="1127" spans="2:39">
      <c r="B1127" s="162"/>
      <c r="C1127" s="162"/>
      <c r="D1127" s="191"/>
      <c r="E1127" s="191"/>
      <c r="F1127" s="191"/>
      <c r="G1127" s="191"/>
      <c r="H1127" s="191"/>
      <c r="I1127" s="191"/>
      <c r="J1127" s="191"/>
      <c r="K1127" s="191"/>
      <c r="L1127" s="191"/>
      <c r="M1127" s="191"/>
      <c r="N1127" s="191"/>
      <c r="O1127" s="191"/>
      <c r="P1127" s="191"/>
      <c r="Q1127" s="191"/>
      <c r="R1127" s="191"/>
      <c r="S1127" s="191"/>
      <c r="T1127" s="191"/>
      <c r="U1127" s="191"/>
      <c r="V1127" s="191"/>
      <c r="W1127" s="191"/>
      <c r="X1127" s="191"/>
      <c r="Y1127" s="191"/>
      <c r="Z1127" s="191"/>
      <c r="AA1127" s="191"/>
      <c r="AB1127" s="191"/>
      <c r="AC1127" s="190"/>
      <c r="AD1127" s="190"/>
      <c r="AE1127" s="190"/>
      <c r="AF1127" s="190"/>
      <c r="AG1127" s="190"/>
      <c r="AH1127" s="190"/>
      <c r="AI1127" s="190"/>
      <c r="AJ1127" s="190"/>
      <c r="AK1127" s="190"/>
      <c r="AL1127" s="190"/>
      <c r="AM1127" s="190"/>
    </row>
    <row r="1128" spans="2:39">
      <c r="B1128" s="162"/>
      <c r="C1128" s="162"/>
      <c r="D1128" s="191"/>
      <c r="E1128" s="191"/>
      <c r="F1128" s="191"/>
      <c r="G1128" s="191"/>
      <c r="H1128" s="191"/>
      <c r="I1128" s="191"/>
      <c r="J1128" s="191"/>
      <c r="K1128" s="191"/>
      <c r="L1128" s="191"/>
      <c r="M1128" s="191"/>
      <c r="N1128" s="191"/>
      <c r="O1128" s="191"/>
      <c r="P1128" s="191"/>
      <c r="Q1128" s="191"/>
      <c r="R1128" s="191"/>
      <c r="S1128" s="191"/>
      <c r="T1128" s="191"/>
      <c r="U1128" s="191"/>
      <c r="V1128" s="191"/>
      <c r="W1128" s="191"/>
      <c r="X1128" s="191"/>
      <c r="Y1128" s="191"/>
      <c r="Z1128" s="191"/>
      <c r="AA1128" s="191"/>
      <c r="AB1128" s="191"/>
      <c r="AC1128" s="190"/>
      <c r="AD1128" s="190"/>
      <c r="AE1128" s="190"/>
      <c r="AF1128" s="190"/>
      <c r="AG1128" s="190"/>
      <c r="AH1128" s="190"/>
      <c r="AI1128" s="190"/>
      <c r="AJ1128" s="190"/>
      <c r="AK1128" s="190"/>
      <c r="AL1128" s="190"/>
      <c r="AM1128" s="190"/>
    </row>
    <row r="1129" spans="2:39">
      <c r="B1129" s="162"/>
      <c r="C1129" s="162"/>
      <c r="D1129" s="191"/>
      <c r="E1129" s="191"/>
      <c r="F1129" s="191"/>
      <c r="G1129" s="191"/>
      <c r="H1129" s="191"/>
      <c r="I1129" s="191"/>
      <c r="J1129" s="191"/>
      <c r="K1129" s="191"/>
      <c r="L1129" s="191"/>
      <c r="M1129" s="191"/>
      <c r="N1129" s="191"/>
      <c r="O1129" s="191"/>
      <c r="P1129" s="191"/>
      <c r="Q1129" s="191"/>
      <c r="R1129" s="191"/>
      <c r="S1129" s="191"/>
      <c r="T1129" s="191"/>
      <c r="U1129" s="191"/>
      <c r="V1129" s="191"/>
      <c r="W1129" s="191"/>
      <c r="X1129" s="191"/>
      <c r="Y1129" s="191"/>
      <c r="Z1129" s="191"/>
      <c r="AA1129" s="191"/>
      <c r="AB1129" s="191"/>
      <c r="AC1129" s="190"/>
      <c r="AD1129" s="190"/>
      <c r="AE1129" s="190"/>
      <c r="AF1129" s="190"/>
      <c r="AG1129" s="190"/>
      <c r="AH1129" s="190"/>
      <c r="AI1129" s="190"/>
      <c r="AJ1129" s="190"/>
      <c r="AK1129" s="190"/>
      <c r="AL1129" s="190"/>
      <c r="AM1129" s="190"/>
    </row>
    <row r="1130" spans="2:39">
      <c r="B1130" s="162"/>
      <c r="C1130" s="162"/>
      <c r="D1130" s="191"/>
      <c r="E1130" s="191"/>
      <c r="F1130" s="191"/>
      <c r="G1130" s="191"/>
      <c r="H1130" s="191"/>
      <c r="I1130" s="191"/>
      <c r="J1130" s="191"/>
      <c r="K1130" s="191"/>
      <c r="L1130" s="191"/>
      <c r="M1130" s="191"/>
      <c r="N1130" s="191"/>
      <c r="O1130" s="191"/>
      <c r="P1130" s="191"/>
      <c r="Q1130" s="191"/>
      <c r="R1130" s="191"/>
      <c r="S1130" s="191"/>
      <c r="T1130" s="191"/>
      <c r="U1130" s="191"/>
      <c r="V1130" s="191"/>
      <c r="W1130" s="191"/>
      <c r="X1130" s="191"/>
      <c r="Y1130" s="191"/>
      <c r="Z1130" s="191"/>
      <c r="AA1130" s="191"/>
      <c r="AB1130" s="191"/>
      <c r="AC1130" s="190"/>
      <c r="AD1130" s="190"/>
      <c r="AE1130" s="190"/>
      <c r="AF1130" s="190"/>
      <c r="AG1130" s="190"/>
      <c r="AH1130" s="190"/>
      <c r="AI1130" s="190"/>
      <c r="AJ1130" s="190"/>
      <c r="AK1130" s="190"/>
      <c r="AL1130" s="190"/>
      <c r="AM1130" s="190"/>
    </row>
    <row r="1131" spans="2:39">
      <c r="B1131" s="162"/>
      <c r="C1131" s="162"/>
      <c r="D1131" s="191"/>
      <c r="E1131" s="191"/>
      <c r="F1131" s="191"/>
      <c r="G1131" s="191"/>
      <c r="H1131" s="191"/>
      <c r="I1131" s="191"/>
      <c r="J1131" s="191"/>
      <c r="K1131" s="191"/>
      <c r="L1131" s="191"/>
      <c r="M1131" s="191"/>
      <c r="N1131" s="191"/>
      <c r="O1131" s="191"/>
      <c r="P1131" s="191"/>
      <c r="Q1131" s="191"/>
      <c r="R1131" s="191"/>
      <c r="S1131" s="191"/>
      <c r="T1131" s="191"/>
      <c r="U1131" s="191"/>
      <c r="V1131" s="191"/>
      <c r="W1131" s="191"/>
      <c r="X1131" s="191"/>
      <c r="Y1131" s="191"/>
      <c r="Z1131" s="191"/>
      <c r="AA1131" s="191"/>
      <c r="AB1131" s="191"/>
      <c r="AC1131" s="190"/>
      <c r="AD1131" s="190"/>
      <c r="AE1131" s="190"/>
      <c r="AF1131" s="190"/>
      <c r="AG1131" s="190"/>
      <c r="AH1131" s="190"/>
      <c r="AI1131" s="190"/>
      <c r="AJ1131" s="190"/>
      <c r="AK1131" s="190"/>
      <c r="AL1131" s="190"/>
      <c r="AM1131" s="190"/>
    </row>
    <row r="1132" spans="2:39">
      <c r="B1132" s="162"/>
      <c r="C1132" s="162"/>
      <c r="D1132" s="191"/>
      <c r="E1132" s="191"/>
      <c r="F1132" s="191"/>
      <c r="G1132" s="191"/>
      <c r="H1132" s="191"/>
      <c r="I1132" s="191"/>
      <c r="J1132" s="191"/>
      <c r="K1132" s="191"/>
      <c r="L1132" s="191"/>
      <c r="M1132" s="191"/>
      <c r="N1132" s="191"/>
      <c r="O1132" s="191"/>
      <c r="P1132" s="191"/>
      <c r="Q1132" s="191"/>
      <c r="R1132" s="191"/>
      <c r="S1132" s="191"/>
      <c r="T1132" s="191"/>
      <c r="U1132" s="191"/>
      <c r="V1132" s="191"/>
      <c r="W1132" s="191"/>
      <c r="X1132" s="191"/>
      <c r="Y1132" s="191"/>
      <c r="Z1132" s="191"/>
      <c r="AA1132" s="191"/>
      <c r="AB1132" s="191"/>
      <c r="AC1132" s="190"/>
      <c r="AD1132" s="190"/>
      <c r="AE1132" s="190"/>
      <c r="AF1132" s="190"/>
      <c r="AG1132" s="190"/>
      <c r="AH1132" s="190"/>
      <c r="AI1132" s="190"/>
      <c r="AJ1132" s="190"/>
      <c r="AK1132" s="190"/>
      <c r="AL1132" s="190"/>
      <c r="AM1132" s="190"/>
    </row>
    <row r="1133" spans="2:39">
      <c r="B1133" s="162"/>
      <c r="C1133" s="162"/>
      <c r="D1133" s="191"/>
      <c r="E1133" s="191"/>
      <c r="F1133" s="191"/>
      <c r="G1133" s="191"/>
      <c r="H1133" s="191"/>
      <c r="I1133" s="191"/>
      <c r="J1133" s="191"/>
      <c r="K1133" s="191"/>
      <c r="L1133" s="191"/>
      <c r="M1133" s="191"/>
      <c r="N1133" s="191"/>
      <c r="O1133" s="191"/>
      <c r="P1133" s="191"/>
      <c r="Q1133" s="191"/>
      <c r="R1133" s="191"/>
      <c r="S1133" s="191"/>
      <c r="T1133" s="191"/>
      <c r="U1133" s="191"/>
      <c r="V1133" s="191"/>
      <c r="W1133" s="191"/>
      <c r="X1133" s="191"/>
      <c r="Y1133" s="191"/>
      <c r="Z1133" s="191"/>
      <c r="AA1133" s="191"/>
      <c r="AB1133" s="191"/>
      <c r="AC1133" s="190"/>
      <c r="AD1133" s="190"/>
      <c r="AE1133" s="190"/>
      <c r="AF1133" s="190"/>
      <c r="AG1133" s="190"/>
      <c r="AH1133" s="190"/>
      <c r="AI1133" s="190"/>
      <c r="AJ1133" s="190"/>
      <c r="AK1133" s="190"/>
      <c r="AL1133" s="190"/>
      <c r="AM1133" s="190"/>
    </row>
    <row r="1134" spans="2:39">
      <c r="B1134" s="162"/>
      <c r="C1134" s="162"/>
      <c r="D1134" s="191"/>
      <c r="E1134" s="191"/>
      <c r="F1134" s="191"/>
      <c r="G1134" s="191"/>
      <c r="H1134" s="191"/>
      <c r="I1134" s="191"/>
      <c r="J1134" s="191"/>
      <c r="K1134" s="191"/>
      <c r="L1134" s="191"/>
      <c r="M1134" s="191"/>
      <c r="N1134" s="191"/>
      <c r="O1134" s="191"/>
      <c r="P1134" s="191"/>
      <c r="Q1134" s="191"/>
      <c r="R1134" s="191"/>
      <c r="S1134" s="191"/>
      <c r="T1134" s="191"/>
      <c r="U1134" s="191"/>
      <c r="V1134" s="191"/>
      <c r="W1134" s="191"/>
      <c r="X1134" s="191"/>
      <c r="Y1134" s="191"/>
      <c r="Z1134" s="191"/>
      <c r="AA1134" s="191"/>
      <c r="AB1134" s="191"/>
      <c r="AC1134" s="190"/>
      <c r="AD1134" s="190"/>
      <c r="AE1134" s="190"/>
      <c r="AF1134" s="190"/>
      <c r="AG1134" s="190"/>
      <c r="AH1134" s="190"/>
      <c r="AI1134" s="190"/>
      <c r="AJ1134" s="190"/>
      <c r="AK1134" s="190"/>
      <c r="AL1134" s="190"/>
      <c r="AM1134" s="190"/>
    </row>
    <row r="1135" spans="2:39">
      <c r="B1135" s="162"/>
      <c r="C1135" s="162"/>
      <c r="D1135" s="191"/>
      <c r="E1135" s="191"/>
      <c r="F1135" s="191"/>
      <c r="G1135" s="191"/>
      <c r="H1135" s="191"/>
      <c r="I1135" s="191"/>
      <c r="J1135" s="191"/>
      <c r="K1135" s="191"/>
      <c r="L1135" s="191"/>
      <c r="M1135" s="191"/>
      <c r="N1135" s="191"/>
      <c r="O1135" s="191"/>
      <c r="P1135" s="191"/>
      <c r="Q1135" s="191"/>
      <c r="R1135" s="191"/>
      <c r="S1135" s="191"/>
      <c r="T1135" s="191"/>
      <c r="U1135" s="191"/>
      <c r="V1135" s="191"/>
      <c r="W1135" s="191"/>
      <c r="X1135" s="191"/>
      <c r="Y1135" s="191"/>
      <c r="Z1135" s="191"/>
      <c r="AA1135" s="191"/>
      <c r="AB1135" s="191"/>
      <c r="AC1135" s="190"/>
      <c r="AD1135" s="190"/>
      <c r="AE1135" s="190"/>
      <c r="AF1135" s="190"/>
      <c r="AG1135" s="190"/>
      <c r="AH1135" s="190"/>
      <c r="AI1135" s="190"/>
      <c r="AJ1135" s="190"/>
      <c r="AK1135" s="190"/>
      <c r="AL1135" s="190"/>
      <c r="AM1135" s="190"/>
    </row>
    <row r="1136" spans="2:39">
      <c r="B1136" s="162"/>
      <c r="C1136" s="162"/>
      <c r="D1136" s="191"/>
      <c r="E1136" s="191"/>
      <c r="F1136" s="191"/>
      <c r="G1136" s="191"/>
      <c r="H1136" s="191"/>
      <c r="I1136" s="191"/>
      <c r="J1136" s="191"/>
      <c r="K1136" s="191"/>
      <c r="L1136" s="191"/>
      <c r="M1136" s="191"/>
      <c r="N1136" s="191"/>
      <c r="O1136" s="191"/>
      <c r="P1136" s="191"/>
      <c r="Q1136" s="191"/>
      <c r="R1136" s="191"/>
      <c r="S1136" s="191"/>
      <c r="T1136" s="191"/>
      <c r="U1136" s="191"/>
      <c r="V1136" s="191"/>
      <c r="W1136" s="191"/>
      <c r="X1136" s="191"/>
      <c r="Y1136" s="191"/>
      <c r="Z1136" s="191"/>
      <c r="AA1136" s="191"/>
      <c r="AB1136" s="191"/>
      <c r="AC1136" s="190"/>
      <c r="AD1136" s="190"/>
      <c r="AE1136" s="190"/>
      <c r="AF1136" s="190"/>
      <c r="AG1136" s="190"/>
      <c r="AH1136" s="190"/>
      <c r="AI1136" s="190"/>
      <c r="AJ1136" s="190"/>
      <c r="AK1136" s="190"/>
      <c r="AL1136" s="190"/>
      <c r="AM1136" s="190"/>
    </row>
    <row r="1137" spans="2:39">
      <c r="B1137" s="162"/>
      <c r="C1137" s="162"/>
      <c r="D1137" s="191"/>
      <c r="E1137" s="191"/>
      <c r="F1137" s="191"/>
      <c r="G1137" s="191"/>
      <c r="H1137" s="191"/>
      <c r="I1137" s="191"/>
      <c r="J1137" s="191"/>
      <c r="K1137" s="191"/>
      <c r="L1137" s="191"/>
      <c r="M1137" s="191"/>
      <c r="N1137" s="191"/>
      <c r="O1137" s="191"/>
      <c r="P1137" s="191"/>
      <c r="Q1137" s="191"/>
      <c r="R1137" s="191"/>
      <c r="S1137" s="191"/>
      <c r="T1137" s="191"/>
      <c r="U1137" s="191"/>
      <c r="V1137" s="191"/>
      <c r="W1137" s="191"/>
      <c r="X1137" s="191"/>
      <c r="Y1137" s="191"/>
      <c r="Z1137" s="191"/>
      <c r="AA1137" s="191"/>
      <c r="AB1137" s="191"/>
      <c r="AC1137" s="190"/>
      <c r="AD1137" s="190"/>
      <c r="AE1137" s="190"/>
      <c r="AF1137" s="190"/>
      <c r="AG1137" s="190"/>
      <c r="AH1137" s="190"/>
      <c r="AI1137" s="190"/>
      <c r="AJ1137" s="190"/>
      <c r="AK1137" s="190"/>
      <c r="AL1137" s="190"/>
      <c r="AM1137" s="190"/>
    </row>
    <row r="1138" spans="2:39">
      <c r="B1138" s="162"/>
      <c r="C1138" s="162"/>
      <c r="D1138" s="191"/>
      <c r="E1138" s="191"/>
      <c r="F1138" s="191"/>
      <c r="G1138" s="191"/>
      <c r="H1138" s="191"/>
      <c r="I1138" s="191"/>
      <c r="J1138" s="191"/>
      <c r="K1138" s="191"/>
      <c r="L1138" s="191"/>
      <c r="M1138" s="191"/>
      <c r="N1138" s="191"/>
      <c r="O1138" s="191"/>
      <c r="P1138" s="191"/>
      <c r="Q1138" s="191"/>
      <c r="R1138" s="191"/>
      <c r="S1138" s="191"/>
      <c r="T1138" s="191"/>
      <c r="U1138" s="191"/>
      <c r="V1138" s="191"/>
      <c r="W1138" s="191"/>
      <c r="X1138" s="191"/>
      <c r="Y1138" s="191"/>
      <c r="Z1138" s="191"/>
      <c r="AA1138" s="191"/>
      <c r="AB1138" s="191"/>
      <c r="AC1138" s="190"/>
      <c r="AD1138" s="190"/>
      <c r="AE1138" s="190"/>
      <c r="AF1138" s="190"/>
      <c r="AG1138" s="190"/>
      <c r="AH1138" s="190"/>
      <c r="AI1138" s="190"/>
      <c r="AJ1138" s="190"/>
      <c r="AK1138" s="190"/>
      <c r="AL1138" s="190"/>
      <c r="AM1138" s="190"/>
    </row>
    <row r="1139" spans="2:39">
      <c r="B1139" s="162"/>
      <c r="C1139" s="162"/>
      <c r="D1139" s="191"/>
      <c r="E1139" s="191"/>
      <c r="F1139" s="191"/>
      <c r="G1139" s="191"/>
      <c r="H1139" s="191"/>
      <c r="I1139" s="191"/>
      <c r="J1139" s="191"/>
      <c r="K1139" s="191"/>
      <c r="L1139" s="191"/>
      <c r="M1139" s="191"/>
      <c r="N1139" s="191"/>
      <c r="O1139" s="191"/>
      <c r="P1139" s="191"/>
      <c r="Q1139" s="191"/>
      <c r="R1139" s="191"/>
      <c r="S1139" s="191"/>
      <c r="T1139" s="191"/>
      <c r="U1139" s="191"/>
      <c r="V1139" s="191"/>
      <c r="W1139" s="191"/>
      <c r="X1139" s="191"/>
      <c r="Y1139" s="191"/>
      <c r="Z1139" s="191"/>
      <c r="AA1139" s="191"/>
      <c r="AB1139" s="191"/>
      <c r="AC1139" s="190"/>
      <c r="AD1139" s="190"/>
      <c r="AE1139" s="190"/>
      <c r="AF1139" s="190"/>
      <c r="AG1139" s="190"/>
      <c r="AH1139" s="190"/>
      <c r="AI1139" s="190"/>
      <c r="AJ1139" s="190"/>
      <c r="AK1139" s="190"/>
      <c r="AL1139" s="190"/>
      <c r="AM1139" s="190"/>
    </row>
    <row r="1140" spans="2:39">
      <c r="B1140" s="162"/>
      <c r="C1140" s="162"/>
      <c r="D1140" s="191"/>
      <c r="E1140" s="191"/>
      <c r="F1140" s="191"/>
      <c r="G1140" s="191"/>
      <c r="H1140" s="191"/>
      <c r="I1140" s="191"/>
      <c r="J1140" s="191"/>
      <c r="K1140" s="191"/>
      <c r="L1140" s="191"/>
      <c r="M1140" s="191"/>
      <c r="N1140" s="191"/>
      <c r="O1140" s="191"/>
      <c r="P1140" s="191"/>
      <c r="Q1140" s="191"/>
      <c r="R1140" s="191"/>
      <c r="S1140" s="191"/>
      <c r="T1140" s="191"/>
      <c r="U1140" s="191"/>
      <c r="V1140" s="191"/>
      <c r="W1140" s="191"/>
      <c r="X1140" s="191"/>
      <c r="Y1140" s="191"/>
      <c r="Z1140" s="191"/>
      <c r="AA1140" s="191"/>
      <c r="AB1140" s="191"/>
      <c r="AC1140" s="190"/>
      <c r="AD1140" s="190"/>
      <c r="AE1140" s="190"/>
      <c r="AF1140" s="190"/>
      <c r="AG1140" s="190"/>
      <c r="AH1140" s="190"/>
      <c r="AI1140" s="190"/>
      <c r="AJ1140" s="190"/>
      <c r="AK1140" s="190"/>
      <c r="AL1140" s="190"/>
      <c r="AM1140" s="190"/>
    </row>
    <row r="1141" spans="2:39">
      <c r="B1141" s="162"/>
      <c r="C1141" s="162"/>
      <c r="D1141" s="191"/>
      <c r="E1141" s="191"/>
      <c r="F1141" s="191"/>
      <c r="G1141" s="191"/>
      <c r="H1141" s="191"/>
      <c r="I1141" s="191"/>
      <c r="J1141" s="191"/>
      <c r="K1141" s="191"/>
      <c r="L1141" s="191"/>
      <c r="M1141" s="191"/>
      <c r="N1141" s="191"/>
      <c r="O1141" s="191"/>
      <c r="P1141" s="191"/>
      <c r="Q1141" s="191"/>
      <c r="R1141" s="191"/>
      <c r="S1141" s="191"/>
      <c r="T1141" s="191"/>
      <c r="U1141" s="191"/>
      <c r="V1141" s="191"/>
      <c r="W1141" s="191"/>
      <c r="X1141" s="191"/>
      <c r="Y1141" s="191"/>
      <c r="Z1141" s="191"/>
      <c r="AA1141" s="191"/>
      <c r="AB1141" s="191"/>
      <c r="AC1141" s="190"/>
      <c r="AD1141" s="190"/>
      <c r="AE1141" s="190"/>
      <c r="AF1141" s="190"/>
      <c r="AG1141" s="190"/>
      <c r="AH1141" s="190"/>
      <c r="AI1141" s="190"/>
      <c r="AJ1141" s="190"/>
      <c r="AK1141" s="190"/>
      <c r="AL1141" s="190"/>
      <c r="AM1141" s="190"/>
    </row>
    <row r="1142" spans="2:39">
      <c r="B1142" s="162"/>
      <c r="C1142" s="162"/>
      <c r="D1142" s="191"/>
      <c r="E1142" s="191"/>
      <c r="F1142" s="191"/>
      <c r="G1142" s="191"/>
      <c r="H1142" s="191"/>
      <c r="I1142" s="191"/>
      <c r="J1142" s="191"/>
      <c r="K1142" s="191"/>
      <c r="L1142" s="191"/>
      <c r="M1142" s="191"/>
      <c r="N1142" s="191"/>
      <c r="O1142" s="191"/>
      <c r="P1142" s="191"/>
      <c r="Q1142" s="191"/>
      <c r="R1142" s="191"/>
      <c r="S1142" s="191"/>
      <c r="T1142" s="191"/>
      <c r="U1142" s="191"/>
      <c r="V1142" s="191"/>
      <c r="W1142" s="191"/>
      <c r="X1142" s="191"/>
      <c r="Y1142" s="191"/>
      <c r="Z1142" s="191"/>
      <c r="AA1142" s="191"/>
      <c r="AB1142" s="191"/>
      <c r="AC1142" s="190"/>
      <c r="AD1142" s="190"/>
      <c r="AE1142" s="190"/>
      <c r="AF1142" s="190"/>
      <c r="AG1142" s="190"/>
      <c r="AH1142" s="190"/>
      <c r="AI1142" s="190"/>
      <c r="AJ1142" s="190"/>
      <c r="AK1142" s="190"/>
      <c r="AL1142" s="190"/>
      <c r="AM1142" s="190"/>
    </row>
    <row r="1143" spans="2:39">
      <c r="B1143" s="162"/>
      <c r="C1143" s="162"/>
      <c r="D1143" s="191"/>
      <c r="E1143" s="191"/>
      <c r="F1143" s="191"/>
      <c r="G1143" s="191"/>
      <c r="H1143" s="191"/>
      <c r="I1143" s="191"/>
      <c r="J1143" s="191"/>
      <c r="K1143" s="191"/>
      <c r="L1143" s="191"/>
      <c r="M1143" s="191"/>
      <c r="N1143" s="191"/>
      <c r="O1143" s="191"/>
      <c r="P1143" s="191"/>
      <c r="Q1143" s="191"/>
      <c r="R1143" s="191"/>
      <c r="S1143" s="191"/>
      <c r="T1143" s="191"/>
      <c r="U1143" s="191"/>
      <c r="V1143" s="191"/>
      <c r="W1143" s="191"/>
      <c r="X1143" s="191"/>
      <c r="Y1143" s="191"/>
      <c r="Z1143" s="191"/>
      <c r="AA1143" s="191"/>
      <c r="AB1143" s="191"/>
      <c r="AC1143" s="190"/>
      <c r="AD1143" s="190"/>
      <c r="AE1143" s="190"/>
      <c r="AF1143" s="190"/>
      <c r="AG1143" s="190"/>
      <c r="AH1143" s="190"/>
      <c r="AI1143" s="190"/>
      <c r="AJ1143" s="190"/>
      <c r="AK1143" s="190"/>
      <c r="AL1143" s="190"/>
      <c r="AM1143" s="190"/>
    </row>
    <row r="1144" spans="2:39">
      <c r="B1144" s="162"/>
      <c r="C1144" s="162"/>
      <c r="D1144" s="191"/>
      <c r="E1144" s="191"/>
      <c r="F1144" s="191"/>
      <c r="G1144" s="191"/>
      <c r="H1144" s="191"/>
      <c r="I1144" s="191"/>
      <c r="J1144" s="191"/>
      <c r="K1144" s="191"/>
      <c r="L1144" s="191"/>
      <c r="M1144" s="191"/>
      <c r="N1144" s="191"/>
      <c r="O1144" s="191"/>
      <c r="P1144" s="191"/>
      <c r="Q1144" s="191"/>
      <c r="R1144" s="191"/>
      <c r="S1144" s="191"/>
      <c r="T1144" s="191"/>
      <c r="U1144" s="191"/>
      <c r="V1144" s="191"/>
      <c r="W1144" s="191"/>
      <c r="X1144" s="191"/>
      <c r="Y1144" s="191"/>
      <c r="Z1144" s="191"/>
      <c r="AA1144" s="191"/>
      <c r="AB1144" s="191"/>
      <c r="AC1144" s="190"/>
      <c r="AD1144" s="190"/>
      <c r="AE1144" s="190"/>
      <c r="AF1144" s="190"/>
      <c r="AG1144" s="190"/>
      <c r="AH1144" s="190"/>
      <c r="AI1144" s="190"/>
      <c r="AJ1144" s="190"/>
      <c r="AK1144" s="190"/>
      <c r="AL1144" s="190"/>
      <c r="AM1144" s="190"/>
    </row>
    <row r="1145" spans="2:39">
      <c r="B1145" s="162"/>
      <c r="C1145" s="162"/>
      <c r="D1145" s="191"/>
      <c r="E1145" s="191"/>
      <c r="F1145" s="191"/>
      <c r="G1145" s="191"/>
      <c r="H1145" s="191"/>
      <c r="I1145" s="191"/>
      <c r="J1145" s="191"/>
      <c r="K1145" s="191"/>
      <c r="L1145" s="191"/>
      <c r="M1145" s="191"/>
      <c r="N1145" s="191"/>
      <c r="O1145" s="191"/>
      <c r="P1145" s="191"/>
      <c r="Q1145" s="191"/>
      <c r="R1145" s="191"/>
      <c r="S1145" s="191"/>
      <c r="T1145" s="191"/>
      <c r="U1145" s="191"/>
      <c r="V1145" s="191"/>
      <c r="W1145" s="191"/>
      <c r="X1145" s="191"/>
      <c r="Y1145" s="191"/>
      <c r="Z1145" s="191"/>
      <c r="AA1145" s="191"/>
      <c r="AB1145" s="191"/>
      <c r="AC1145" s="190"/>
      <c r="AD1145" s="190"/>
      <c r="AE1145" s="190"/>
      <c r="AF1145" s="190"/>
      <c r="AG1145" s="190"/>
      <c r="AH1145" s="190"/>
      <c r="AI1145" s="190"/>
      <c r="AJ1145" s="190"/>
      <c r="AK1145" s="190"/>
      <c r="AL1145" s="190"/>
      <c r="AM1145" s="190"/>
    </row>
    <row r="1146" spans="2:39">
      <c r="B1146" s="162"/>
      <c r="C1146" s="162"/>
      <c r="D1146" s="191"/>
      <c r="E1146" s="191"/>
      <c r="F1146" s="191"/>
      <c r="G1146" s="191"/>
      <c r="H1146" s="191"/>
      <c r="I1146" s="191"/>
      <c r="J1146" s="191"/>
      <c r="K1146" s="191"/>
      <c r="L1146" s="191"/>
      <c r="M1146" s="191"/>
      <c r="N1146" s="191"/>
      <c r="O1146" s="191"/>
      <c r="P1146" s="191"/>
      <c r="Q1146" s="191"/>
      <c r="R1146" s="191"/>
      <c r="S1146" s="191"/>
      <c r="T1146" s="191"/>
      <c r="U1146" s="191"/>
      <c r="V1146" s="191"/>
      <c r="W1146" s="191"/>
      <c r="X1146" s="191"/>
      <c r="Y1146" s="191"/>
      <c r="Z1146" s="191"/>
      <c r="AA1146" s="191"/>
      <c r="AB1146" s="191"/>
      <c r="AC1146" s="190"/>
      <c r="AD1146" s="190"/>
      <c r="AE1146" s="190"/>
      <c r="AF1146" s="190"/>
      <c r="AG1146" s="190"/>
      <c r="AH1146" s="190"/>
      <c r="AI1146" s="190"/>
      <c r="AJ1146" s="190"/>
      <c r="AK1146" s="190"/>
      <c r="AL1146" s="190"/>
      <c r="AM1146" s="190"/>
    </row>
    <row r="1147" spans="2:39">
      <c r="B1147" s="162"/>
      <c r="C1147" s="162"/>
      <c r="D1147" s="191"/>
      <c r="E1147" s="191"/>
      <c r="F1147" s="191"/>
      <c r="G1147" s="191"/>
      <c r="H1147" s="191"/>
      <c r="I1147" s="191"/>
      <c r="J1147" s="191"/>
      <c r="K1147" s="191"/>
      <c r="L1147" s="191"/>
      <c r="M1147" s="191"/>
      <c r="N1147" s="191"/>
      <c r="O1147" s="191"/>
      <c r="P1147" s="191"/>
      <c r="Q1147" s="191"/>
      <c r="R1147" s="191"/>
      <c r="S1147" s="191"/>
      <c r="T1147" s="191"/>
      <c r="U1147" s="191"/>
      <c r="V1147" s="191"/>
      <c r="W1147" s="191"/>
      <c r="X1147" s="191"/>
      <c r="Y1147" s="191"/>
      <c r="Z1147" s="191"/>
      <c r="AA1147" s="191"/>
      <c r="AB1147" s="191"/>
      <c r="AC1147" s="190"/>
      <c r="AD1147" s="190"/>
      <c r="AE1147" s="190"/>
      <c r="AF1147" s="190"/>
      <c r="AG1147" s="190"/>
      <c r="AH1147" s="190"/>
      <c r="AI1147" s="190"/>
      <c r="AJ1147" s="190"/>
      <c r="AK1147" s="190"/>
      <c r="AL1147" s="190"/>
      <c r="AM1147" s="190"/>
    </row>
    <row r="1148" spans="2:39">
      <c r="B1148" s="162"/>
      <c r="C1148" s="162"/>
      <c r="D1148" s="191"/>
      <c r="E1148" s="191"/>
      <c r="F1148" s="191"/>
      <c r="G1148" s="191"/>
      <c r="H1148" s="191"/>
      <c r="I1148" s="191"/>
      <c r="J1148" s="191"/>
      <c r="K1148" s="191"/>
      <c r="L1148" s="191"/>
      <c r="M1148" s="191"/>
      <c r="N1148" s="191"/>
      <c r="O1148" s="191"/>
      <c r="P1148" s="191"/>
      <c r="Q1148" s="191"/>
      <c r="R1148" s="191"/>
      <c r="S1148" s="191"/>
      <c r="T1148" s="191"/>
      <c r="U1148" s="191"/>
      <c r="V1148" s="191"/>
      <c r="W1148" s="191"/>
      <c r="X1148" s="191"/>
      <c r="Y1148" s="191"/>
      <c r="Z1148" s="191"/>
      <c r="AA1148" s="191"/>
      <c r="AB1148" s="191"/>
      <c r="AC1148" s="190"/>
      <c r="AD1148" s="190"/>
      <c r="AE1148" s="190"/>
      <c r="AF1148" s="190"/>
      <c r="AG1148" s="190"/>
      <c r="AH1148" s="190"/>
      <c r="AI1148" s="190"/>
      <c r="AJ1148" s="190"/>
      <c r="AK1148" s="190"/>
      <c r="AL1148" s="190"/>
      <c r="AM1148" s="190"/>
    </row>
    <row r="1149" spans="2:39">
      <c r="B1149" s="162"/>
      <c r="C1149" s="162"/>
      <c r="D1149" s="191"/>
      <c r="E1149" s="191"/>
      <c r="F1149" s="191"/>
      <c r="G1149" s="191"/>
      <c r="H1149" s="191"/>
      <c r="I1149" s="191"/>
      <c r="J1149" s="191"/>
      <c r="K1149" s="191"/>
      <c r="L1149" s="191"/>
      <c r="M1149" s="191"/>
      <c r="N1149" s="191"/>
      <c r="O1149" s="191"/>
      <c r="P1149" s="191"/>
      <c r="Q1149" s="191"/>
      <c r="R1149" s="191"/>
      <c r="S1149" s="191"/>
      <c r="T1149" s="191"/>
      <c r="U1149" s="191"/>
      <c r="V1149" s="191"/>
      <c r="W1149" s="191"/>
      <c r="X1149" s="191"/>
      <c r="Y1149" s="191"/>
      <c r="Z1149" s="191"/>
      <c r="AA1149" s="191"/>
      <c r="AB1149" s="191"/>
      <c r="AC1149" s="190"/>
      <c r="AD1149" s="190"/>
      <c r="AE1149" s="190"/>
      <c r="AF1149" s="190"/>
      <c r="AG1149" s="190"/>
      <c r="AH1149" s="190"/>
      <c r="AI1149" s="190"/>
      <c r="AJ1149" s="190"/>
      <c r="AK1149" s="190"/>
      <c r="AL1149" s="190"/>
      <c r="AM1149" s="190"/>
    </row>
    <row r="1150" spans="2:39">
      <c r="B1150" s="162"/>
      <c r="C1150" s="162"/>
      <c r="D1150" s="191"/>
      <c r="E1150" s="191"/>
      <c r="F1150" s="191"/>
      <c r="G1150" s="191"/>
      <c r="H1150" s="191"/>
      <c r="I1150" s="191"/>
      <c r="J1150" s="191"/>
      <c r="K1150" s="191"/>
      <c r="L1150" s="191"/>
      <c r="M1150" s="191"/>
      <c r="N1150" s="191"/>
      <c r="O1150" s="191"/>
      <c r="P1150" s="191"/>
      <c r="Q1150" s="191"/>
      <c r="R1150" s="191"/>
      <c r="S1150" s="191"/>
      <c r="T1150" s="191"/>
      <c r="U1150" s="191"/>
      <c r="V1150" s="191"/>
      <c r="W1150" s="191"/>
      <c r="X1150" s="191"/>
      <c r="Y1150" s="191"/>
      <c r="Z1150" s="191"/>
      <c r="AA1150" s="191"/>
      <c r="AB1150" s="191"/>
      <c r="AC1150" s="190"/>
      <c r="AD1150" s="190"/>
      <c r="AE1150" s="190"/>
      <c r="AF1150" s="190"/>
      <c r="AG1150" s="190"/>
      <c r="AH1150" s="190"/>
      <c r="AI1150" s="190"/>
      <c r="AJ1150" s="190"/>
      <c r="AK1150" s="190"/>
      <c r="AL1150" s="190"/>
      <c r="AM1150" s="190"/>
    </row>
    <row r="1151" spans="2:39">
      <c r="B1151" s="162"/>
      <c r="C1151" s="162"/>
      <c r="D1151" s="191"/>
      <c r="E1151" s="191"/>
      <c r="F1151" s="191"/>
      <c r="G1151" s="191"/>
      <c r="H1151" s="191"/>
      <c r="I1151" s="191"/>
      <c r="J1151" s="191"/>
      <c r="K1151" s="191"/>
      <c r="L1151" s="191"/>
      <c r="M1151" s="191"/>
      <c r="N1151" s="191"/>
      <c r="O1151" s="191"/>
      <c r="P1151" s="191"/>
      <c r="Q1151" s="191"/>
      <c r="R1151" s="191"/>
      <c r="S1151" s="191"/>
      <c r="T1151" s="191"/>
      <c r="U1151" s="191"/>
      <c r="V1151" s="191"/>
      <c r="W1151" s="191"/>
      <c r="X1151" s="191"/>
      <c r="Y1151" s="191"/>
      <c r="Z1151" s="191"/>
      <c r="AA1151" s="191"/>
      <c r="AB1151" s="191"/>
      <c r="AC1151" s="190"/>
      <c r="AD1151" s="190"/>
      <c r="AE1151" s="190"/>
      <c r="AF1151" s="190"/>
      <c r="AG1151" s="190"/>
      <c r="AH1151" s="190"/>
      <c r="AI1151" s="190"/>
      <c r="AJ1151" s="190"/>
      <c r="AK1151" s="190"/>
      <c r="AL1151" s="190"/>
      <c r="AM1151" s="190"/>
    </row>
    <row r="1152" spans="2:39">
      <c r="B1152" s="162"/>
      <c r="C1152" s="162"/>
      <c r="D1152" s="191"/>
      <c r="E1152" s="191"/>
      <c r="F1152" s="191"/>
      <c r="G1152" s="191"/>
      <c r="H1152" s="191"/>
      <c r="I1152" s="191"/>
      <c r="J1152" s="191"/>
      <c r="K1152" s="191"/>
      <c r="L1152" s="191"/>
      <c r="M1152" s="191"/>
      <c r="N1152" s="191"/>
      <c r="O1152" s="191"/>
      <c r="P1152" s="191"/>
      <c r="Q1152" s="191"/>
      <c r="R1152" s="191"/>
      <c r="S1152" s="191"/>
      <c r="T1152" s="191"/>
      <c r="U1152" s="191"/>
      <c r="V1152" s="191"/>
      <c r="W1152" s="191"/>
      <c r="X1152" s="191"/>
      <c r="Y1152" s="191"/>
      <c r="Z1152" s="191"/>
      <c r="AA1152" s="191"/>
      <c r="AB1152" s="191"/>
      <c r="AC1152" s="190"/>
      <c r="AD1152" s="190"/>
      <c r="AE1152" s="190"/>
      <c r="AF1152" s="190"/>
      <c r="AG1152" s="190"/>
      <c r="AH1152" s="190"/>
      <c r="AI1152" s="190"/>
      <c r="AJ1152" s="190"/>
      <c r="AK1152" s="190"/>
      <c r="AL1152" s="190"/>
      <c r="AM1152" s="190"/>
    </row>
    <row r="1153" spans="2:39">
      <c r="B1153" s="162"/>
      <c r="C1153" s="162"/>
      <c r="D1153" s="191"/>
      <c r="E1153" s="191"/>
      <c r="F1153" s="191"/>
      <c r="G1153" s="191"/>
      <c r="H1153" s="191"/>
      <c r="I1153" s="191"/>
      <c r="J1153" s="191"/>
      <c r="K1153" s="191"/>
      <c r="L1153" s="191"/>
      <c r="M1153" s="191"/>
      <c r="N1153" s="191"/>
      <c r="O1153" s="191"/>
      <c r="P1153" s="191"/>
      <c r="Q1153" s="191"/>
      <c r="R1153" s="191"/>
      <c r="S1153" s="191"/>
      <c r="T1153" s="191"/>
      <c r="U1153" s="191"/>
      <c r="V1153" s="191"/>
      <c r="W1153" s="191"/>
      <c r="X1153" s="191"/>
      <c r="Y1153" s="191"/>
      <c r="Z1153" s="191"/>
      <c r="AA1153" s="191"/>
      <c r="AB1153" s="191"/>
      <c r="AC1153" s="190"/>
      <c r="AD1153" s="190"/>
      <c r="AE1153" s="190"/>
      <c r="AF1153" s="190"/>
      <c r="AG1153" s="190"/>
      <c r="AH1153" s="190"/>
      <c r="AI1153" s="190"/>
      <c r="AJ1153" s="190"/>
      <c r="AK1153" s="190"/>
      <c r="AL1153" s="190"/>
      <c r="AM1153" s="190"/>
    </row>
    <row r="1154" spans="2:39">
      <c r="B1154" s="162"/>
      <c r="C1154" s="162"/>
      <c r="D1154" s="191"/>
      <c r="E1154" s="191"/>
      <c r="F1154" s="191"/>
      <c r="G1154" s="191"/>
      <c r="H1154" s="191"/>
      <c r="I1154" s="191"/>
      <c r="J1154" s="191"/>
      <c r="K1154" s="191"/>
      <c r="L1154" s="191"/>
      <c r="M1154" s="191"/>
      <c r="N1154" s="191"/>
      <c r="O1154" s="191"/>
      <c r="P1154" s="191"/>
      <c r="Q1154" s="191"/>
      <c r="R1154" s="191"/>
      <c r="S1154" s="191"/>
      <c r="T1154" s="191"/>
      <c r="U1154" s="191"/>
      <c r="V1154" s="191"/>
      <c r="W1154" s="191"/>
      <c r="X1154" s="191"/>
      <c r="Y1154" s="191"/>
      <c r="Z1154" s="191"/>
      <c r="AA1154" s="191"/>
      <c r="AB1154" s="191"/>
      <c r="AC1154" s="190"/>
      <c r="AD1154" s="190"/>
      <c r="AE1154" s="190"/>
      <c r="AF1154" s="190"/>
      <c r="AG1154" s="190"/>
      <c r="AH1154" s="190"/>
      <c r="AI1154" s="190"/>
      <c r="AJ1154" s="190"/>
      <c r="AK1154" s="190"/>
      <c r="AL1154" s="190"/>
      <c r="AM1154" s="190"/>
    </row>
    <row r="1155" spans="2:39">
      <c r="B1155" s="162"/>
      <c r="C1155" s="162"/>
      <c r="D1155" s="191"/>
      <c r="E1155" s="191"/>
      <c r="F1155" s="191"/>
      <c r="G1155" s="191"/>
      <c r="H1155" s="191"/>
      <c r="I1155" s="191"/>
      <c r="J1155" s="191"/>
      <c r="K1155" s="191"/>
      <c r="L1155" s="191"/>
      <c r="M1155" s="191"/>
      <c r="N1155" s="191"/>
      <c r="O1155" s="191"/>
      <c r="P1155" s="191"/>
      <c r="Q1155" s="191"/>
      <c r="R1155" s="191"/>
      <c r="S1155" s="191"/>
      <c r="T1155" s="191"/>
      <c r="U1155" s="191"/>
      <c r="V1155" s="191"/>
      <c r="W1155" s="191"/>
      <c r="X1155" s="191"/>
      <c r="Y1155" s="191"/>
      <c r="Z1155" s="191"/>
      <c r="AA1155" s="191"/>
      <c r="AB1155" s="191"/>
      <c r="AC1155" s="190"/>
      <c r="AD1155" s="190"/>
      <c r="AE1155" s="190"/>
      <c r="AF1155" s="190"/>
      <c r="AG1155" s="190"/>
      <c r="AH1155" s="190"/>
      <c r="AI1155" s="190"/>
      <c r="AJ1155" s="190"/>
      <c r="AK1155" s="190"/>
      <c r="AL1155" s="190"/>
      <c r="AM1155" s="190"/>
    </row>
    <row r="1156" spans="2:39">
      <c r="B1156" s="162"/>
      <c r="C1156" s="162"/>
      <c r="D1156" s="191"/>
      <c r="E1156" s="191"/>
      <c r="F1156" s="191"/>
      <c r="G1156" s="191"/>
      <c r="H1156" s="191"/>
      <c r="I1156" s="191"/>
      <c r="J1156" s="191"/>
      <c r="K1156" s="191"/>
      <c r="L1156" s="191"/>
      <c r="M1156" s="191"/>
      <c r="N1156" s="191"/>
      <c r="O1156" s="191"/>
      <c r="P1156" s="191"/>
      <c r="Q1156" s="191"/>
      <c r="R1156" s="191"/>
      <c r="S1156" s="191"/>
      <c r="T1156" s="191"/>
      <c r="U1156" s="191"/>
      <c r="V1156" s="191"/>
      <c r="W1156" s="191"/>
      <c r="X1156" s="191"/>
      <c r="Y1156" s="191"/>
      <c r="Z1156" s="191"/>
      <c r="AA1156" s="191"/>
      <c r="AB1156" s="191"/>
      <c r="AC1156" s="190"/>
      <c r="AD1156" s="190"/>
      <c r="AE1156" s="190"/>
      <c r="AF1156" s="190"/>
      <c r="AG1156" s="190"/>
      <c r="AH1156" s="190"/>
      <c r="AI1156" s="190"/>
      <c r="AJ1156" s="190"/>
      <c r="AK1156" s="190"/>
      <c r="AL1156" s="190"/>
      <c r="AM1156" s="190"/>
    </row>
    <row r="1157" spans="2:39">
      <c r="B1157" s="162"/>
      <c r="C1157" s="162"/>
      <c r="D1157" s="191"/>
      <c r="E1157" s="191"/>
      <c r="F1157" s="191"/>
      <c r="G1157" s="191"/>
      <c r="H1157" s="191"/>
      <c r="I1157" s="191"/>
      <c r="J1157" s="191"/>
      <c r="K1157" s="191"/>
      <c r="L1157" s="191"/>
      <c r="M1157" s="191"/>
      <c r="N1157" s="191"/>
      <c r="O1157" s="191"/>
      <c r="P1157" s="191"/>
      <c r="Q1157" s="191"/>
      <c r="R1157" s="191"/>
      <c r="S1157" s="191"/>
      <c r="T1157" s="191"/>
      <c r="U1157" s="191"/>
      <c r="V1157" s="191"/>
      <c r="W1157" s="191"/>
      <c r="X1157" s="191"/>
      <c r="Y1157" s="191"/>
      <c r="Z1157" s="191"/>
      <c r="AA1157" s="191"/>
      <c r="AB1157" s="191"/>
      <c r="AC1157" s="190"/>
      <c r="AD1157" s="190"/>
      <c r="AE1157" s="190"/>
      <c r="AF1157" s="190"/>
      <c r="AG1157" s="190"/>
      <c r="AH1157" s="190"/>
      <c r="AI1157" s="190"/>
      <c r="AJ1157" s="190"/>
      <c r="AK1157" s="190"/>
      <c r="AL1157" s="190"/>
      <c r="AM1157" s="190"/>
    </row>
    <row r="1158" spans="2:39">
      <c r="B1158" s="162"/>
      <c r="C1158" s="162"/>
      <c r="D1158" s="191"/>
      <c r="E1158" s="191"/>
      <c r="F1158" s="191"/>
      <c r="G1158" s="191"/>
      <c r="H1158" s="191"/>
      <c r="I1158" s="191"/>
      <c r="J1158" s="191"/>
      <c r="K1158" s="191"/>
      <c r="L1158" s="191"/>
      <c r="M1158" s="191"/>
      <c r="N1158" s="191"/>
      <c r="O1158" s="191"/>
      <c r="P1158" s="191"/>
      <c r="Q1158" s="191"/>
      <c r="R1158" s="191"/>
      <c r="S1158" s="191"/>
      <c r="T1158" s="191"/>
      <c r="U1158" s="191"/>
      <c r="V1158" s="191"/>
      <c r="W1158" s="191"/>
      <c r="X1158" s="191"/>
      <c r="Y1158" s="191"/>
      <c r="Z1158" s="191"/>
      <c r="AA1158" s="191"/>
      <c r="AB1158" s="191"/>
      <c r="AC1158" s="190"/>
      <c r="AD1158" s="190"/>
      <c r="AE1158" s="190"/>
      <c r="AF1158" s="190"/>
      <c r="AG1158" s="190"/>
      <c r="AH1158" s="190"/>
      <c r="AI1158" s="190"/>
      <c r="AJ1158" s="190"/>
      <c r="AK1158" s="190"/>
      <c r="AL1158" s="190"/>
      <c r="AM1158" s="190"/>
    </row>
    <row r="1159" spans="2:39">
      <c r="B1159" s="162"/>
      <c r="C1159" s="162"/>
      <c r="D1159" s="191"/>
      <c r="E1159" s="191"/>
      <c r="F1159" s="191"/>
      <c r="G1159" s="191"/>
      <c r="H1159" s="191"/>
      <c r="I1159" s="191"/>
      <c r="J1159" s="191"/>
      <c r="K1159" s="191"/>
      <c r="L1159" s="191"/>
      <c r="M1159" s="191"/>
      <c r="N1159" s="191"/>
      <c r="O1159" s="191"/>
      <c r="P1159" s="191"/>
      <c r="Q1159" s="191"/>
      <c r="R1159" s="191"/>
      <c r="S1159" s="191"/>
      <c r="T1159" s="191"/>
      <c r="U1159" s="191"/>
      <c r="V1159" s="191"/>
      <c r="W1159" s="191"/>
      <c r="X1159" s="191"/>
      <c r="Y1159" s="191"/>
      <c r="Z1159" s="191"/>
      <c r="AA1159" s="191"/>
      <c r="AB1159" s="191"/>
      <c r="AC1159" s="190"/>
      <c r="AD1159" s="190"/>
      <c r="AE1159" s="190"/>
      <c r="AF1159" s="190"/>
      <c r="AG1159" s="190"/>
      <c r="AH1159" s="190"/>
      <c r="AI1159" s="190"/>
      <c r="AJ1159" s="190"/>
      <c r="AK1159" s="190"/>
      <c r="AL1159" s="190"/>
      <c r="AM1159" s="190"/>
    </row>
    <row r="1160" spans="2:39">
      <c r="B1160" s="162"/>
      <c r="C1160" s="162"/>
      <c r="D1160" s="191"/>
      <c r="E1160" s="191"/>
      <c r="F1160" s="191"/>
      <c r="G1160" s="191"/>
      <c r="H1160" s="191"/>
      <c r="I1160" s="191"/>
      <c r="J1160" s="191"/>
      <c r="K1160" s="191"/>
      <c r="L1160" s="191"/>
      <c r="M1160" s="191"/>
      <c r="N1160" s="191"/>
      <c r="O1160" s="191"/>
      <c r="P1160" s="191"/>
      <c r="Q1160" s="191"/>
      <c r="R1160" s="191"/>
      <c r="S1160" s="191"/>
      <c r="T1160" s="191"/>
      <c r="U1160" s="191"/>
      <c r="V1160" s="191"/>
      <c r="W1160" s="191"/>
      <c r="X1160" s="191"/>
      <c r="Y1160" s="191"/>
      <c r="Z1160" s="191"/>
      <c r="AA1160" s="191"/>
      <c r="AB1160" s="191"/>
      <c r="AC1160" s="190"/>
      <c r="AD1160" s="190"/>
      <c r="AE1160" s="190"/>
      <c r="AF1160" s="190"/>
      <c r="AG1160" s="190"/>
      <c r="AH1160" s="190"/>
      <c r="AI1160" s="190"/>
      <c r="AJ1160" s="190"/>
      <c r="AK1160" s="190"/>
      <c r="AL1160" s="190"/>
      <c r="AM1160" s="190"/>
    </row>
    <row r="1161" spans="2:39">
      <c r="B1161" s="162"/>
      <c r="C1161" s="162"/>
      <c r="D1161" s="191"/>
      <c r="E1161" s="191"/>
      <c r="F1161" s="191"/>
      <c r="G1161" s="191"/>
      <c r="H1161" s="191"/>
      <c r="I1161" s="191"/>
      <c r="J1161" s="191"/>
      <c r="K1161" s="191"/>
      <c r="L1161" s="191"/>
      <c r="M1161" s="191"/>
      <c r="N1161" s="191"/>
      <c r="O1161" s="191"/>
      <c r="P1161" s="191"/>
      <c r="Q1161" s="191"/>
      <c r="R1161" s="191"/>
      <c r="S1161" s="191"/>
      <c r="T1161" s="191"/>
      <c r="U1161" s="191"/>
      <c r="V1161" s="191"/>
      <c r="W1161" s="191"/>
      <c r="X1161" s="191"/>
      <c r="Y1161" s="191"/>
      <c r="Z1161" s="191"/>
      <c r="AA1161" s="191"/>
      <c r="AB1161" s="191"/>
      <c r="AC1161" s="190"/>
      <c r="AD1161" s="190"/>
      <c r="AE1161" s="190"/>
      <c r="AF1161" s="190"/>
      <c r="AG1161" s="190"/>
      <c r="AH1161" s="190"/>
      <c r="AI1161" s="190"/>
      <c r="AJ1161" s="190"/>
      <c r="AK1161" s="190"/>
      <c r="AL1161" s="190"/>
      <c r="AM1161" s="190"/>
    </row>
    <row r="1162" spans="2:39">
      <c r="B1162" s="162"/>
      <c r="C1162" s="162"/>
      <c r="D1162" s="191"/>
      <c r="E1162" s="191"/>
      <c r="F1162" s="191"/>
      <c r="G1162" s="191"/>
      <c r="H1162" s="191"/>
      <c r="I1162" s="191"/>
      <c r="J1162" s="191"/>
      <c r="K1162" s="191"/>
      <c r="L1162" s="191"/>
      <c r="M1162" s="191"/>
      <c r="N1162" s="191"/>
      <c r="O1162" s="191"/>
      <c r="P1162" s="191"/>
      <c r="Q1162" s="191"/>
      <c r="R1162" s="191"/>
      <c r="S1162" s="191"/>
      <c r="T1162" s="191"/>
      <c r="U1162" s="191"/>
      <c r="V1162" s="191"/>
      <c r="W1162" s="191"/>
      <c r="X1162" s="191"/>
      <c r="Y1162" s="191"/>
      <c r="Z1162" s="191"/>
      <c r="AA1162" s="191"/>
      <c r="AB1162" s="191"/>
      <c r="AC1162" s="190"/>
      <c r="AD1162" s="190"/>
      <c r="AE1162" s="190"/>
      <c r="AF1162" s="190"/>
      <c r="AG1162" s="190"/>
      <c r="AH1162" s="190"/>
      <c r="AI1162" s="190"/>
      <c r="AJ1162" s="190"/>
      <c r="AK1162" s="190"/>
      <c r="AL1162" s="190"/>
      <c r="AM1162" s="190"/>
    </row>
    <row r="1163" spans="2:39">
      <c r="B1163" s="162"/>
      <c r="C1163" s="162"/>
      <c r="D1163" s="191"/>
      <c r="E1163" s="191"/>
      <c r="F1163" s="191"/>
      <c r="G1163" s="191"/>
      <c r="H1163" s="191"/>
      <c r="I1163" s="191"/>
      <c r="J1163" s="191"/>
      <c r="K1163" s="191"/>
      <c r="L1163" s="191"/>
      <c r="M1163" s="191"/>
      <c r="N1163" s="191"/>
      <c r="O1163" s="191"/>
      <c r="P1163" s="191"/>
      <c r="Q1163" s="191"/>
      <c r="R1163" s="191"/>
      <c r="S1163" s="191"/>
      <c r="T1163" s="191"/>
      <c r="U1163" s="191"/>
      <c r="V1163" s="191"/>
      <c r="W1163" s="191"/>
      <c r="X1163" s="191"/>
      <c r="Y1163" s="191"/>
      <c r="Z1163" s="191"/>
      <c r="AA1163" s="191"/>
      <c r="AB1163" s="191"/>
      <c r="AC1163" s="190"/>
      <c r="AD1163" s="190"/>
      <c r="AE1163" s="190"/>
      <c r="AF1163" s="190"/>
      <c r="AG1163" s="190"/>
      <c r="AH1163" s="190"/>
      <c r="AI1163" s="190"/>
      <c r="AJ1163" s="190"/>
      <c r="AK1163" s="190"/>
      <c r="AL1163" s="190"/>
      <c r="AM1163" s="190"/>
    </row>
    <row r="1164" spans="2:39">
      <c r="B1164" s="162"/>
      <c r="C1164" s="162"/>
      <c r="D1164" s="191"/>
      <c r="E1164" s="191"/>
      <c r="F1164" s="191"/>
      <c r="G1164" s="191"/>
      <c r="H1164" s="191"/>
      <c r="I1164" s="191"/>
      <c r="J1164" s="191"/>
      <c r="K1164" s="191"/>
      <c r="L1164" s="191"/>
      <c r="M1164" s="191"/>
      <c r="N1164" s="191"/>
      <c r="O1164" s="191"/>
      <c r="P1164" s="191"/>
      <c r="Q1164" s="191"/>
      <c r="R1164" s="191"/>
      <c r="S1164" s="191"/>
      <c r="T1164" s="191"/>
      <c r="U1164" s="191"/>
      <c r="V1164" s="191"/>
      <c r="W1164" s="191"/>
      <c r="X1164" s="191"/>
      <c r="Y1164" s="191"/>
      <c r="Z1164" s="191"/>
      <c r="AA1164" s="191"/>
      <c r="AB1164" s="191"/>
      <c r="AC1164" s="190"/>
      <c r="AD1164" s="190"/>
      <c r="AE1164" s="190"/>
      <c r="AF1164" s="190"/>
      <c r="AG1164" s="190"/>
      <c r="AH1164" s="190"/>
      <c r="AI1164" s="190"/>
      <c r="AJ1164" s="190"/>
      <c r="AK1164" s="190"/>
      <c r="AL1164" s="190"/>
      <c r="AM1164" s="190"/>
    </row>
    <row r="1165" spans="2:39">
      <c r="B1165" s="162"/>
      <c r="C1165" s="162"/>
      <c r="D1165" s="191"/>
      <c r="E1165" s="191"/>
      <c r="F1165" s="191"/>
      <c r="G1165" s="191"/>
      <c r="H1165" s="191"/>
      <c r="I1165" s="191"/>
      <c r="J1165" s="191"/>
      <c r="K1165" s="191"/>
      <c r="L1165" s="191"/>
      <c r="M1165" s="191"/>
      <c r="N1165" s="191"/>
      <c r="O1165" s="191"/>
      <c r="P1165" s="191"/>
      <c r="Q1165" s="191"/>
      <c r="R1165" s="191"/>
      <c r="S1165" s="191"/>
      <c r="T1165" s="191"/>
      <c r="U1165" s="191"/>
      <c r="V1165" s="191"/>
      <c r="W1165" s="191"/>
      <c r="X1165" s="191"/>
      <c r="Y1165" s="191"/>
      <c r="Z1165" s="191"/>
      <c r="AA1165" s="191"/>
      <c r="AB1165" s="191"/>
      <c r="AC1165" s="190"/>
      <c r="AD1165" s="190"/>
      <c r="AE1165" s="190"/>
      <c r="AF1165" s="190"/>
      <c r="AG1165" s="190"/>
      <c r="AH1165" s="190"/>
      <c r="AI1165" s="190"/>
      <c r="AJ1165" s="190"/>
      <c r="AK1165" s="190"/>
      <c r="AL1165" s="190"/>
      <c r="AM1165" s="190"/>
    </row>
    <row r="1166" spans="2:39">
      <c r="B1166" s="162"/>
      <c r="C1166" s="162"/>
      <c r="D1166" s="191"/>
      <c r="E1166" s="191"/>
      <c r="F1166" s="191"/>
      <c r="G1166" s="191"/>
      <c r="H1166" s="191"/>
      <c r="I1166" s="191"/>
      <c r="J1166" s="191"/>
      <c r="K1166" s="191"/>
      <c r="L1166" s="191"/>
      <c r="M1166" s="191"/>
      <c r="N1166" s="191"/>
      <c r="O1166" s="191"/>
      <c r="P1166" s="191"/>
      <c r="Q1166" s="191"/>
      <c r="R1166" s="191"/>
      <c r="S1166" s="191"/>
      <c r="T1166" s="191"/>
      <c r="U1166" s="191"/>
      <c r="V1166" s="191"/>
      <c r="W1166" s="191"/>
      <c r="X1166" s="191"/>
      <c r="Y1166" s="191"/>
      <c r="Z1166" s="191"/>
      <c r="AA1166" s="191"/>
      <c r="AB1166" s="191"/>
      <c r="AC1166" s="190"/>
      <c r="AD1166" s="190"/>
      <c r="AE1166" s="190"/>
      <c r="AF1166" s="190"/>
      <c r="AG1166" s="190"/>
      <c r="AH1166" s="190"/>
      <c r="AI1166" s="190"/>
      <c r="AJ1166" s="190"/>
      <c r="AK1166" s="190"/>
      <c r="AL1166" s="190"/>
      <c r="AM1166" s="190"/>
    </row>
    <row r="1167" spans="2:39">
      <c r="B1167" s="162"/>
      <c r="C1167" s="162"/>
      <c r="D1167" s="191"/>
      <c r="E1167" s="191"/>
      <c r="F1167" s="191"/>
      <c r="G1167" s="191"/>
      <c r="H1167" s="191"/>
      <c r="I1167" s="191"/>
      <c r="J1167" s="191"/>
      <c r="K1167" s="191"/>
      <c r="L1167" s="191"/>
      <c r="M1167" s="191"/>
      <c r="N1167" s="191"/>
      <c r="O1167" s="191"/>
      <c r="P1167" s="191"/>
      <c r="Q1167" s="191"/>
      <c r="R1167" s="191"/>
      <c r="S1167" s="191"/>
      <c r="T1167" s="191"/>
      <c r="U1167" s="191"/>
      <c r="V1167" s="191"/>
      <c r="W1167" s="191"/>
      <c r="X1167" s="191"/>
      <c r="Y1167" s="191"/>
      <c r="Z1167" s="191"/>
      <c r="AA1167" s="191"/>
      <c r="AB1167" s="191"/>
      <c r="AC1167" s="190"/>
      <c r="AD1167" s="190"/>
      <c r="AE1167" s="190"/>
      <c r="AF1167" s="190"/>
      <c r="AG1167" s="190"/>
      <c r="AH1167" s="190"/>
      <c r="AI1167" s="190"/>
      <c r="AJ1167" s="190"/>
      <c r="AK1167" s="190"/>
      <c r="AL1167" s="190"/>
      <c r="AM1167" s="190"/>
    </row>
    <row r="1168" spans="2:39">
      <c r="B1168" s="162"/>
      <c r="C1168" s="162"/>
      <c r="D1168" s="191"/>
      <c r="E1168" s="191"/>
      <c r="F1168" s="191"/>
      <c r="G1168" s="191"/>
      <c r="H1168" s="191"/>
      <c r="I1168" s="191"/>
      <c r="J1168" s="191"/>
      <c r="K1168" s="191"/>
      <c r="L1168" s="191"/>
      <c r="M1168" s="191"/>
      <c r="N1168" s="191"/>
      <c r="O1168" s="191"/>
      <c r="P1168" s="191"/>
      <c r="Q1168" s="191"/>
      <c r="R1168" s="191"/>
      <c r="S1168" s="191"/>
      <c r="T1168" s="191"/>
      <c r="U1168" s="191"/>
      <c r="V1168" s="191"/>
      <c r="W1168" s="191"/>
      <c r="X1168" s="191"/>
      <c r="Y1168" s="191"/>
      <c r="Z1168" s="191"/>
      <c r="AA1168" s="191"/>
      <c r="AB1168" s="191"/>
      <c r="AC1168" s="190"/>
      <c r="AD1168" s="190"/>
      <c r="AE1168" s="190"/>
      <c r="AF1168" s="190"/>
      <c r="AG1168" s="190"/>
      <c r="AH1168" s="190"/>
      <c r="AI1168" s="190"/>
      <c r="AJ1168" s="190"/>
      <c r="AK1168" s="190"/>
      <c r="AL1168" s="190"/>
      <c r="AM1168" s="190"/>
    </row>
    <row r="1169" spans="2:39">
      <c r="B1169" s="162"/>
      <c r="C1169" s="162"/>
      <c r="D1169" s="191"/>
      <c r="E1169" s="191"/>
      <c r="F1169" s="191"/>
      <c r="G1169" s="191"/>
      <c r="H1169" s="191"/>
      <c r="I1169" s="191"/>
      <c r="J1169" s="191"/>
      <c r="K1169" s="191"/>
      <c r="L1169" s="191"/>
      <c r="M1169" s="191"/>
      <c r="N1169" s="191"/>
      <c r="O1169" s="191"/>
      <c r="P1169" s="191"/>
      <c r="Q1169" s="191"/>
      <c r="R1169" s="191"/>
      <c r="S1169" s="191"/>
      <c r="T1169" s="191"/>
      <c r="U1169" s="191"/>
      <c r="V1169" s="191"/>
      <c r="W1169" s="191"/>
      <c r="X1169" s="191"/>
      <c r="Y1169" s="191"/>
      <c r="Z1169" s="191"/>
      <c r="AA1169" s="191"/>
      <c r="AB1169" s="191"/>
      <c r="AC1169" s="190"/>
      <c r="AD1169" s="190"/>
      <c r="AE1169" s="190"/>
      <c r="AF1169" s="190"/>
      <c r="AG1169" s="190"/>
      <c r="AH1169" s="190"/>
      <c r="AI1169" s="190"/>
      <c r="AJ1169" s="190"/>
      <c r="AK1169" s="190"/>
      <c r="AL1169" s="190"/>
      <c r="AM1169" s="190"/>
    </row>
    <row r="1170" spans="2:39">
      <c r="B1170" s="162"/>
      <c r="C1170" s="162"/>
      <c r="D1170" s="191"/>
      <c r="E1170" s="191"/>
      <c r="F1170" s="191"/>
      <c r="G1170" s="191"/>
      <c r="H1170" s="191"/>
      <c r="I1170" s="191"/>
      <c r="J1170" s="191"/>
      <c r="K1170" s="191"/>
      <c r="L1170" s="191"/>
      <c r="M1170" s="191"/>
      <c r="N1170" s="191"/>
      <c r="O1170" s="191"/>
      <c r="P1170" s="191"/>
      <c r="Q1170" s="191"/>
      <c r="R1170" s="191"/>
      <c r="S1170" s="191"/>
      <c r="T1170" s="191"/>
      <c r="U1170" s="191"/>
      <c r="V1170" s="191"/>
      <c r="W1170" s="191"/>
      <c r="X1170" s="191"/>
      <c r="Y1170" s="191"/>
      <c r="Z1170" s="191"/>
      <c r="AA1170" s="191"/>
      <c r="AB1170" s="191"/>
      <c r="AC1170" s="190"/>
      <c r="AD1170" s="190"/>
      <c r="AE1170" s="190"/>
      <c r="AF1170" s="190"/>
      <c r="AG1170" s="190"/>
      <c r="AH1170" s="190"/>
      <c r="AI1170" s="190"/>
      <c r="AJ1170" s="190"/>
      <c r="AK1170" s="190"/>
      <c r="AL1170" s="190"/>
      <c r="AM1170" s="190"/>
    </row>
    <row r="1171" spans="2:39">
      <c r="B1171" s="162"/>
      <c r="C1171" s="162"/>
      <c r="D1171" s="191"/>
      <c r="E1171" s="191"/>
      <c r="F1171" s="191"/>
      <c r="G1171" s="191"/>
      <c r="H1171" s="191"/>
      <c r="I1171" s="191"/>
      <c r="J1171" s="191"/>
      <c r="K1171" s="191"/>
      <c r="L1171" s="191"/>
      <c r="M1171" s="191"/>
      <c r="N1171" s="191"/>
      <c r="O1171" s="191"/>
      <c r="P1171" s="191"/>
      <c r="Q1171" s="191"/>
      <c r="R1171" s="191"/>
      <c r="S1171" s="191"/>
      <c r="T1171" s="191"/>
      <c r="U1171" s="191"/>
      <c r="V1171" s="191"/>
      <c r="W1171" s="191"/>
      <c r="X1171" s="191"/>
      <c r="Y1171" s="191"/>
      <c r="Z1171" s="191"/>
      <c r="AA1171" s="191"/>
      <c r="AB1171" s="191"/>
      <c r="AC1171" s="190"/>
      <c r="AD1171" s="190"/>
      <c r="AE1171" s="190"/>
      <c r="AF1171" s="190"/>
      <c r="AG1171" s="190"/>
      <c r="AH1171" s="190"/>
      <c r="AI1171" s="190"/>
      <c r="AJ1171" s="190"/>
      <c r="AK1171" s="190"/>
      <c r="AL1171" s="190"/>
      <c r="AM1171" s="190"/>
    </row>
    <row r="1172" spans="2:39">
      <c r="B1172" s="162"/>
      <c r="C1172" s="162"/>
      <c r="D1172" s="191"/>
      <c r="E1172" s="191"/>
      <c r="F1172" s="191"/>
      <c r="G1172" s="191"/>
      <c r="H1172" s="191"/>
      <c r="I1172" s="191"/>
      <c r="J1172" s="191"/>
      <c r="K1172" s="191"/>
      <c r="L1172" s="191"/>
      <c r="M1172" s="191"/>
      <c r="N1172" s="191"/>
      <c r="O1172" s="191"/>
      <c r="P1172" s="191"/>
      <c r="Q1172" s="191"/>
      <c r="R1172" s="191"/>
      <c r="S1172" s="191"/>
      <c r="T1172" s="191"/>
      <c r="U1172" s="191"/>
      <c r="V1172" s="191"/>
      <c r="W1172" s="191"/>
      <c r="X1172" s="191"/>
      <c r="Y1172" s="191"/>
      <c r="Z1172" s="191"/>
      <c r="AA1172" s="191"/>
      <c r="AB1172" s="191"/>
      <c r="AC1172" s="190"/>
      <c r="AD1172" s="190"/>
      <c r="AE1172" s="190"/>
      <c r="AF1172" s="190"/>
      <c r="AG1172" s="190"/>
      <c r="AH1172" s="190"/>
      <c r="AI1172" s="190"/>
      <c r="AJ1172" s="190"/>
      <c r="AK1172" s="190"/>
      <c r="AL1172" s="190"/>
      <c r="AM1172" s="190"/>
    </row>
    <row r="1173" spans="2:39">
      <c r="B1173" s="162"/>
      <c r="C1173" s="162"/>
      <c r="D1173" s="191"/>
      <c r="E1173" s="191"/>
      <c r="F1173" s="191"/>
      <c r="G1173" s="191"/>
      <c r="H1173" s="191"/>
      <c r="I1173" s="191"/>
      <c r="J1173" s="191"/>
      <c r="K1173" s="191"/>
      <c r="L1173" s="191"/>
      <c r="M1173" s="191"/>
      <c r="N1173" s="191"/>
      <c r="O1173" s="191"/>
      <c r="P1173" s="191"/>
      <c r="Q1173" s="191"/>
      <c r="R1173" s="191"/>
      <c r="S1173" s="191"/>
      <c r="T1173" s="191"/>
      <c r="U1173" s="191"/>
      <c r="V1173" s="191"/>
      <c r="W1173" s="191"/>
      <c r="X1173" s="191"/>
      <c r="Y1173" s="191"/>
      <c r="Z1173" s="191"/>
      <c r="AA1173" s="191"/>
      <c r="AB1173" s="191"/>
      <c r="AC1173" s="190"/>
      <c r="AD1173" s="190"/>
      <c r="AE1173" s="190"/>
      <c r="AF1173" s="190"/>
      <c r="AG1173" s="190"/>
      <c r="AH1173" s="190"/>
      <c r="AI1173" s="190"/>
      <c r="AJ1173" s="190"/>
      <c r="AK1173" s="190"/>
      <c r="AL1173" s="190"/>
      <c r="AM1173" s="190"/>
    </row>
    <row r="1174" spans="2:39">
      <c r="B1174" s="162"/>
      <c r="C1174" s="162"/>
      <c r="D1174" s="191"/>
      <c r="E1174" s="191"/>
      <c r="F1174" s="191"/>
      <c r="G1174" s="191"/>
      <c r="H1174" s="191"/>
      <c r="I1174" s="191"/>
      <c r="J1174" s="191"/>
      <c r="K1174" s="191"/>
      <c r="L1174" s="191"/>
      <c r="M1174" s="191"/>
      <c r="N1174" s="191"/>
      <c r="O1174" s="191"/>
      <c r="P1174" s="191"/>
      <c r="Q1174" s="191"/>
      <c r="R1174" s="191"/>
      <c r="S1174" s="191"/>
      <c r="T1174" s="191"/>
      <c r="U1174" s="191"/>
      <c r="V1174" s="191"/>
      <c r="W1174" s="191"/>
      <c r="X1174" s="191"/>
      <c r="Y1174" s="191"/>
      <c r="Z1174" s="191"/>
      <c r="AA1174" s="191"/>
      <c r="AB1174" s="191"/>
      <c r="AC1174" s="190"/>
      <c r="AD1174" s="190"/>
      <c r="AE1174" s="190"/>
      <c r="AF1174" s="190"/>
      <c r="AG1174" s="190"/>
      <c r="AH1174" s="190"/>
      <c r="AI1174" s="190"/>
      <c r="AJ1174" s="190"/>
      <c r="AK1174" s="190"/>
      <c r="AL1174" s="190"/>
      <c r="AM1174" s="190"/>
    </row>
    <row r="1175" spans="2:39">
      <c r="B1175" s="162"/>
      <c r="C1175" s="162"/>
      <c r="D1175" s="191"/>
      <c r="E1175" s="191"/>
      <c r="F1175" s="191"/>
      <c r="G1175" s="191"/>
      <c r="H1175" s="191"/>
      <c r="I1175" s="191"/>
      <c r="J1175" s="191"/>
      <c r="K1175" s="191"/>
      <c r="L1175" s="191"/>
      <c r="M1175" s="191"/>
      <c r="N1175" s="191"/>
      <c r="O1175" s="191"/>
      <c r="P1175" s="191"/>
      <c r="Q1175" s="191"/>
      <c r="R1175" s="191"/>
      <c r="S1175" s="191"/>
      <c r="T1175" s="191"/>
      <c r="U1175" s="191"/>
      <c r="V1175" s="191"/>
      <c r="W1175" s="191"/>
      <c r="X1175" s="191"/>
      <c r="Y1175" s="191"/>
      <c r="Z1175" s="191"/>
      <c r="AA1175" s="191"/>
      <c r="AB1175" s="191"/>
      <c r="AC1175" s="190"/>
      <c r="AD1175" s="190"/>
      <c r="AE1175" s="190"/>
      <c r="AF1175" s="190"/>
      <c r="AG1175" s="190"/>
      <c r="AH1175" s="190"/>
      <c r="AI1175" s="190"/>
      <c r="AJ1175" s="190"/>
      <c r="AK1175" s="190"/>
      <c r="AL1175" s="190"/>
      <c r="AM1175" s="190"/>
    </row>
    <row r="1176" spans="2:39">
      <c r="B1176" s="162"/>
      <c r="C1176" s="162"/>
      <c r="D1176" s="191"/>
      <c r="E1176" s="191"/>
      <c r="F1176" s="191"/>
      <c r="G1176" s="191"/>
      <c r="H1176" s="191"/>
      <c r="I1176" s="191"/>
      <c r="J1176" s="191"/>
      <c r="K1176" s="191"/>
      <c r="L1176" s="191"/>
      <c r="M1176" s="191"/>
      <c r="N1176" s="191"/>
      <c r="O1176" s="191"/>
      <c r="P1176" s="191"/>
      <c r="Q1176" s="191"/>
      <c r="R1176" s="191"/>
      <c r="S1176" s="191"/>
      <c r="T1176" s="191"/>
      <c r="U1176" s="191"/>
      <c r="V1176" s="191"/>
      <c r="W1176" s="191"/>
      <c r="X1176" s="191"/>
      <c r="Y1176" s="191"/>
      <c r="Z1176" s="191"/>
      <c r="AA1176" s="191"/>
      <c r="AB1176" s="191"/>
      <c r="AC1176" s="190"/>
      <c r="AD1176" s="190"/>
      <c r="AE1176" s="190"/>
      <c r="AF1176" s="190"/>
      <c r="AG1176" s="190"/>
      <c r="AH1176" s="190"/>
      <c r="AI1176" s="190"/>
      <c r="AJ1176" s="190"/>
      <c r="AK1176" s="190"/>
      <c r="AL1176" s="190"/>
      <c r="AM1176" s="190"/>
    </row>
    <row r="1177" spans="2:39">
      <c r="B1177" s="162"/>
      <c r="C1177" s="162"/>
      <c r="D1177" s="191"/>
      <c r="E1177" s="191"/>
      <c r="F1177" s="191"/>
      <c r="G1177" s="191"/>
      <c r="H1177" s="191"/>
      <c r="I1177" s="191"/>
      <c r="J1177" s="191"/>
      <c r="K1177" s="191"/>
      <c r="L1177" s="191"/>
      <c r="M1177" s="191"/>
      <c r="N1177" s="191"/>
      <c r="O1177" s="191"/>
      <c r="P1177" s="191"/>
      <c r="Q1177" s="191"/>
      <c r="R1177" s="191"/>
      <c r="S1177" s="191"/>
      <c r="T1177" s="191"/>
      <c r="U1177" s="191"/>
      <c r="V1177" s="191"/>
      <c r="W1177" s="191"/>
      <c r="X1177" s="191"/>
      <c r="Y1177" s="191"/>
      <c r="Z1177" s="191"/>
      <c r="AA1177" s="191"/>
      <c r="AB1177" s="191"/>
      <c r="AC1177" s="190"/>
      <c r="AD1177" s="190"/>
      <c r="AE1177" s="190"/>
      <c r="AF1177" s="190"/>
      <c r="AG1177" s="190"/>
      <c r="AH1177" s="190"/>
      <c r="AI1177" s="190"/>
      <c r="AJ1177" s="190"/>
      <c r="AK1177" s="190"/>
      <c r="AL1177" s="190"/>
      <c r="AM1177" s="190"/>
    </row>
    <row r="1178" spans="2:39">
      <c r="B1178" s="162"/>
      <c r="C1178" s="162"/>
      <c r="D1178" s="191"/>
      <c r="E1178" s="191"/>
      <c r="F1178" s="191"/>
      <c r="G1178" s="191"/>
      <c r="H1178" s="191"/>
      <c r="I1178" s="191"/>
      <c r="J1178" s="191"/>
      <c r="K1178" s="191"/>
      <c r="L1178" s="191"/>
      <c r="M1178" s="191"/>
      <c r="N1178" s="191"/>
      <c r="O1178" s="191"/>
      <c r="P1178" s="191"/>
      <c r="Q1178" s="191"/>
      <c r="R1178" s="191"/>
      <c r="S1178" s="191"/>
      <c r="T1178" s="191"/>
      <c r="U1178" s="191"/>
      <c r="V1178" s="191"/>
      <c r="W1178" s="191"/>
      <c r="X1178" s="191"/>
      <c r="Y1178" s="191"/>
      <c r="Z1178" s="191"/>
      <c r="AA1178" s="191"/>
      <c r="AB1178" s="191"/>
      <c r="AC1178" s="190"/>
      <c r="AD1178" s="190"/>
      <c r="AE1178" s="190"/>
      <c r="AF1178" s="190"/>
      <c r="AG1178" s="190"/>
      <c r="AH1178" s="190"/>
      <c r="AI1178" s="190"/>
      <c r="AJ1178" s="190"/>
      <c r="AK1178" s="190"/>
      <c r="AL1178" s="190"/>
      <c r="AM1178" s="190"/>
    </row>
    <row r="1179" spans="2:39">
      <c r="B1179" s="162"/>
      <c r="C1179" s="162"/>
      <c r="D1179" s="191"/>
      <c r="E1179" s="191"/>
      <c r="F1179" s="191"/>
      <c r="G1179" s="191"/>
      <c r="H1179" s="191"/>
      <c r="I1179" s="191"/>
      <c r="J1179" s="191"/>
      <c r="K1179" s="191"/>
      <c r="L1179" s="191"/>
      <c r="M1179" s="191"/>
      <c r="N1179" s="191"/>
      <c r="O1179" s="191"/>
      <c r="P1179" s="191"/>
      <c r="Q1179" s="191"/>
      <c r="R1179" s="191"/>
      <c r="S1179" s="191"/>
      <c r="T1179" s="191"/>
      <c r="U1179" s="191"/>
      <c r="V1179" s="191"/>
      <c r="W1179" s="191"/>
      <c r="X1179" s="191"/>
      <c r="Y1179" s="191"/>
      <c r="Z1179" s="191"/>
      <c r="AA1179" s="191"/>
      <c r="AB1179" s="191"/>
      <c r="AC1179" s="190"/>
      <c r="AD1179" s="190"/>
      <c r="AE1179" s="190"/>
      <c r="AF1179" s="190"/>
      <c r="AG1179" s="190"/>
      <c r="AH1179" s="190"/>
      <c r="AI1179" s="190"/>
      <c r="AJ1179" s="190"/>
      <c r="AK1179" s="190"/>
      <c r="AL1179" s="190"/>
      <c r="AM1179" s="190"/>
    </row>
    <row r="1180" spans="2:39">
      <c r="B1180" s="162"/>
      <c r="C1180" s="162"/>
      <c r="D1180" s="191"/>
      <c r="E1180" s="191"/>
      <c r="F1180" s="191"/>
      <c r="G1180" s="191"/>
      <c r="H1180" s="191"/>
      <c r="I1180" s="191"/>
      <c r="J1180" s="191"/>
      <c r="K1180" s="191"/>
      <c r="L1180" s="191"/>
      <c r="M1180" s="191"/>
      <c r="N1180" s="191"/>
      <c r="O1180" s="191"/>
      <c r="P1180" s="191"/>
      <c r="Q1180" s="191"/>
      <c r="R1180" s="191"/>
      <c r="S1180" s="191"/>
      <c r="T1180" s="191"/>
      <c r="U1180" s="191"/>
      <c r="V1180" s="191"/>
      <c r="W1180" s="191"/>
      <c r="X1180" s="191"/>
      <c r="Y1180" s="191"/>
      <c r="Z1180" s="191"/>
      <c r="AA1180" s="191"/>
      <c r="AB1180" s="191"/>
      <c r="AC1180" s="190"/>
      <c r="AD1180" s="190"/>
      <c r="AE1180" s="190"/>
      <c r="AF1180" s="190"/>
      <c r="AG1180" s="190"/>
      <c r="AH1180" s="190"/>
      <c r="AI1180" s="190"/>
      <c r="AJ1180" s="190"/>
      <c r="AK1180" s="190"/>
      <c r="AL1180" s="190"/>
      <c r="AM1180" s="190"/>
    </row>
    <row r="1181" spans="2:39">
      <c r="B1181" s="162"/>
      <c r="C1181" s="162"/>
      <c r="D1181" s="191"/>
      <c r="E1181" s="191"/>
      <c r="F1181" s="191"/>
      <c r="G1181" s="191"/>
      <c r="H1181" s="191"/>
      <c r="I1181" s="191"/>
      <c r="J1181" s="191"/>
      <c r="K1181" s="191"/>
      <c r="L1181" s="191"/>
      <c r="M1181" s="191"/>
      <c r="N1181" s="191"/>
      <c r="O1181" s="191"/>
      <c r="P1181" s="191"/>
      <c r="Q1181" s="191"/>
      <c r="R1181" s="191"/>
      <c r="S1181" s="191"/>
      <c r="T1181" s="191"/>
      <c r="U1181" s="191"/>
      <c r="V1181" s="191"/>
      <c r="W1181" s="191"/>
      <c r="X1181" s="191"/>
      <c r="Y1181" s="191"/>
      <c r="Z1181" s="191"/>
      <c r="AA1181" s="191"/>
      <c r="AB1181" s="191"/>
      <c r="AC1181" s="190"/>
      <c r="AD1181" s="190"/>
      <c r="AE1181" s="190"/>
      <c r="AF1181" s="190"/>
      <c r="AG1181" s="190"/>
      <c r="AH1181" s="190"/>
      <c r="AI1181" s="190"/>
      <c r="AJ1181" s="190"/>
      <c r="AK1181" s="190"/>
      <c r="AL1181" s="190"/>
      <c r="AM1181" s="190"/>
    </row>
    <row r="1182" spans="2:39">
      <c r="B1182" s="162"/>
      <c r="C1182" s="162"/>
      <c r="D1182" s="191"/>
      <c r="E1182" s="191"/>
      <c r="F1182" s="191"/>
      <c r="G1182" s="191"/>
      <c r="H1182" s="191"/>
      <c r="I1182" s="191"/>
      <c r="J1182" s="191"/>
      <c r="K1182" s="191"/>
      <c r="L1182" s="191"/>
      <c r="M1182" s="191"/>
      <c r="N1182" s="191"/>
      <c r="O1182" s="191"/>
      <c r="P1182" s="191"/>
      <c r="Q1182" s="191"/>
      <c r="R1182" s="191"/>
      <c r="S1182" s="191"/>
      <c r="T1182" s="191"/>
      <c r="U1182" s="191"/>
      <c r="V1182" s="191"/>
      <c r="W1182" s="191"/>
      <c r="X1182" s="191"/>
      <c r="Y1182" s="191"/>
      <c r="Z1182" s="191"/>
      <c r="AA1182" s="191"/>
      <c r="AB1182" s="191"/>
      <c r="AC1182" s="190"/>
      <c r="AD1182" s="190"/>
      <c r="AE1182" s="190"/>
      <c r="AF1182" s="190"/>
      <c r="AG1182" s="190"/>
      <c r="AH1182" s="190"/>
      <c r="AI1182" s="190"/>
      <c r="AJ1182" s="190"/>
      <c r="AK1182" s="190"/>
      <c r="AL1182" s="190"/>
      <c r="AM1182" s="190"/>
    </row>
    <row r="1183" spans="2:39">
      <c r="B1183" s="162"/>
      <c r="C1183" s="162"/>
      <c r="D1183" s="191"/>
      <c r="E1183" s="191"/>
      <c r="F1183" s="191"/>
      <c r="G1183" s="191"/>
      <c r="H1183" s="191"/>
      <c r="I1183" s="191"/>
      <c r="J1183" s="191"/>
      <c r="K1183" s="191"/>
      <c r="L1183" s="191"/>
      <c r="M1183" s="191"/>
      <c r="N1183" s="191"/>
      <c r="O1183" s="191"/>
      <c r="P1183" s="191"/>
      <c r="Q1183" s="191"/>
      <c r="R1183" s="191"/>
      <c r="S1183" s="191"/>
      <c r="T1183" s="191"/>
      <c r="U1183" s="191"/>
      <c r="V1183" s="191"/>
      <c r="W1183" s="191"/>
      <c r="X1183" s="191"/>
      <c r="Y1183" s="191"/>
      <c r="Z1183" s="191"/>
      <c r="AA1183" s="191"/>
      <c r="AB1183" s="191"/>
      <c r="AC1183" s="190"/>
      <c r="AD1183" s="190"/>
      <c r="AE1183" s="190"/>
      <c r="AF1183" s="190"/>
      <c r="AG1183" s="190"/>
      <c r="AH1183" s="190"/>
      <c r="AI1183" s="190"/>
      <c r="AJ1183" s="190"/>
      <c r="AK1183" s="190"/>
      <c r="AL1183" s="190"/>
      <c r="AM1183" s="190"/>
    </row>
    <row r="1184" spans="2:39">
      <c r="B1184" s="162"/>
      <c r="C1184" s="162"/>
      <c r="D1184" s="191"/>
      <c r="E1184" s="191"/>
      <c r="F1184" s="191"/>
      <c r="G1184" s="191"/>
      <c r="H1184" s="191"/>
      <c r="I1184" s="191"/>
      <c r="J1184" s="191"/>
      <c r="K1184" s="191"/>
      <c r="L1184" s="191"/>
      <c r="M1184" s="191"/>
      <c r="N1184" s="191"/>
      <c r="O1184" s="191"/>
      <c r="P1184" s="191"/>
      <c r="Q1184" s="191"/>
      <c r="R1184" s="191"/>
      <c r="S1184" s="191"/>
      <c r="T1184" s="191"/>
      <c r="U1184" s="191"/>
      <c r="V1184" s="191"/>
      <c r="W1184" s="191"/>
      <c r="X1184" s="191"/>
      <c r="Y1184" s="191"/>
      <c r="Z1184" s="191"/>
      <c r="AA1184" s="191"/>
      <c r="AB1184" s="191"/>
      <c r="AC1184" s="190"/>
      <c r="AD1184" s="190"/>
      <c r="AE1184" s="190"/>
      <c r="AF1184" s="190"/>
      <c r="AG1184" s="190"/>
      <c r="AH1184" s="190"/>
      <c r="AI1184" s="190"/>
      <c r="AJ1184" s="190"/>
      <c r="AK1184" s="190"/>
      <c r="AL1184" s="190"/>
      <c r="AM1184" s="190"/>
    </row>
    <row r="1185" spans="2:39">
      <c r="B1185" s="162"/>
      <c r="C1185" s="162"/>
      <c r="D1185" s="191"/>
      <c r="E1185" s="191"/>
      <c r="F1185" s="191"/>
      <c r="G1185" s="191"/>
      <c r="H1185" s="191"/>
      <c r="I1185" s="191"/>
      <c r="J1185" s="191"/>
      <c r="K1185" s="191"/>
      <c r="L1185" s="191"/>
      <c r="M1185" s="191"/>
      <c r="N1185" s="191"/>
      <c r="O1185" s="191"/>
      <c r="P1185" s="191"/>
      <c r="Q1185" s="191"/>
      <c r="R1185" s="191"/>
      <c r="S1185" s="191"/>
      <c r="T1185" s="191"/>
      <c r="U1185" s="191"/>
      <c r="V1185" s="191"/>
      <c r="W1185" s="191"/>
      <c r="X1185" s="191"/>
      <c r="Y1185" s="191"/>
      <c r="Z1185" s="191"/>
      <c r="AA1185" s="191"/>
      <c r="AB1185" s="191"/>
      <c r="AC1185" s="190"/>
      <c r="AD1185" s="190"/>
      <c r="AE1185" s="190"/>
      <c r="AF1185" s="190"/>
      <c r="AG1185" s="190"/>
      <c r="AH1185" s="190"/>
      <c r="AI1185" s="190"/>
      <c r="AJ1185" s="190"/>
      <c r="AK1185" s="190"/>
      <c r="AL1185" s="190"/>
      <c r="AM1185" s="190"/>
    </row>
    <row r="1186" spans="2:39">
      <c r="B1186" s="162"/>
      <c r="C1186" s="162"/>
      <c r="D1186" s="191"/>
      <c r="E1186" s="191"/>
      <c r="F1186" s="191"/>
      <c r="G1186" s="191"/>
      <c r="H1186" s="191"/>
      <c r="I1186" s="191"/>
      <c r="J1186" s="191"/>
      <c r="K1186" s="191"/>
      <c r="L1186" s="191"/>
      <c r="M1186" s="191"/>
      <c r="N1186" s="191"/>
      <c r="O1186" s="191"/>
      <c r="P1186" s="191"/>
      <c r="Q1186" s="191"/>
      <c r="R1186" s="191"/>
      <c r="S1186" s="191"/>
      <c r="T1186" s="191"/>
      <c r="U1186" s="191"/>
      <c r="V1186" s="191"/>
      <c r="W1186" s="191"/>
      <c r="X1186" s="191"/>
      <c r="Y1186" s="191"/>
      <c r="Z1186" s="191"/>
      <c r="AA1186" s="191"/>
      <c r="AB1186" s="191"/>
      <c r="AC1186" s="190"/>
      <c r="AD1186" s="190"/>
      <c r="AE1186" s="190"/>
      <c r="AF1186" s="190"/>
      <c r="AG1186" s="190"/>
      <c r="AH1186" s="190"/>
      <c r="AI1186" s="190"/>
      <c r="AJ1186" s="190"/>
      <c r="AK1186" s="190"/>
      <c r="AL1186" s="190"/>
      <c r="AM1186" s="190"/>
    </row>
    <row r="1187" spans="2:39">
      <c r="B1187" s="162"/>
      <c r="C1187" s="162"/>
      <c r="D1187" s="191"/>
      <c r="E1187" s="191"/>
      <c r="F1187" s="191"/>
      <c r="G1187" s="191"/>
      <c r="H1187" s="191"/>
      <c r="I1187" s="191"/>
      <c r="J1187" s="191"/>
      <c r="K1187" s="191"/>
      <c r="L1187" s="191"/>
      <c r="M1187" s="191"/>
      <c r="N1187" s="191"/>
      <c r="O1187" s="191"/>
      <c r="P1187" s="191"/>
      <c r="Q1187" s="191"/>
      <c r="R1187" s="191"/>
      <c r="S1187" s="191"/>
      <c r="T1187" s="191"/>
      <c r="U1187" s="191"/>
      <c r="V1187" s="191"/>
      <c r="W1187" s="191"/>
      <c r="X1187" s="191"/>
      <c r="Y1187" s="191"/>
      <c r="Z1187" s="191"/>
      <c r="AA1187" s="191"/>
      <c r="AB1187" s="191"/>
      <c r="AC1187" s="190"/>
      <c r="AD1187" s="190"/>
      <c r="AE1187" s="190"/>
      <c r="AF1187" s="190"/>
      <c r="AG1187" s="190"/>
      <c r="AH1187" s="190"/>
      <c r="AI1187" s="190"/>
      <c r="AJ1187" s="190"/>
      <c r="AK1187" s="190"/>
      <c r="AL1187" s="190"/>
      <c r="AM1187" s="190"/>
    </row>
    <row r="1188" spans="2:39">
      <c r="B1188" s="162"/>
      <c r="C1188" s="162"/>
      <c r="D1188" s="191"/>
      <c r="E1188" s="191"/>
      <c r="F1188" s="191"/>
      <c r="G1188" s="191"/>
      <c r="H1188" s="191"/>
      <c r="I1188" s="191"/>
      <c r="J1188" s="191"/>
      <c r="K1188" s="191"/>
      <c r="L1188" s="191"/>
      <c r="M1188" s="191"/>
      <c r="N1188" s="191"/>
      <c r="O1188" s="191"/>
      <c r="P1188" s="191"/>
      <c r="Q1188" s="191"/>
      <c r="R1188" s="191"/>
      <c r="S1188" s="191"/>
      <c r="T1188" s="191"/>
      <c r="U1188" s="191"/>
      <c r="V1188" s="191"/>
      <c r="W1188" s="191"/>
      <c r="X1188" s="191"/>
      <c r="Y1188" s="191"/>
      <c r="Z1188" s="191"/>
      <c r="AA1188" s="191"/>
      <c r="AB1188" s="191"/>
      <c r="AC1188" s="190"/>
      <c r="AD1188" s="190"/>
      <c r="AE1188" s="190"/>
      <c r="AF1188" s="190"/>
      <c r="AG1188" s="190"/>
      <c r="AH1188" s="190"/>
      <c r="AI1188" s="190"/>
      <c r="AJ1188" s="190"/>
      <c r="AK1188" s="190"/>
      <c r="AL1188" s="190"/>
      <c r="AM1188" s="190"/>
    </row>
    <row r="1189" spans="2:39">
      <c r="B1189" s="162"/>
      <c r="C1189" s="162"/>
      <c r="D1189" s="191"/>
      <c r="E1189" s="191"/>
      <c r="F1189" s="191"/>
      <c r="G1189" s="191"/>
      <c r="H1189" s="191"/>
      <c r="I1189" s="191"/>
      <c r="J1189" s="191"/>
      <c r="K1189" s="191"/>
      <c r="L1189" s="191"/>
      <c r="M1189" s="191"/>
      <c r="N1189" s="191"/>
      <c r="O1189" s="191"/>
      <c r="P1189" s="191"/>
      <c r="Q1189" s="191"/>
      <c r="R1189" s="191"/>
      <c r="S1189" s="191"/>
      <c r="T1189" s="191"/>
      <c r="U1189" s="191"/>
      <c r="V1189" s="191"/>
      <c r="W1189" s="191"/>
      <c r="X1189" s="191"/>
      <c r="Y1189" s="191"/>
      <c r="Z1189" s="191"/>
      <c r="AA1189" s="191"/>
      <c r="AB1189" s="191"/>
      <c r="AC1189" s="190"/>
      <c r="AD1189" s="190"/>
      <c r="AE1189" s="190"/>
      <c r="AF1189" s="190"/>
      <c r="AG1189" s="190"/>
      <c r="AH1189" s="190"/>
      <c r="AI1189" s="190"/>
      <c r="AJ1189" s="190"/>
      <c r="AK1189" s="190"/>
      <c r="AL1189" s="190"/>
      <c r="AM1189" s="190"/>
    </row>
    <row r="1190" spans="2:39">
      <c r="B1190" s="162"/>
      <c r="C1190" s="162"/>
      <c r="D1190" s="191"/>
      <c r="E1190" s="191"/>
      <c r="F1190" s="191"/>
      <c r="G1190" s="191"/>
      <c r="H1190" s="191"/>
      <c r="I1190" s="191"/>
      <c r="J1190" s="191"/>
      <c r="K1190" s="191"/>
      <c r="L1190" s="191"/>
      <c r="M1190" s="191"/>
      <c r="N1190" s="191"/>
      <c r="O1190" s="191"/>
      <c r="P1190" s="191"/>
      <c r="Q1190" s="191"/>
      <c r="R1190" s="191"/>
      <c r="S1190" s="191"/>
      <c r="T1190" s="191"/>
      <c r="U1190" s="191"/>
      <c r="V1190" s="191"/>
      <c r="W1190" s="191"/>
      <c r="X1190" s="191"/>
      <c r="Y1190" s="191"/>
      <c r="Z1190" s="191"/>
      <c r="AA1190" s="191"/>
      <c r="AB1190" s="191"/>
      <c r="AC1190" s="190"/>
      <c r="AD1190" s="190"/>
      <c r="AE1190" s="190"/>
      <c r="AF1190" s="190"/>
      <c r="AG1190" s="190"/>
      <c r="AH1190" s="190"/>
      <c r="AI1190" s="190"/>
      <c r="AJ1190" s="190"/>
      <c r="AK1190" s="190"/>
      <c r="AL1190" s="190"/>
      <c r="AM1190" s="190"/>
    </row>
    <row r="1191" spans="2:39">
      <c r="B1191" s="162"/>
      <c r="C1191" s="162"/>
      <c r="D1191" s="191"/>
      <c r="E1191" s="191"/>
      <c r="F1191" s="191"/>
      <c r="G1191" s="191"/>
      <c r="H1191" s="191"/>
      <c r="I1191" s="191"/>
      <c r="J1191" s="191"/>
      <c r="K1191" s="191"/>
      <c r="L1191" s="191"/>
      <c r="M1191" s="191"/>
      <c r="N1191" s="191"/>
      <c r="O1191" s="191"/>
      <c r="P1191" s="191"/>
      <c r="Q1191" s="191"/>
      <c r="R1191" s="191"/>
      <c r="S1191" s="191"/>
      <c r="T1191" s="191"/>
      <c r="U1191" s="191"/>
      <c r="V1191" s="191"/>
      <c r="W1191" s="191"/>
      <c r="X1191" s="191"/>
      <c r="Y1191" s="191"/>
      <c r="Z1191" s="191"/>
      <c r="AA1191" s="191"/>
      <c r="AB1191" s="191"/>
      <c r="AC1191" s="190"/>
      <c r="AD1191" s="190"/>
      <c r="AE1191" s="190"/>
      <c r="AF1191" s="190"/>
      <c r="AG1191" s="190"/>
      <c r="AH1191" s="190"/>
      <c r="AI1191" s="190"/>
      <c r="AJ1191" s="190"/>
      <c r="AK1191" s="190"/>
      <c r="AL1191" s="190"/>
      <c r="AM1191" s="190"/>
    </row>
    <row r="1192" spans="2:39">
      <c r="B1192" s="162"/>
      <c r="C1192" s="162"/>
      <c r="D1192" s="191"/>
      <c r="E1192" s="191"/>
      <c r="F1192" s="191"/>
      <c r="G1192" s="191"/>
      <c r="H1192" s="191"/>
      <c r="I1192" s="191"/>
      <c r="J1192" s="191"/>
      <c r="K1192" s="191"/>
      <c r="L1192" s="191"/>
      <c r="M1192" s="191"/>
      <c r="N1192" s="191"/>
      <c r="O1192" s="191"/>
      <c r="P1192" s="191"/>
      <c r="Q1192" s="191"/>
      <c r="R1192" s="191"/>
      <c r="S1192" s="191"/>
      <c r="T1192" s="191"/>
      <c r="U1192" s="191"/>
      <c r="V1192" s="191"/>
      <c r="W1192" s="191"/>
      <c r="X1192" s="191"/>
      <c r="Y1192" s="191"/>
      <c r="Z1192" s="191"/>
      <c r="AA1192" s="191"/>
      <c r="AB1192" s="191"/>
      <c r="AC1192" s="190"/>
      <c r="AD1192" s="190"/>
      <c r="AE1192" s="190"/>
      <c r="AF1192" s="190"/>
      <c r="AG1192" s="190"/>
      <c r="AH1192" s="190"/>
      <c r="AI1192" s="190"/>
      <c r="AJ1192" s="190"/>
      <c r="AK1192" s="190"/>
      <c r="AL1192" s="190"/>
      <c r="AM1192" s="190"/>
    </row>
    <row r="1193" spans="2:39">
      <c r="B1193" s="162"/>
      <c r="C1193" s="162"/>
      <c r="D1193" s="191"/>
      <c r="E1193" s="191"/>
      <c r="F1193" s="191"/>
      <c r="G1193" s="191"/>
      <c r="H1193" s="191"/>
      <c r="I1193" s="191"/>
      <c r="J1193" s="191"/>
      <c r="K1193" s="191"/>
      <c r="L1193" s="191"/>
      <c r="M1193" s="191"/>
      <c r="N1193" s="191"/>
      <c r="O1193" s="191"/>
      <c r="P1193" s="191"/>
      <c r="Q1193" s="191"/>
      <c r="R1193" s="191"/>
      <c r="S1193" s="191"/>
      <c r="T1193" s="191"/>
      <c r="U1193" s="191"/>
      <c r="V1193" s="191"/>
      <c r="W1193" s="191"/>
      <c r="X1193" s="191"/>
      <c r="Y1193" s="191"/>
      <c r="Z1193" s="191"/>
      <c r="AA1193" s="191"/>
      <c r="AB1193" s="191"/>
      <c r="AC1193" s="190"/>
      <c r="AD1193" s="190"/>
      <c r="AE1193" s="190"/>
      <c r="AF1193" s="190"/>
      <c r="AG1193" s="190"/>
      <c r="AH1193" s="190"/>
      <c r="AI1193" s="190"/>
      <c r="AJ1193" s="190"/>
      <c r="AK1193" s="190"/>
      <c r="AL1193" s="190"/>
      <c r="AM1193" s="190"/>
    </row>
    <row r="1194" spans="2:39">
      <c r="B1194" s="162"/>
      <c r="C1194" s="162"/>
      <c r="D1194" s="191"/>
      <c r="E1194" s="191"/>
      <c r="F1194" s="191"/>
      <c r="G1194" s="191"/>
      <c r="H1194" s="191"/>
      <c r="I1194" s="191"/>
      <c r="J1194" s="191"/>
      <c r="K1194" s="191"/>
      <c r="L1194" s="191"/>
      <c r="M1194" s="191"/>
      <c r="N1194" s="191"/>
      <c r="O1194" s="191"/>
      <c r="P1194" s="191"/>
      <c r="Q1194" s="191"/>
      <c r="R1194" s="191"/>
      <c r="S1194" s="191"/>
      <c r="T1194" s="191"/>
      <c r="U1194" s="191"/>
      <c r="V1194" s="191"/>
      <c r="W1194" s="191"/>
      <c r="X1194" s="191"/>
      <c r="Y1194" s="191"/>
      <c r="Z1194" s="191"/>
      <c r="AA1194" s="191"/>
      <c r="AB1194" s="191"/>
      <c r="AC1194" s="190"/>
      <c r="AD1194" s="190"/>
      <c r="AE1194" s="190"/>
      <c r="AF1194" s="190"/>
      <c r="AG1194" s="190"/>
      <c r="AH1194" s="190"/>
      <c r="AI1194" s="190"/>
      <c r="AJ1194" s="190"/>
      <c r="AK1194" s="190"/>
      <c r="AL1194" s="190"/>
      <c r="AM1194" s="190"/>
    </row>
    <row r="1195" spans="2:39">
      <c r="B1195" s="162"/>
      <c r="C1195" s="162"/>
      <c r="D1195" s="191"/>
      <c r="E1195" s="191"/>
      <c r="F1195" s="191"/>
      <c r="G1195" s="191"/>
      <c r="H1195" s="191"/>
      <c r="I1195" s="191"/>
      <c r="J1195" s="191"/>
      <c r="K1195" s="191"/>
      <c r="L1195" s="191"/>
      <c r="M1195" s="191"/>
      <c r="N1195" s="191"/>
      <c r="O1195" s="191"/>
      <c r="P1195" s="191"/>
      <c r="Q1195" s="191"/>
      <c r="R1195" s="191"/>
      <c r="S1195" s="191"/>
      <c r="T1195" s="191"/>
      <c r="U1195" s="191"/>
      <c r="V1195" s="191"/>
      <c r="W1195" s="191"/>
      <c r="X1195" s="191"/>
      <c r="Y1195" s="191"/>
      <c r="Z1195" s="191"/>
      <c r="AA1195" s="191"/>
      <c r="AB1195" s="191"/>
      <c r="AC1195" s="190"/>
      <c r="AD1195" s="190"/>
      <c r="AE1195" s="190"/>
      <c r="AF1195" s="190"/>
      <c r="AG1195" s="190"/>
      <c r="AH1195" s="190"/>
      <c r="AI1195" s="190"/>
      <c r="AJ1195" s="190"/>
      <c r="AK1195" s="190"/>
      <c r="AL1195" s="190"/>
      <c r="AM1195" s="190"/>
    </row>
    <row r="1196" spans="2:39">
      <c r="B1196" s="162"/>
      <c r="C1196" s="162"/>
      <c r="D1196" s="191"/>
      <c r="E1196" s="191"/>
      <c r="F1196" s="191"/>
      <c r="G1196" s="191"/>
      <c r="H1196" s="191"/>
      <c r="I1196" s="191"/>
      <c r="J1196" s="191"/>
      <c r="K1196" s="191"/>
      <c r="L1196" s="191"/>
      <c r="M1196" s="191"/>
      <c r="N1196" s="191"/>
      <c r="O1196" s="191"/>
      <c r="P1196" s="191"/>
      <c r="Q1196" s="191"/>
      <c r="R1196" s="191"/>
      <c r="S1196" s="191"/>
      <c r="T1196" s="191"/>
      <c r="U1196" s="191"/>
      <c r="V1196" s="191"/>
      <c r="W1196" s="191"/>
      <c r="X1196" s="191"/>
      <c r="Y1196" s="191"/>
      <c r="Z1196" s="191"/>
      <c r="AA1196" s="191"/>
      <c r="AB1196" s="191"/>
      <c r="AC1196" s="190"/>
      <c r="AD1196" s="190"/>
      <c r="AE1196" s="190"/>
      <c r="AF1196" s="190"/>
      <c r="AG1196" s="190"/>
      <c r="AH1196" s="190"/>
      <c r="AI1196" s="190"/>
      <c r="AJ1196" s="190"/>
      <c r="AK1196" s="190"/>
      <c r="AL1196" s="190"/>
      <c r="AM1196" s="190"/>
    </row>
    <row r="1197" spans="2:39">
      <c r="B1197" s="162"/>
      <c r="C1197" s="162"/>
      <c r="D1197" s="191"/>
      <c r="E1197" s="191"/>
      <c r="F1197" s="191"/>
      <c r="G1197" s="191"/>
      <c r="H1197" s="191"/>
      <c r="I1197" s="191"/>
      <c r="J1197" s="191"/>
      <c r="K1197" s="191"/>
      <c r="L1197" s="191"/>
      <c r="M1197" s="191"/>
      <c r="N1197" s="191"/>
      <c r="O1197" s="191"/>
      <c r="P1197" s="191"/>
      <c r="Q1197" s="191"/>
      <c r="R1197" s="191"/>
      <c r="S1197" s="191"/>
      <c r="T1197" s="191"/>
      <c r="U1197" s="191"/>
      <c r="V1197" s="191"/>
      <c r="W1197" s="191"/>
      <c r="X1197" s="191"/>
      <c r="Y1197" s="191"/>
      <c r="Z1197" s="191"/>
      <c r="AA1197" s="191"/>
      <c r="AB1197" s="191"/>
      <c r="AC1197" s="190"/>
      <c r="AD1197" s="190"/>
      <c r="AE1197" s="190"/>
      <c r="AF1197" s="190"/>
      <c r="AG1197" s="190"/>
      <c r="AH1197" s="190"/>
      <c r="AI1197" s="190"/>
      <c r="AJ1197" s="190"/>
      <c r="AK1197" s="190"/>
      <c r="AL1197" s="190"/>
      <c r="AM1197" s="190"/>
    </row>
    <row r="1198" spans="2:39">
      <c r="B1198" s="162"/>
      <c r="C1198" s="162"/>
      <c r="D1198" s="191"/>
      <c r="E1198" s="191"/>
      <c r="F1198" s="191"/>
      <c r="G1198" s="191"/>
      <c r="H1198" s="191"/>
      <c r="I1198" s="191"/>
      <c r="J1198" s="191"/>
      <c r="K1198" s="191"/>
      <c r="L1198" s="191"/>
      <c r="M1198" s="191"/>
      <c r="N1198" s="191"/>
      <c r="O1198" s="191"/>
      <c r="P1198" s="191"/>
      <c r="Q1198" s="191"/>
      <c r="R1198" s="191"/>
      <c r="S1198" s="191"/>
      <c r="T1198" s="191"/>
      <c r="U1198" s="191"/>
      <c r="V1198" s="191"/>
      <c r="W1198" s="191"/>
      <c r="X1198" s="191"/>
      <c r="Y1198" s="191"/>
      <c r="Z1198" s="191"/>
      <c r="AA1198" s="191"/>
      <c r="AB1198" s="191"/>
      <c r="AC1198" s="190"/>
      <c r="AD1198" s="190"/>
      <c r="AE1198" s="190"/>
      <c r="AF1198" s="190"/>
      <c r="AG1198" s="190"/>
      <c r="AH1198" s="190"/>
      <c r="AI1198" s="190"/>
      <c r="AJ1198" s="190"/>
      <c r="AK1198" s="190"/>
      <c r="AL1198" s="190"/>
      <c r="AM1198" s="190"/>
    </row>
    <row r="1199" spans="2:39">
      <c r="B1199" s="162"/>
      <c r="C1199" s="162"/>
      <c r="D1199" s="191"/>
      <c r="E1199" s="191"/>
      <c r="F1199" s="191"/>
      <c r="G1199" s="191"/>
      <c r="H1199" s="191"/>
      <c r="I1199" s="191"/>
      <c r="J1199" s="191"/>
      <c r="K1199" s="191"/>
      <c r="L1199" s="191"/>
      <c r="M1199" s="191"/>
      <c r="N1199" s="191"/>
      <c r="O1199" s="191"/>
      <c r="P1199" s="191"/>
      <c r="Q1199" s="191"/>
      <c r="R1199" s="191"/>
      <c r="S1199" s="191"/>
      <c r="T1199" s="191"/>
      <c r="U1199" s="191"/>
      <c r="V1199" s="191"/>
      <c r="W1199" s="191"/>
      <c r="X1199" s="191"/>
      <c r="Y1199" s="191"/>
      <c r="Z1199" s="191"/>
      <c r="AA1199" s="191"/>
      <c r="AB1199" s="191"/>
      <c r="AC1199" s="190"/>
      <c r="AD1199" s="190"/>
      <c r="AE1199" s="190"/>
      <c r="AF1199" s="190"/>
      <c r="AG1199" s="190"/>
      <c r="AH1199" s="190"/>
      <c r="AI1199" s="190"/>
      <c r="AJ1199" s="190"/>
      <c r="AK1199" s="190"/>
      <c r="AL1199" s="190"/>
      <c r="AM1199" s="190"/>
    </row>
    <row r="1200" spans="2:39">
      <c r="B1200" s="162"/>
      <c r="C1200" s="162"/>
      <c r="D1200" s="191"/>
      <c r="E1200" s="191"/>
      <c r="F1200" s="191"/>
      <c r="G1200" s="191"/>
      <c r="H1200" s="191"/>
      <c r="I1200" s="191"/>
      <c r="J1200" s="191"/>
      <c r="K1200" s="191"/>
      <c r="L1200" s="191"/>
      <c r="M1200" s="191"/>
      <c r="N1200" s="191"/>
      <c r="O1200" s="191"/>
      <c r="P1200" s="191"/>
      <c r="Q1200" s="191"/>
      <c r="R1200" s="191"/>
      <c r="S1200" s="191"/>
      <c r="T1200" s="191"/>
      <c r="U1200" s="191"/>
      <c r="V1200" s="191"/>
      <c r="W1200" s="191"/>
      <c r="X1200" s="191"/>
      <c r="Y1200" s="191"/>
      <c r="Z1200" s="191"/>
      <c r="AA1200" s="191"/>
      <c r="AB1200" s="191"/>
      <c r="AC1200" s="190"/>
      <c r="AD1200" s="190"/>
      <c r="AE1200" s="190"/>
      <c r="AF1200" s="190"/>
      <c r="AG1200" s="190"/>
      <c r="AH1200" s="190"/>
      <c r="AI1200" s="190"/>
      <c r="AJ1200" s="190"/>
      <c r="AK1200" s="190"/>
      <c r="AL1200" s="190"/>
      <c r="AM1200" s="190"/>
    </row>
    <row r="1201" spans="2:39">
      <c r="B1201" s="162"/>
      <c r="C1201" s="162"/>
      <c r="D1201" s="191"/>
      <c r="E1201" s="191"/>
      <c r="F1201" s="191"/>
      <c r="G1201" s="191"/>
      <c r="H1201" s="191"/>
      <c r="I1201" s="191"/>
      <c r="J1201" s="191"/>
      <c r="K1201" s="191"/>
      <c r="L1201" s="191"/>
      <c r="M1201" s="191"/>
      <c r="N1201" s="191"/>
      <c r="O1201" s="191"/>
      <c r="P1201" s="191"/>
      <c r="Q1201" s="191"/>
      <c r="R1201" s="191"/>
      <c r="S1201" s="191"/>
      <c r="T1201" s="191"/>
      <c r="U1201" s="191"/>
      <c r="V1201" s="191"/>
      <c r="W1201" s="191"/>
      <c r="X1201" s="191"/>
      <c r="Y1201" s="191"/>
      <c r="Z1201" s="191"/>
      <c r="AA1201" s="191"/>
      <c r="AB1201" s="191"/>
      <c r="AC1201" s="190"/>
      <c r="AD1201" s="190"/>
      <c r="AE1201" s="190"/>
      <c r="AF1201" s="190"/>
      <c r="AG1201" s="190"/>
      <c r="AH1201" s="190"/>
      <c r="AI1201" s="190"/>
      <c r="AJ1201" s="190"/>
      <c r="AK1201" s="190"/>
      <c r="AL1201" s="190"/>
      <c r="AM1201" s="190"/>
    </row>
    <row r="1202" spans="2:39">
      <c r="B1202" s="162"/>
      <c r="C1202" s="162"/>
      <c r="D1202" s="191"/>
      <c r="E1202" s="191"/>
      <c r="F1202" s="191"/>
      <c r="G1202" s="191"/>
      <c r="H1202" s="191"/>
      <c r="I1202" s="191"/>
      <c r="J1202" s="191"/>
      <c r="K1202" s="191"/>
      <c r="L1202" s="191"/>
      <c r="M1202" s="191"/>
      <c r="N1202" s="191"/>
      <c r="O1202" s="191"/>
      <c r="P1202" s="191"/>
      <c r="Q1202" s="191"/>
      <c r="R1202" s="191"/>
      <c r="S1202" s="191"/>
      <c r="T1202" s="191"/>
      <c r="U1202" s="191"/>
      <c r="V1202" s="191"/>
      <c r="W1202" s="191"/>
      <c r="X1202" s="191"/>
      <c r="Y1202" s="191"/>
      <c r="Z1202" s="191"/>
      <c r="AA1202" s="191"/>
      <c r="AB1202" s="191"/>
      <c r="AC1202" s="190"/>
      <c r="AD1202" s="190"/>
      <c r="AE1202" s="190"/>
      <c r="AF1202" s="190"/>
      <c r="AG1202" s="190"/>
      <c r="AH1202" s="190"/>
      <c r="AI1202" s="190"/>
      <c r="AJ1202" s="190"/>
      <c r="AK1202" s="190"/>
      <c r="AL1202" s="190"/>
      <c r="AM1202" s="190"/>
    </row>
    <row r="1203" spans="2:39">
      <c r="B1203" s="162"/>
      <c r="C1203" s="162"/>
      <c r="D1203" s="191"/>
      <c r="E1203" s="191"/>
      <c r="F1203" s="191"/>
      <c r="G1203" s="191"/>
      <c r="H1203" s="191"/>
      <c r="I1203" s="191"/>
      <c r="J1203" s="191"/>
      <c r="K1203" s="191"/>
      <c r="L1203" s="191"/>
      <c r="M1203" s="191"/>
      <c r="N1203" s="191"/>
      <c r="O1203" s="191"/>
      <c r="P1203" s="191"/>
      <c r="Q1203" s="191"/>
      <c r="R1203" s="191"/>
      <c r="S1203" s="191"/>
      <c r="T1203" s="191"/>
      <c r="U1203" s="191"/>
      <c r="V1203" s="191"/>
      <c r="W1203" s="191"/>
      <c r="X1203" s="191"/>
      <c r="Y1203" s="191"/>
      <c r="Z1203" s="191"/>
      <c r="AA1203" s="191"/>
      <c r="AB1203" s="191"/>
      <c r="AC1203" s="190"/>
      <c r="AD1203" s="190"/>
      <c r="AE1203" s="190"/>
      <c r="AF1203" s="190"/>
      <c r="AG1203" s="190"/>
      <c r="AH1203" s="190"/>
      <c r="AI1203" s="190"/>
      <c r="AJ1203" s="190"/>
      <c r="AK1203" s="190"/>
      <c r="AL1203" s="190"/>
      <c r="AM1203" s="190"/>
    </row>
    <row r="1204" spans="2:39">
      <c r="B1204" s="162"/>
      <c r="C1204" s="162"/>
      <c r="D1204" s="191"/>
      <c r="E1204" s="191"/>
      <c r="F1204" s="191"/>
      <c r="G1204" s="191"/>
      <c r="H1204" s="191"/>
      <c r="I1204" s="191"/>
      <c r="J1204" s="191"/>
      <c r="K1204" s="191"/>
      <c r="L1204" s="191"/>
      <c r="M1204" s="191"/>
      <c r="N1204" s="191"/>
      <c r="O1204" s="191"/>
      <c r="P1204" s="191"/>
      <c r="Q1204" s="191"/>
      <c r="R1204" s="191"/>
      <c r="S1204" s="191"/>
      <c r="T1204" s="191"/>
      <c r="U1204" s="191"/>
      <c r="V1204" s="191"/>
      <c r="W1204" s="191"/>
      <c r="X1204" s="191"/>
      <c r="Y1204" s="191"/>
      <c r="Z1204" s="191"/>
      <c r="AA1204" s="191"/>
      <c r="AB1204" s="191"/>
      <c r="AC1204" s="190"/>
      <c r="AD1204" s="190"/>
      <c r="AE1204" s="190"/>
      <c r="AF1204" s="190"/>
      <c r="AG1204" s="190"/>
      <c r="AH1204" s="190"/>
      <c r="AI1204" s="190"/>
      <c r="AJ1204" s="190"/>
      <c r="AK1204" s="190"/>
      <c r="AL1204" s="190"/>
      <c r="AM1204" s="190"/>
    </row>
    <row r="1205" spans="2:39">
      <c r="B1205" s="162"/>
      <c r="C1205" s="162"/>
      <c r="D1205" s="191"/>
      <c r="E1205" s="191"/>
      <c r="F1205" s="191"/>
      <c r="G1205" s="191"/>
      <c r="H1205" s="191"/>
      <c r="I1205" s="191"/>
      <c r="J1205" s="191"/>
      <c r="K1205" s="191"/>
      <c r="L1205" s="191"/>
      <c r="M1205" s="191"/>
      <c r="N1205" s="191"/>
      <c r="O1205" s="191"/>
      <c r="P1205" s="191"/>
      <c r="Q1205" s="191"/>
      <c r="R1205" s="191"/>
      <c r="S1205" s="191"/>
      <c r="T1205" s="191"/>
      <c r="U1205" s="191"/>
      <c r="V1205" s="191"/>
      <c r="W1205" s="191"/>
      <c r="X1205" s="191"/>
      <c r="Y1205" s="191"/>
      <c r="Z1205" s="191"/>
      <c r="AA1205" s="191"/>
      <c r="AB1205" s="191"/>
      <c r="AC1205" s="190"/>
      <c r="AD1205" s="190"/>
      <c r="AE1205" s="190"/>
      <c r="AF1205" s="190"/>
      <c r="AG1205" s="190"/>
      <c r="AH1205" s="190"/>
      <c r="AI1205" s="190"/>
      <c r="AJ1205" s="190"/>
      <c r="AK1205" s="190"/>
      <c r="AL1205" s="190"/>
      <c r="AM1205" s="190"/>
    </row>
    <row r="1206" spans="2:39">
      <c r="B1206" s="162"/>
      <c r="C1206" s="162"/>
      <c r="D1206" s="191"/>
      <c r="E1206" s="191"/>
      <c r="F1206" s="191"/>
      <c r="G1206" s="191"/>
      <c r="H1206" s="191"/>
      <c r="I1206" s="191"/>
      <c r="J1206" s="191"/>
      <c r="K1206" s="191"/>
      <c r="L1206" s="191"/>
      <c r="M1206" s="191"/>
      <c r="N1206" s="191"/>
      <c r="O1206" s="191"/>
      <c r="P1206" s="191"/>
      <c r="Q1206" s="191"/>
      <c r="R1206" s="191"/>
      <c r="S1206" s="191"/>
      <c r="T1206" s="191"/>
      <c r="U1206" s="191"/>
      <c r="V1206" s="191"/>
      <c r="W1206" s="191"/>
      <c r="X1206" s="191"/>
      <c r="Y1206" s="191"/>
      <c r="Z1206" s="191"/>
      <c r="AA1206" s="191"/>
      <c r="AB1206" s="191"/>
      <c r="AC1206" s="190"/>
      <c r="AD1206" s="190"/>
      <c r="AE1206" s="190"/>
      <c r="AF1206" s="190"/>
      <c r="AG1206" s="190"/>
      <c r="AH1206" s="190"/>
      <c r="AI1206" s="190"/>
      <c r="AJ1206" s="190"/>
      <c r="AK1206" s="190"/>
      <c r="AL1206" s="190"/>
      <c r="AM1206" s="190"/>
    </row>
    <row r="1207" spans="2:39">
      <c r="B1207" s="162"/>
      <c r="C1207" s="162"/>
      <c r="D1207" s="191"/>
      <c r="E1207" s="191"/>
      <c r="F1207" s="191"/>
      <c r="G1207" s="191"/>
      <c r="H1207" s="191"/>
      <c r="I1207" s="191"/>
      <c r="J1207" s="191"/>
      <c r="K1207" s="191"/>
      <c r="L1207" s="191"/>
      <c r="M1207" s="191"/>
      <c r="N1207" s="191"/>
      <c r="O1207" s="191"/>
      <c r="P1207" s="191"/>
      <c r="Q1207" s="191"/>
      <c r="R1207" s="191"/>
      <c r="S1207" s="191"/>
      <c r="T1207" s="191"/>
      <c r="U1207" s="191"/>
      <c r="V1207" s="191"/>
      <c r="W1207" s="191"/>
      <c r="X1207" s="191"/>
      <c r="Y1207" s="191"/>
      <c r="Z1207" s="191"/>
      <c r="AA1207" s="191"/>
      <c r="AB1207" s="191"/>
      <c r="AC1207" s="190"/>
      <c r="AD1207" s="190"/>
      <c r="AE1207" s="190"/>
      <c r="AF1207" s="190"/>
      <c r="AG1207" s="190"/>
      <c r="AH1207" s="190"/>
      <c r="AI1207" s="190"/>
      <c r="AJ1207" s="190"/>
      <c r="AK1207" s="190"/>
      <c r="AL1207" s="190"/>
      <c r="AM1207" s="190"/>
    </row>
    <row r="1208" spans="2:39">
      <c r="B1208" s="162"/>
      <c r="C1208" s="162"/>
      <c r="D1208" s="191"/>
      <c r="E1208" s="191"/>
      <c r="F1208" s="191"/>
      <c r="G1208" s="191"/>
      <c r="H1208" s="191"/>
      <c r="I1208" s="191"/>
      <c r="J1208" s="191"/>
      <c r="K1208" s="191"/>
      <c r="L1208" s="191"/>
      <c r="M1208" s="191"/>
      <c r="N1208" s="191"/>
      <c r="O1208" s="191"/>
      <c r="P1208" s="191"/>
      <c r="Q1208" s="191"/>
      <c r="R1208" s="191"/>
      <c r="S1208" s="191"/>
      <c r="T1208" s="191"/>
      <c r="U1208" s="191"/>
      <c r="V1208" s="191"/>
      <c r="W1208" s="191"/>
      <c r="X1208" s="191"/>
      <c r="Y1208" s="191"/>
      <c r="Z1208" s="191"/>
      <c r="AA1208" s="191"/>
      <c r="AB1208" s="191"/>
      <c r="AC1208" s="190"/>
      <c r="AD1208" s="190"/>
      <c r="AE1208" s="190"/>
      <c r="AF1208" s="190"/>
      <c r="AG1208" s="190"/>
      <c r="AH1208" s="190"/>
      <c r="AI1208" s="190"/>
      <c r="AJ1208" s="190"/>
      <c r="AK1208" s="190"/>
      <c r="AL1208" s="190"/>
      <c r="AM1208" s="190"/>
    </row>
    <row r="1209" spans="2:39">
      <c r="B1209" s="162"/>
      <c r="C1209" s="162"/>
      <c r="D1209" s="191"/>
      <c r="E1209" s="191"/>
      <c r="F1209" s="191"/>
      <c r="G1209" s="191"/>
      <c r="H1209" s="191"/>
      <c r="I1209" s="191"/>
      <c r="J1209" s="191"/>
      <c r="K1209" s="191"/>
      <c r="L1209" s="191"/>
      <c r="M1209" s="191"/>
      <c r="N1209" s="191"/>
      <c r="O1209" s="191"/>
      <c r="P1209" s="191"/>
      <c r="Q1209" s="191"/>
      <c r="R1209" s="191"/>
      <c r="S1209" s="191"/>
      <c r="T1209" s="191"/>
      <c r="U1209" s="191"/>
      <c r="V1209" s="191"/>
      <c r="W1209" s="191"/>
      <c r="X1209" s="191"/>
      <c r="Y1209" s="191"/>
      <c r="Z1209" s="191"/>
      <c r="AA1209" s="191"/>
      <c r="AB1209" s="191"/>
      <c r="AC1209" s="190"/>
      <c r="AD1209" s="190"/>
      <c r="AE1209" s="190"/>
      <c r="AF1209" s="190"/>
      <c r="AG1209" s="190"/>
      <c r="AH1209" s="190"/>
      <c r="AI1209" s="190"/>
      <c r="AJ1209" s="190"/>
      <c r="AK1209" s="190"/>
      <c r="AL1209" s="190"/>
      <c r="AM1209" s="190"/>
    </row>
    <row r="1210" spans="2:39">
      <c r="B1210" s="162"/>
      <c r="C1210" s="162"/>
      <c r="D1210" s="191"/>
      <c r="E1210" s="191"/>
      <c r="F1210" s="191"/>
      <c r="G1210" s="191"/>
      <c r="H1210" s="191"/>
      <c r="I1210" s="191"/>
      <c r="J1210" s="191"/>
      <c r="K1210" s="191"/>
      <c r="L1210" s="191"/>
      <c r="M1210" s="191"/>
      <c r="N1210" s="191"/>
      <c r="O1210" s="191"/>
      <c r="P1210" s="191"/>
      <c r="Q1210" s="191"/>
      <c r="R1210" s="191"/>
      <c r="S1210" s="191"/>
      <c r="T1210" s="191"/>
      <c r="U1210" s="191"/>
      <c r="V1210" s="191"/>
      <c r="W1210" s="191"/>
      <c r="X1210" s="191"/>
      <c r="Y1210" s="191"/>
      <c r="Z1210" s="191"/>
      <c r="AA1210" s="191"/>
      <c r="AB1210" s="191"/>
      <c r="AC1210" s="190"/>
      <c r="AD1210" s="190"/>
      <c r="AE1210" s="190"/>
      <c r="AF1210" s="190"/>
      <c r="AG1210" s="190"/>
      <c r="AH1210" s="190"/>
      <c r="AI1210" s="190"/>
      <c r="AJ1210" s="190"/>
      <c r="AK1210" s="190"/>
      <c r="AL1210" s="190"/>
      <c r="AM1210" s="190"/>
    </row>
    <row r="1211" spans="2:39">
      <c r="B1211" s="162"/>
      <c r="C1211" s="162"/>
      <c r="D1211" s="191"/>
      <c r="E1211" s="191"/>
      <c r="F1211" s="191"/>
      <c r="G1211" s="191"/>
      <c r="H1211" s="191"/>
      <c r="I1211" s="191"/>
      <c r="J1211" s="191"/>
      <c r="K1211" s="191"/>
      <c r="L1211" s="191"/>
      <c r="M1211" s="191"/>
      <c r="N1211" s="191"/>
      <c r="O1211" s="191"/>
      <c r="P1211" s="191"/>
      <c r="Q1211" s="191"/>
      <c r="R1211" s="191"/>
      <c r="S1211" s="191"/>
      <c r="T1211" s="191"/>
      <c r="U1211" s="191"/>
      <c r="V1211" s="191"/>
      <c r="W1211" s="191"/>
      <c r="X1211" s="191"/>
      <c r="Y1211" s="191"/>
      <c r="Z1211" s="191"/>
      <c r="AA1211" s="191"/>
      <c r="AB1211" s="191"/>
      <c r="AC1211" s="190"/>
      <c r="AD1211" s="190"/>
      <c r="AE1211" s="190"/>
      <c r="AF1211" s="190"/>
      <c r="AG1211" s="190"/>
      <c r="AH1211" s="190"/>
      <c r="AI1211" s="190"/>
      <c r="AJ1211" s="190"/>
      <c r="AK1211" s="190"/>
      <c r="AL1211" s="190"/>
      <c r="AM1211" s="190"/>
    </row>
    <row r="1212" spans="2:39">
      <c r="B1212" s="162"/>
      <c r="C1212" s="162"/>
      <c r="D1212" s="191"/>
      <c r="E1212" s="191"/>
      <c r="F1212" s="191"/>
      <c r="G1212" s="191"/>
      <c r="H1212" s="191"/>
      <c r="I1212" s="191"/>
      <c r="J1212" s="191"/>
      <c r="K1212" s="191"/>
      <c r="L1212" s="191"/>
      <c r="M1212" s="191"/>
      <c r="N1212" s="191"/>
      <c r="O1212" s="191"/>
      <c r="P1212" s="191"/>
      <c r="Q1212" s="191"/>
      <c r="R1212" s="191"/>
      <c r="S1212" s="191"/>
      <c r="T1212" s="191"/>
      <c r="U1212" s="191"/>
      <c r="V1212" s="191"/>
      <c r="W1212" s="191"/>
      <c r="X1212" s="191"/>
      <c r="Y1212" s="191"/>
      <c r="Z1212" s="191"/>
      <c r="AA1212" s="191"/>
      <c r="AB1212" s="191"/>
      <c r="AC1212" s="190"/>
      <c r="AD1212" s="190"/>
      <c r="AE1212" s="190"/>
      <c r="AF1212" s="190"/>
      <c r="AG1212" s="190"/>
      <c r="AH1212" s="190"/>
      <c r="AI1212" s="190"/>
      <c r="AJ1212" s="190"/>
      <c r="AK1212" s="190"/>
      <c r="AL1212" s="190"/>
      <c r="AM1212" s="190"/>
    </row>
    <row r="1213" spans="2:39">
      <c r="B1213" s="162"/>
      <c r="C1213" s="162"/>
      <c r="D1213" s="191"/>
      <c r="E1213" s="191"/>
      <c r="F1213" s="191"/>
      <c r="G1213" s="191"/>
      <c r="H1213" s="191"/>
      <c r="I1213" s="191"/>
      <c r="J1213" s="191"/>
      <c r="K1213" s="191"/>
      <c r="L1213" s="191"/>
      <c r="M1213" s="191"/>
      <c r="N1213" s="191"/>
      <c r="O1213" s="191"/>
      <c r="P1213" s="191"/>
      <c r="Q1213" s="191"/>
      <c r="R1213" s="191"/>
      <c r="S1213" s="191"/>
      <c r="T1213" s="191"/>
      <c r="U1213" s="191"/>
      <c r="V1213" s="191"/>
      <c r="W1213" s="191"/>
      <c r="X1213" s="191"/>
      <c r="Y1213" s="191"/>
      <c r="Z1213" s="191"/>
      <c r="AA1213" s="191"/>
      <c r="AB1213" s="191"/>
      <c r="AC1213" s="190"/>
      <c r="AD1213" s="190"/>
      <c r="AE1213" s="190"/>
      <c r="AF1213" s="190"/>
      <c r="AG1213" s="190"/>
      <c r="AH1213" s="190"/>
      <c r="AI1213" s="190"/>
      <c r="AJ1213" s="190"/>
      <c r="AK1213" s="190"/>
      <c r="AL1213" s="190"/>
      <c r="AM1213" s="190"/>
    </row>
    <row r="1214" spans="2:39">
      <c r="B1214" s="162"/>
      <c r="C1214" s="162"/>
      <c r="D1214" s="191"/>
      <c r="E1214" s="191"/>
      <c r="F1214" s="191"/>
      <c r="G1214" s="191"/>
      <c r="H1214" s="191"/>
      <c r="I1214" s="191"/>
      <c r="J1214" s="191"/>
      <c r="K1214" s="191"/>
      <c r="L1214" s="191"/>
      <c r="M1214" s="191"/>
      <c r="N1214" s="191"/>
      <c r="O1214" s="191"/>
      <c r="P1214" s="191"/>
      <c r="Q1214" s="191"/>
      <c r="R1214" s="191"/>
      <c r="S1214" s="191"/>
      <c r="T1214" s="191"/>
      <c r="U1214" s="191"/>
      <c r="V1214" s="191"/>
      <c r="W1214" s="191"/>
      <c r="X1214" s="191"/>
      <c r="Y1214" s="191"/>
      <c r="Z1214" s="191"/>
      <c r="AA1214" s="191"/>
      <c r="AB1214" s="191"/>
      <c r="AC1214" s="190"/>
      <c r="AD1214" s="190"/>
      <c r="AE1214" s="190"/>
      <c r="AF1214" s="190"/>
      <c r="AG1214" s="190"/>
      <c r="AH1214" s="190"/>
      <c r="AI1214" s="190"/>
      <c r="AJ1214" s="190"/>
      <c r="AK1214" s="190"/>
      <c r="AL1214" s="190"/>
      <c r="AM1214" s="190"/>
    </row>
    <row r="1215" spans="2:39">
      <c r="B1215" s="162"/>
      <c r="C1215" s="162"/>
      <c r="D1215" s="191"/>
      <c r="E1215" s="191"/>
      <c r="F1215" s="191"/>
      <c r="G1215" s="191"/>
      <c r="H1215" s="191"/>
      <c r="I1215" s="191"/>
      <c r="J1215" s="191"/>
      <c r="K1215" s="191"/>
      <c r="L1215" s="191"/>
      <c r="M1215" s="191"/>
      <c r="N1215" s="191"/>
      <c r="O1215" s="191"/>
      <c r="P1215" s="191"/>
      <c r="Q1215" s="191"/>
      <c r="R1215" s="191"/>
      <c r="S1215" s="191"/>
      <c r="T1215" s="191"/>
      <c r="U1215" s="191"/>
      <c r="V1215" s="191"/>
      <c r="W1215" s="191"/>
      <c r="X1215" s="191"/>
      <c r="Y1215" s="191"/>
      <c r="Z1215" s="191"/>
      <c r="AA1215" s="191"/>
      <c r="AB1215" s="191"/>
      <c r="AC1215" s="190"/>
      <c r="AD1215" s="190"/>
      <c r="AE1215" s="190"/>
      <c r="AF1215" s="190"/>
      <c r="AG1215" s="190"/>
      <c r="AH1215" s="190"/>
      <c r="AI1215" s="190"/>
      <c r="AJ1215" s="190"/>
      <c r="AK1215" s="190"/>
      <c r="AL1215" s="190"/>
      <c r="AM1215" s="190"/>
    </row>
    <row r="1216" spans="2:39">
      <c r="B1216" s="162"/>
      <c r="C1216" s="162"/>
      <c r="D1216" s="191"/>
      <c r="E1216" s="191"/>
      <c r="F1216" s="191"/>
      <c r="G1216" s="191"/>
      <c r="H1216" s="191"/>
      <c r="I1216" s="191"/>
      <c r="J1216" s="191"/>
      <c r="K1216" s="191"/>
      <c r="L1216" s="191"/>
      <c r="M1216" s="191"/>
      <c r="N1216" s="191"/>
      <c r="O1216" s="191"/>
      <c r="P1216" s="191"/>
      <c r="Q1216" s="191"/>
      <c r="R1216" s="191"/>
      <c r="S1216" s="191"/>
      <c r="T1216" s="191"/>
      <c r="U1216" s="191"/>
      <c r="V1216" s="191"/>
      <c r="W1216" s="191"/>
      <c r="X1216" s="191"/>
      <c r="Y1216" s="191"/>
      <c r="Z1216" s="191"/>
      <c r="AA1216" s="191"/>
      <c r="AB1216" s="191"/>
      <c r="AC1216" s="190"/>
      <c r="AD1216" s="190"/>
      <c r="AE1216" s="190"/>
      <c r="AF1216" s="190"/>
      <c r="AG1216" s="190"/>
      <c r="AH1216" s="190"/>
      <c r="AI1216" s="190"/>
      <c r="AJ1216" s="190"/>
      <c r="AK1216" s="190"/>
      <c r="AL1216" s="190"/>
      <c r="AM1216" s="190"/>
    </row>
    <row r="1217" spans="2:39">
      <c r="B1217" s="162"/>
      <c r="C1217" s="162"/>
      <c r="D1217" s="191"/>
      <c r="E1217" s="191"/>
      <c r="F1217" s="191"/>
      <c r="G1217" s="191"/>
      <c r="H1217" s="191"/>
      <c r="I1217" s="191"/>
      <c r="J1217" s="191"/>
      <c r="K1217" s="191"/>
      <c r="L1217" s="191"/>
      <c r="M1217" s="191"/>
      <c r="N1217" s="191"/>
      <c r="O1217" s="191"/>
      <c r="P1217" s="191"/>
      <c r="Q1217" s="191"/>
      <c r="R1217" s="191"/>
      <c r="S1217" s="191"/>
      <c r="T1217" s="191"/>
      <c r="U1217" s="191"/>
      <c r="V1217" s="191"/>
      <c r="W1217" s="191"/>
      <c r="X1217" s="191"/>
      <c r="Y1217" s="191"/>
      <c r="Z1217" s="191"/>
      <c r="AA1217" s="191"/>
      <c r="AB1217" s="191"/>
      <c r="AC1217" s="190"/>
      <c r="AD1217" s="190"/>
      <c r="AE1217" s="190"/>
      <c r="AF1217" s="190"/>
      <c r="AG1217" s="190"/>
      <c r="AH1217" s="190"/>
      <c r="AI1217" s="190"/>
      <c r="AJ1217" s="190"/>
      <c r="AK1217" s="190"/>
      <c r="AL1217" s="190"/>
      <c r="AM1217" s="190"/>
    </row>
    <row r="1218" spans="2:39">
      <c r="B1218" s="162"/>
      <c r="C1218" s="162"/>
      <c r="D1218" s="191"/>
      <c r="E1218" s="191"/>
      <c r="F1218" s="191"/>
      <c r="G1218" s="191"/>
      <c r="H1218" s="191"/>
      <c r="I1218" s="191"/>
      <c r="J1218" s="191"/>
      <c r="K1218" s="191"/>
      <c r="L1218" s="191"/>
      <c r="M1218" s="191"/>
      <c r="N1218" s="191"/>
      <c r="O1218" s="191"/>
      <c r="P1218" s="191"/>
      <c r="Q1218" s="191"/>
      <c r="R1218" s="191"/>
      <c r="S1218" s="191"/>
      <c r="T1218" s="191"/>
      <c r="U1218" s="191"/>
      <c r="V1218" s="191"/>
      <c r="W1218" s="191"/>
      <c r="X1218" s="191"/>
      <c r="Y1218" s="191"/>
      <c r="Z1218" s="191"/>
      <c r="AA1218" s="191"/>
      <c r="AB1218" s="191"/>
      <c r="AC1218" s="190"/>
      <c r="AD1218" s="190"/>
      <c r="AE1218" s="190"/>
      <c r="AF1218" s="190"/>
      <c r="AG1218" s="190"/>
      <c r="AH1218" s="190"/>
      <c r="AI1218" s="190"/>
      <c r="AJ1218" s="190"/>
      <c r="AK1218" s="190"/>
      <c r="AL1218" s="190"/>
      <c r="AM1218" s="190"/>
    </row>
    <row r="1219" spans="2:39">
      <c r="B1219" s="162"/>
      <c r="C1219" s="162"/>
      <c r="D1219" s="191"/>
      <c r="E1219" s="191"/>
      <c r="F1219" s="191"/>
      <c r="G1219" s="191"/>
      <c r="H1219" s="191"/>
      <c r="I1219" s="191"/>
      <c r="J1219" s="191"/>
      <c r="K1219" s="191"/>
      <c r="L1219" s="191"/>
      <c r="M1219" s="191"/>
      <c r="N1219" s="191"/>
      <c r="O1219" s="191"/>
      <c r="P1219" s="191"/>
      <c r="Q1219" s="191"/>
      <c r="R1219" s="191"/>
      <c r="S1219" s="191"/>
      <c r="T1219" s="191"/>
      <c r="U1219" s="191"/>
      <c r="V1219" s="191"/>
      <c r="W1219" s="191"/>
      <c r="X1219" s="191"/>
      <c r="Y1219" s="191"/>
      <c r="Z1219" s="191"/>
      <c r="AA1219" s="191"/>
      <c r="AB1219" s="191"/>
      <c r="AC1219" s="190"/>
      <c r="AD1219" s="190"/>
      <c r="AE1219" s="190"/>
      <c r="AF1219" s="190"/>
      <c r="AG1219" s="190"/>
      <c r="AH1219" s="190"/>
      <c r="AI1219" s="190"/>
      <c r="AJ1219" s="190"/>
      <c r="AK1219" s="190"/>
      <c r="AL1219" s="190"/>
      <c r="AM1219" s="190"/>
    </row>
    <row r="1220" spans="2:39">
      <c r="B1220" s="162"/>
      <c r="C1220" s="162"/>
      <c r="D1220" s="191"/>
      <c r="E1220" s="191"/>
      <c r="F1220" s="191"/>
      <c r="G1220" s="191"/>
      <c r="H1220" s="191"/>
      <c r="I1220" s="191"/>
      <c r="J1220" s="191"/>
      <c r="K1220" s="191"/>
      <c r="L1220" s="191"/>
      <c r="M1220" s="191"/>
      <c r="N1220" s="191"/>
      <c r="O1220" s="191"/>
      <c r="P1220" s="191"/>
      <c r="Q1220" s="191"/>
      <c r="R1220" s="191"/>
      <c r="S1220" s="191"/>
      <c r="T1220" s="191"/>
      <c r="U1220" s="191"/>
      <c r="V1220" s="191"/>
      <c r="W1220" s="191"/>
      <c r="X1220" s="191"/>
      <c r="Y1220" s="191"/>
      <c r="Z1220" s="191"/>
      <c r="AA1220" s="191"/>
      <c r="AB1220" s="191"/>
      <c r="AC1220" s="190"/>
      <c r="AD1220" s="190"/>
      <c r="AE1220" s="190"/>
      <c r="AF1220" s="190"/>
      <c r="AG1220" s="190"/>
      <c r="AH1220" s="190"/>
      <c r="AI1220" s="190"/>
      <c r="AJ1220" s="190"/>
      <c r="AK1220" s="190"/>
      <c r="AL1220" s="190"/>
      <c r="AM1220" s="190"/>
    </row>
    <row r="1221" spans="2:39">
      <c r="B1221" s="162"/>
      <c r="C1221" s="162"/>
      <c r="D1221" s="191"/>
      <c r="E1221" s="191"/>
      <c r="F1221" s="191"/>
      <c r="G1221" s="191"/>
      <c r="H1221" s="191"/>
      <c r="I1221" s="191"/>
      <c r="J1221" s="191"/>
      <c r="K1221" s="191"/>
      <c r="L1221" s="191"/>
      <c r="M1221" s="191"/>
      <c r="N1221" s="191"/>
      <c r="O1221" s="191"/>
      <c r="P1221" s="191"/>
      <c r="Q1221" s="191"/>
      <c r="R1221" s="191"/>
      <c r="S1221" s="191"/>
      <c r="T1221" s="191"/>
      <c r="U1221" s="191"/>
      <c r="V1221" s="191"/>
      <c r="W1221" s="191"/>
      <c r="X1221" s="191"/>
      <c r="Y1221" s="191"/>
      <c r="Z1221" s="191"/>
      <c r="AA1221" s="191"/>
      <c r="AB1221" s="191"/>
      <c r="AC1221" s="190"/>
      <c r="AD1221" s="190"/>
      <c r="AE1221" s="190"/>
      <c r="AF1221" s="190"/>
      <c r="AG1221" s="190"/>
      <c r="AH1221" s="190"/>
      <c r="AI1221" s="190"/>
      <c r="AJ1221" s="190"/>
      <c r="AK1221" s="190"/>
      <c r="AL1221" s="190"/>
      <c r="AM1221" s="190"/>
    </row>
    <row r="1222" spans="2:39">
      <c r="B1222" s="162"/>
      <c r="C1222" s="162"/>
      <c r="D1222" s="191"/>
      <c r="E1222" s="191"/>
      <c r="F1222" s="191"/>
      <c r="G1222" s="191"/>
      <c r="H1222" s="191"/>
      <c r="I1222" s="191"/>
      <c r="J1222" s="191"/>
      <c r="K1222" s="191"/>
      <c r="L1222" s="191"/>
      <c r="M1222" s="191"/>
      <c r="N1222" s="191"/>
      <c r="O1222" s="191"/>
      <c r="P1222" s="191"/>
      <c r="Q1222" s="191"/>
      <c r="R1222" s="191"/>
      <c r="S1222" s="191"/>
      <c r="T1222" s="191"/>
      <c r="U1222" s="191"/>
      <c r="V1222" s="191"/>
      <c r="W1222" s="191"/>
      <c r="X1222" s="191"/>
      <c r="Y1222" s="191"/>
      <c r="Z1222" s="191"/>
      <c r="AA1222" s="191"/>
      <c r="AB1222" s="191"/>
      <c r="AC1222" s="190"/>
      <c r="AD1222" s="190"/>
      <c r="AE1222" s="190"/>
      <c r="AF1222" s="190"/>
      <c r="AG1222" s="190"/>
      <c r="AH1222" s="190"/>
      <c r="AI1222" s="190"/>
      <c r="AJ1222" s="190"/>
      <c r="AK1222" s="190"/>
      <c r="AL1222" s="190"/>
      <c r="AM1222" s="190"/>
    </row>
    <row r="1223" spans="2:39">
      <c r="B1223" s="162"/>
      <c r="C1223" s="162"/>
      <c r="D1223" s="191"/>
      <c r="E1223" s="191"/>
      <c r="F1223" s="191"/>
      <c r="G1223" s="191"/>
      <c r="H1223" s="191"/>
      <c r="I1223" s="191"/>
      <c r="J1223" s="191"/>
      <c r="K1223" s="191"/>
      <c r="L1223" s="191"/>
      <c r="M1223" s="191"/>
      <c r="N1223" s="191"/>
      <c r="O1223" s="191"/>
      <c r="P1223" s="191"/>
      <c r="Q1223" s="191"/>
      <c r="R1223" s="191"/>
      <c r="S1223" s="191"/>
      <c r="T1223" s="191"/>
      <c r="U1223" s="191"/>
      <c r="V1223" s="191"/>
      <c r="W1223" s="191"/>
      <c r="X1223" s="191"/>
      <c r="Y1223" s="191"/>
      <c r="Z1223" s="191"/>
      <c r="AA1223" s="191"/>
      <c r="AB1223" s="191"/>
      <c r="AC1223" s="190"/>
      <c r="AD1223" s="190"/>
      <c r="AE1223" s="190"/>
      <c r="AF1223" s="190"/>
      <c r="AG1223" s="190"/>
      <c r="AH1223" s="190"/>
      <c r="AI1223" s="190"/>
      <c r="AJ1223" s="190"/>
      <c r="AK1223" s="190"/>
      <c r="AL1223" s="190"/>
      <c r="AM1223" s="190"/>
    </row>
    <row r="1224" spans="2:39">
      <c r="B1224" s="162"/>
      <c r="C1224" s="162"/>
      <c r="D1224" s="191"/>
      <c r="E1224" s="191"/>
      <c r="F1224" s="191"/>
      <c r="G1224" s="191"/>
      <c r="H1224" s="191"/>
      <c r="I1224" s="191"/>
      <c r="J1224" s="191"/>
      <c r="K1224" s="191"/>
      <c r="L1224" s="191"/>
      <c r="M1224" s="191"/>
      <c r="N1224" s="191"/>
      <c r="O1224" s="191"/>
      <c r="P1224" s="191"/>
      <c r="Q1224" s="191"/>
      <c r="R1224" s="191"/>
      <c r="S1224" s="191"/>
      <c r="T1224" s="191"/>
      <c r="U1224" s="191"/>
      <c r="V1224" s="191"/>
      <c r="W1224" s="191"/>
      <c r="X1224" s="191"/>
      <c r="Y1224" s="191"/>
      <c r="Z1224" s="191"/>
      <c r="AA1224" s="191"/>
      <c r="AB1224" s="191"/>
      <c r="AC1224" s="190"/>
      <c r="AD1224" s="190"/>
      <c r="AE1224" s="190"/>
      <c r="AF1224" s="190"/>
      <c r="AG1224" s="190"/>
      <c r="AH1224" s="190"/>
      <c r="AI1224" s="190"/>
      <c r="AJ1224" s="190"/>
      <c r="AK1224" s="190"/>
      <c r="AL1224" s="190"/>
      <c r="AM1224" s="190"/>
    </row>
    <row r="1225" spans="2:39">
      <c r="B1225" s="162"/>
      <c r="C1225" s="162"/>
      <c r="D1225" s="191"/>
      <c r="E1225" s="191"/>
      <c r="F1225" s="191"/>
      <c r="G1225" s="191"/>
      <c r="H1225" s="191"/>
      <c r="I1225" s="191"/>
      <c r="J1225" s="191"/>
      <c r="K1225" s="191"/>
      <c r="L1225" s="191"/>
      <c r="M1225" s="191"/>
      <c r="N1225" s="191"/>
      <c r="O1225" s="191"/>
      <c r="P1225" s="191"/>
      <c r="Q1225" s="191"/>
      <c r="R1225" s="191"/>
      <c r="S1225" s="191"/>
      <c r="T1225" s="191"/>
      <c r="U1225" s="191"/>
      <c r="V1225" s="191"/>
      <c r="W1225" s="191"/>
      <c r="X1225" s="191"/>
      <c r="Y1225" s="191"/>
      <c r="Z1225" s="191"/>
      <c r="AA1225" s="191"/>
      <c r="AB1225" s="191"/>
      <c r="AC1225" s="190"/>
      <c r="AD1225" s="190"/>
      <c r="AE1225" s="190"/>
      <c r="AF1225" s="190"/>
      <c r="AG1225" s="190"/>
      <c r="AH1225" s="190"/>
      <c r="AI1225" s="190"/>
      <c r="AJ1225" s="190"/>
      <c r="AK1225" s="190"/>
      <c r="AL1225" s="190"/>
      <c r="AM1225" s="190"/>
    </row>
    <row r="1226" spans="2:39">
      <c r="B1226" s="162"/>
      <c r="C1226" s="162"/>
      <c r="D1226" s="191"/>
      <c r="E1226" s="191"/>
      <c r="F1226" s="191"/>
      <c r="G1226" s="191"/>
      <c r="H1226" s="191"/>
      <c r="I1226" s="191"/>
      <c r="J1226" s="191"/>
      <c r="K1226" s="191"/>
      <c r="L1226" s="191"/>
      <c r="M1226" s="191"/>
      <c r="N1226" s="191"/>
      <c r="O1226" s="191"/>
      <c r="P1226" s="191"/>
      <c r="Q1226" s="191"/>
      <c r="R1226" s="191"/>
      <c r="S1226" s="191"/>
      <c r="T1226" s="191"/>
      <c r="U1226" s="191"/>
      <c r="V1226" s="191"/>
      <c r="W1226" s="191"/>
      <c r="X1226" s="191"/>
      <c r="Y1226" s="191"/>
      <c r="Z1226" s="191"/>
      <c r="AA1226" s="191"/>
      <c r="AB1226" s="191"/>
      <c r="AC1226" s="190"/>
      <c r="AD1226" s="190"/>
      <c r="AE1226" s="190"/>
      <c r="AF1226" s="190"/>
      <c r="AG1226" s="190"/>
      <c r="AH1226" s="190"/>
      <c r="AI1226" s="190"/>
      <c r="AJ1226" s="190"/>
      <c r="AK1226" s="190"/>
      <c r="AL1226" s="190"/>
      <c r="AM1226" s="190"/>
    </row>
    <row r="1227" spans="2:39">
      <c r="B1227" s="162"/>
      <c r="C1227" s="162"/>
      <c r="D1227" s="191"/>
      <c r="E1227" s="191"/>
      <c r="F1227" s="191"/>
      <c r="G1227" s="191"/>
      <c r="H1227" s="191"/>
      <c r="I1227" s="191"/>
      <c r="J1227" s="191"/>
      <c r="K1227" s="191"/>
      <c r="L1227" s="191"/>
      <c r="M1227" s="191"/>
      <c r="N1227" s="191"/>
      <c r="O1227" s="191"/>
      <c r="P1227" s="191"/>
      <c r="Q1227" s="191"/>
      <c r="R1227" s="191"/>
      <c r="S1227" s="191"/>
      <c r="T1227" s="191"/>
      <c r="U1227" s="191"/>
      <c r="V1227" s="191"/>
      <c r="W1227" s="191"/>
      <c r="X1227" s="191"/>
      <c r="Y1227" s="191"/>
      <c r="Z1227" s="191"/>
      <c r="AA1227" s="191"/>
      <c r="AB1227" s="191"/>
      <c r="AC1227" s="190"/>
      <c r="AD1227" s="190"/>
      <c r="AE1227" s="190"/>
      <c r="AF1227" s="190"/>
      <c r="AG1227" s="190"/>
      <c r="AH1227" s="190"/>
      <c r="AI1227" s="190"/>
      <c r="AJ1227" s="190"/>
      <c r="AK1227" s="190"/>
      <c r="AL1227" s="190"/>
      <c r="AM1227" s="190"/>
    </row>
    <row r="1228" spans="2:39">
      <c r="B1228" s="162"/>
      <c r="C1228" s="162"/>
      <c r="D1228" s="191"/>
      <c r="E1228" s="191"/>
      <c r="F1228" s="191"/>
      <c r="G1228" s="191"/>
      <c r="H1228" s="191"/>
      <c r="I1228" s="191"/>
      <c r="J1228" s="191"/>
      <c r="K1228" s="191"/>
      <c r="L1228" s="191"/>
      <c r="M1228" s="191"/>
      <c r="N1228" s="191"/>
      <c r="O1228" s="191"/>
      <c r="P1228" s="191"/>
      <c r="Q1228" s="191"/>
      <c r="R1228" s="191"/>
      <c r="S1228" s="191"/>
      <c r="T1228" s="191"/>
      <c r="U1228" s="191"/>
      <c r="V1228" s="191"/>
      <c r="W1228" s="191"/>
      <c r="X1228" s="191"/>
      <c r="Y1228" s="191"/>
      <c r="Z1228" s="191"/>
      <c r="AA1228" s="191"/>
      <c r="AB1228" s="191"/>
      <c r="AC1228" s="190"/>
      <c r="AD1228" s="190"/>
      <c r="AE1228" s="190"/>
      <c r="AF1228" s="190"/>
      <c r="AG1228" s="190"/>
      <c r="AH1228" s="190"/>
      <c r="AI1228" s="190"/>
      <c r="AJ1228" s="190"/>
      <c r="AK1228" s="190"/>
      <c r="AL1228" s="190"/>
      <c r="AM1228" s="190"/>
    </row>
    <row r="1229" spans="2:39">
      <c r="B1229" s="162"/>
      <c r="C1229" s="162"/>
      <c r="D1229" s="191"/>
      <c r="E1229" s="191"/>
      <c r="F1229" s="191"/>
      <c r="G1229" s="191"/>
      <c r="H1229" s="191"/>
      <c r="I1229" s="191"/>
      <c r="J1229" s="191"/>
      <c r="K1229" s="191"/>
      <c r="L1229" s="191"/>
      <c r="M1229" s="191"/>
      <c r="N1229" s="191"/>
      <c r="O1229" s="191"/>
      <c r="P1229" s="191"/>
      <c r="Q1229" s="191"/>
      <c r="R1229" s="191"/>
      <c r="S1229" s="191"/>
      <c r="T1229" s="191"/>
      <c r="U1229" s="191"/>
      <c r="V1229" s="191"/>
      <c r="W1229" s="191"/>
      <c r="X1229" s="191"/>
      <c r="Y1229" s="191"/>
      <c r="Z1229" s="191"/>
      <c r="AA1229" s="191"/>
      <c r="AB1229" s="191"/>
      <c r="AC1229" s="190"/>
      <c r="AD1229" s="190"/>
      <c r="AE1229" s="190"/>
      <c r="AF1229" s="190"/>
      <c r="AG1229" s="190"/>
      <c r="AH1229" s="190"/>
      <c r="AI1229" s="190"/>
      <c r="AJ1229" s="190"/>
      <c r="AK1229" s="190"/>
      <c r="AL1229" s="190"/>
      <c r="AM1229" s="190"/>
    </row>
    <row r="1230" spans="2:39">
      <c r="B1230" s="162"/>
      <c r="C1230" s="162"/>
      <c r="D1230" s="191"/>
      <c r="E1230" s="191"/>
      <c r="F1230" s="191"/>
      <c r="G1230" s="191"/>
      <c r="H1230" s="191"/>
      <c r="I1230" s="191"/>
      <c r="J1230" s="191"/>
      <c r="K1230" s="191"/>
      <c r="L1230" s="191"/>
      <c r="M1230" s="191"/>
      <c r="N1230" s="191"/>
      <c r="O1230" s="191"/>
      <c r="P1230" s="191"/>
      <c r="Q1230" s="191"/>
      <c r="R1230" s="191"/>
      <c r="S1230" s="191"/>
      <c r="T1230" s="191"/>
      <c r="U1230" s="191"/>
      <c r="V1230" s="191"/>
      <c r="W1230" s="191"/>
      <c r="X1230" s="191"/>
      <c r="Y1230" s="191"/>
      <c r="Z1230" s="191"/>
      <c r="AA1230" s="191"/>
      <c r="AB1230" s="191"/>
      <c r="AC1230" s="190"/>
      <c r="AD1230" s="190"/>
      <c r="AE1230" s="190"/>
      <c r="AF1230" s="190"/>
      <c r="AG1230" s="190"/>
      <c r="AH1230" s="190"/>
      <c r="AI1230" s="190"/>
      <c r="AJ1230" s="190"/>
      <c r="AK1230" s="190"/>
      <c r="AL1230" s="190"/>
      <c r="AM1230" s="190"/>
    </row>
    <row r="1231" spans="2:39">
      <c r="B1231" s="162"/>
      <c r="C1231" s="162"/>
      <c r="D1231" s="191"/>
      <c r="E1231" s="191"/>
      <c r="F1231" s="191"/>
      <c r="G1231" s="191"/>
      <c r="H1231" s="191"/>
      <c r="I1231" s="191"/>
      <c r="J1231" s="191"/>
      <c r="K1231" s="191"/>
      <c r="L1231" s="191"/>
      <c r="M1231" s="191"/>
      <c r="N1231" s="191"/>
      <c r="O1231" s="191"/>
      <c r="P1231" s="191"/>
      <c r="Q1231" s="191"/>
      <c r="R1231" s="191"/>
      <c r="S1231" s="191"/>
      <c r="T1231" s="191"/>
      <c r="U1231" s="191"/>
      <c r="V1231" s="191"/>
      <c r="W1231" s="191"/>
      <c r="X1231" s="191"/>
      <c r="Y1231" s="191"/>
      <c r="Z1231" s="191"/>
      <c r="AA1231" s="191"/>
      <c r="AB1231" s="191"/>
      <c r="AC1231" s="190"/>
      <c r="AD1231" s="190"/>
      <c r="AE1231" s="190"/>
      <c r="AF1231" s="190"/>
      <c r="AG1231" s="190"/>
      <c r="AH1231" s="190"/>
      <c r="AI1231" s="190"/>
      <c r="AJ1231" s="190"/>
      <c r="AK1231" s="190"/>
      <c r="AL1231" s="190"/>
      <c r="AM1231" s="190"/>
    </row>
    <row r="1232" spans="2:39">
      <c r="B1232" s="162"/>
      <c r="C1232" s="162"/>
      <c r="D1232" s="191"/>
      <c r="E1232" s="191"/>
      <c r="F1232" s="191"/>
      <c r="G1232" s="191"/>
      <c r="H1232" s="191"/>
      <c r="I1232" s="191"/>
      <c r="J1232" s="191"/>
      <c r="K1232" s="191"/>
      <c r="L1232" s="191"/>
      <c r="M1232" s="191"/>
      <c r="N1232" s="191"/>
      <c r="O1232" s="191"/>
      <c r="P1232" s="191"/>
      <c r="Q1232" s="191"/>
      <c r="R1232" s="191"/>
      <c r="S1232" s="191"/>
      <c r="T1232" s="191"/>
      <c r="U1232" s="191"/>
      <c r="V1232" s="191"/>
      <c r="W1232" s="191"/>
      <c r="X1232" s="191"/>
      <c r="Y1232" s="191"/>
      <c r="Z1232" s="191"/>
      <c r="AA1232" s="191"/>
      <c r="AB1232" s="191"/>
      <c r="AC1232" s="190"/>
      <c r="AD1232" s="190"/>
      <c r="AE1232" s="190"/>
      <c r="AF1232" s="190"/>
      <c r="AG1232" s="190"/>
      <c r="AH1232" s="190"/>
      <c r="AI1232" s="190"/>
      <c r="AJ1232" s="190"/>
      <c r="AK1232" s="190"/>
      <c r="AL1232" s="190"/>
      <c r="AM1232" s="190"/>
    </row>
    <row r="1233" spans="2:39">
      <c r="B1233" s="162"/>
      <c r="C1233" s="162"/>
      <c r="D1233" s="191"/>
      <c r="E1233" s="191"/>
      <c r="F1233" s="191"/>
      <c r="G1233" s="191"/>
      <c r="H1233" s="191"/>
      <c r="I1233" s="191"/>
      <c r="J1233" s="191"/>
      <c r="K1233" s="191"/>
      <c r="L1233" s="191"/>
      <c r="M1233" s="191"/>
      <c r="N1233" s="191"/>
      <c r="O1233" s="191"/>
      <c r="P1233" s="191"/>
      <c r="Q1233" s="191"/>
      <c r="R1233" s="191"/>
      <c r="S1233" s="191"/>
      <c r="T1233" s="191"/>
      <c r="U1233" s="191"/>
      <c r="V1233" s="191"/>
      <c r="W1233" s="191"/>
      <c r="X1233" s="191"/>
      <c r="Y1233" s="191"/>
      <c r="Z1233" s="191"/>
      <c r="AA1233" s="191"/>
      <c r="AB1233" s="191"/>
      <c r="AC1233" s="190"/>
      <c r="AD1233" s="190"/>
      <c r="AE1233" s="190"/>
      <c r="AF1233" s="190"/>
      <c r="AG1233" s="190"/>
      <c r="AH1233" s="190"/>
      <c r="AI1233" s="190"/>
      <c r="AJ1233" s="190"/>
      <c r="AK1233" s="190"/>
      <c r="AL1233" s="190"/>
      <c r="AM1233" s="190"/>
    </row>
    <row r="1234" spans="2:39">
      <c r="B1234" s="162"/>
      <c r="C1234" s="162"/>
      <c r="D1234" s="191"/>
      <c r="E1234" s="191"/>
      <c r="F1234" s="191"/>
      <c r="G1234" s="191"/>
      <c r="H1234" s="191"/>
      <c r="I1234" s="191"/>
      <c r="J1234" s="191"/>
      <c r="K1234" s="191"/>
      <c r="L1234" s="191"/>
      <c r="M1234" s="191"/>
      <c r="N1234" s="191"/>
      <c r="O1234" s="191"/>
      <c r="P1234" s="191"/>
      <c r="Q1234" s="191"/>
      <c r="R1234" s="191"/>
      <c r="S1234" s="191"/>
      <c r="T1234" s="191"/>
      <c r="U1234" s="191"/>
      <c r="V1234" s="191"/>
      <c r="W1234" s="191"/>
      <c r="X1234" s="191"/>
      <c r="Y1234" s="191"/>
      <c r="Z1234" s="191"/>
      <c r="AA1234" s="191"/>
      <c r="AB1234" s="191"/>
      <c r="AC1234" s="190"/>
      <c r="AD1234" s="190"/>
      <c r="AE1234" s="190"/>
      <c r="AF1234" s="190"/>
      <c r="AG1234" s="190"/>
      <c r="AH1234" s="190"/>
      <c r="AI1234" s="190"/>
      <c r="AJ1234" s="190"/>
      <c r="AK1234" s="190"/>
      <c r="AL1234" s="190"/>
      <c r="AM1234" s="190"/>
    </row>
    <row r="1235" spans="2:39">
      <c r="B1235" s="162"/>
      <c r="C1235" s="162"/>
      <c r="D1235" s="191"/>
      <c r="E1235" s="191"/>
      <c r="F1235" s="191"/>
      <c r="G1235" s="191"/>
      <c r="H1235" s="191"/>
      <c r="I1235" s="191"/>
      <c r="J1235" s="191"/>
      <c r="K1235" s="191"/>
      <c r="L1235" s="191"/>
      <c r="M1235" s="191"/>
      <c r="N1235" s="191"/>
      <c r="O1235" s="191"/>
      <c r="P1235" s="191"/>
      <c r="Q1235" s="191"/>
      <c r="R1235" s="191"/>
      <c r="S1235" s="191"/>
      <c r="T1235" s="191"/>
      <c r="U1235" s="191"/>
      <c r="V1235" s="191"/>
      <c r="W1235" s="191"/>
      <c r="X1235" s="191"/>
      <c r="Y1235" s="191"/>
      <c r="Z1235" s="191"/>
      <c r="AA1235" s="191"/>
      <c r="AB1235" s="191"/>
      <c r="AC1235" s="190"/>
      <c r="AD1235" s="190"/>
      <c r="AE1235" s="190"/>
      <c r="AF1235" s="190"/>
      <c r="AG1235" s="190"/>
      <c r="AH1235" s="190"/>
      <c r="AI1235" s="190"/>
      <c r="AJ1235" s="190"/>
      <c r="AK1235" s="190"/>
      <c r="AL1235" s="190"/>
      <c r="AM1235" s="190"/>
    </row>
    <row r="1236" spans="2:39">
      <c r="B1236" s="162"/>
      <c r="C1236" s="162"/>
      <c r="D1236" s="191"/>
      <c r="E1236" s="191"/>
      <c r="F1236" s="191"/>
      <c r="G1236" s="191"/>
      <c r="H1236" s="191"/>
      <c r="I1236" s="191"/>
      <c r="J1236" s="191"/>
      <c r="K1236" s="191"/>
      <c r="L1236" s="191"/>
      <c r="M1236" s="191"/>
      <c r="N1236" s="191"/>
      <c r="O1236" s="191"/>
      <c r="P1236" s="191"/>
      <c r="Q1236" s="191"/>
      <c r="R1236" s="191"/>
      <c r="S1236" s="191"/>
      <c r="T1236" s="191"/>
      <c r="U1236" s="191"/>
      <c r="V1236" s="191"/>
      <c r="W1236" s="191"/>
      <c r="X1236" s="191"/>
      <c r="Y1236" s="191"/>
      <c r="Z1236" s="191"/>
      <c r="AA1236" s="191"/>
      <c r="AB1236" s="191"/>
      <c r="AC1236" s="190"/>
      <c r="AD1236" s="190"/>
      <c r="AE1236" s="190"/>
      <c r="AF1236" s="190"/>
      <c r="AG1236" s="190"/>
      <c r="AH1236" s="190"/>
      <c r="AI1236" s="190"/>
      <c r="AJ1236" s="190"/>
      <c r="AK1236" s="190"/>
      <c r="AL1236" s="190"/>
      <c r="AM1236" s="190"/>
    </row>
    <row r="1237" spans="2:39">
      <c r="B1237" s="162"/>
      <c r="C1237" s="162"/>
      <c r="D1237" s="191"/>
      <c r="E1237" s="191"/>
      <c r="F1237" s="191"/>
      <c r="G1237" s="191"/>
      <c r="H1237" s="191"/>
      <c r="I1237" s="191"/>
      <c r="J1237" s="191"/>
      <c r="K1237" s="191"/>
      <c r="L1237" s="191"/>
      <c r="M1237" s="191"/>
      <c r="N1237" s="191"/>
      <c r="O1237" s="191"/>
      <c r="P1237" s="191"/>
      <c r="Q1237" s="191"/>
      <c r="R1237" s="191"/>
      <c r="S1237" s="191"/>
      <c r="T1237" s="191"/>
      <c r="U1237" s="191"/>
      <c r="V1237" s="191"/>
      <c r="W1237" s="191"/>
      <c r="X1237" s="191"/>
      <c r="Y1237" s="191"/>
      <c r="Z1237" s="191"/>
      <c r="AA1237" s="191"/>
      <c r="AB1237" s="191"/>
      <c r="AC1237" s="190"/>
      <c r="AD1237" s="190"/>
      <c r="AE1237" s="190"/>
      <c r="AF1237" s="190"/>
      <c r="AG1237" s="190"/>
      <c r="AH1237" s="190"/>
      <c r="AI1237" s="190"/>
      <c r="AJ1237" s="190"/>
      <c r="AK1237" s="190"/>
      <c r="AL1237" s="190"/>
      <c r="AM1237" s="190"/>
    </row>
    <row r="1238" spans="2:39">
      <c r="B1238" s="162"/>
      <c r="C1238" s="162"/>
      <c r="D1238" s="191"/>
      <c r="E1238" s="191"/>
      <c r="F1238" s="191"/>
      <c r="G1238" s="191"/>
      <c r="H1238" s="191"/>
      <c r="I1238" s="191"/>
      <c r="J1238" s="191"/>
      <c r="K1238" s="191"/>
      <c r="L1238" s="191"/>
      <c r="M1238" s="191"/>
      <c r="N1238" s="191"/>
      <c r="O1238" s="191"/>
      <c r="P1238" s="191"/>
      <c r="Q1238" s="191"/>
      <c r="R1238" s="191"/>
      <c r="S1238" s="191"/>
      <c r="T1238" s="191"/>
      <c r="U1238" s="191"/>
      <c r="V1238" s="191"/>
      <c r="W1238" s="191"/>
      <c r="X1238" s="191"/>
      <c r="Y1238" s="191"/>
      <c r="Z1238" s="191"/>
      <c r="AA1238" s="191"/>
      <c r="AB1238" s="191"/>
      <c r="AC1238" s="190"/>
      <c r="AD1238" s="190"/>
      <c r="AE1238" s="190"/>
      <c r="AF1238" s="190"/>
      <c r="AG1238" s="190"/>
      <c r="AH1238" s="190"/>
      <c r="AI1238" s="190"/>
      <c r="AJ1238" s="190"/>
      <c r="AK1238" s="190"/>
      <c r="AL1238" s="190"/>
      <c r="AM1238" s="190"/>
    </row>
    <row r="1239" spans="2:39">
      <c r="B1239" s="162"/>
      <c r="C1239" s="162"/>
      <c r="D1239" s="191"/>
      <c r="E1239" s="191"/>
      <c r="F1239" s="191"/>
      <c r="G1239" s="191"/>
      <c r="H1239" s="191"/>
      <c r="I1239" s="191"/>
      <c r="J1239" s="191"/>
      <c r="K1239" s="191"/>
      <c r="L1239" s="191"/>
      <c r="M1239" s="191"/>
      <c r="N1239" s="191"/>
      <c r="O1239" s="191"/>
      <c r="P1239" s="191"/>
      <c r="Q1239" s="191"/>
      <c r="R1239" s="191"/>
      <c r="S1239" s="191"/>
      <c r="T1239" s="191"/>
      <c r="U1239" s="191"/>
      <c r="V1239" s="191"/>
      <c r="W1239" s="191"/>
      <c r="X1239" s="191"/>
      <c r="Y1239" s="191"/>
      <c r="Z1239" s="191"/>
      <c r="AA1239" s="191"/>
      <c r="AB1239" s="191"/>
      <c r="AC1239" s="190"/>
      <c r="AD1239" s="190"/>
      <c r="AE1239" s="190"/>
      <c r="AF1239" s="190"/>
      <c r="AG1239" s="190"/>
      <c r="AH1239" s="190"/>
      <c r="AI1239" s="190"/>
      <c r="AJ1239" s="190"/>
      <c r="AK1239" s="190"/>
      <c r="AL1239" s="190"/>
      <c r="AM1239" s="190"/>
    </row>
    <row r="1240" spans="2:39">
      <c r="B1240" s="162"/>
      <c r="C1240" s="162"/>
      <c r="D1240" s="191"/>
      <c r="E1240" s="191"/>
      <c r="F1240" s="191"/>
      <c r="G1240" s="191"/>
      <c r="H1240" s="191"/>
      <c r="I1240" s="191"/>
      <c r="J1240" s="191"/>
      <c r="K1240" s="191"/>
      <c r="L1240" s="191"/>
      <c r="M1240" s="191"/>
      <c r="N1240" s="191"/>
      <c r="O1240" s="191"/>
      <c r="P1240" s="191"/>
      <c r="Q1240" s="191"/>
      <c r="R1240" s="191"/>
      <c r="S1240" s="191"/>
      <c r="T1240" s="191"/>
      <c r="U1240" s="191"/>
      <c r="V1240" s="191"/>
      <c r="W1240" s="191"/>
      <c r="X1240" s="191"/>
      <c r="Y1240" s="191"/>
      <c r="Z1240" s="191"/>
      <c r="AA1240" s="191"/>
      <c r="AB1240" s="191"/>
      <c r="AC1240" s="190"/>
      <c r="AD1240" s="190"/>
      <c r="AE1240" s="190"/>
      <c r="AF1240" s="190"/>
      <c r="AG1240" s="190"/>
      <c r="AH1240" s="190"/>
      <c r="AI1240" s="190"/>
      <c r="AJ1240" s="190"/>
      <c r="AK1240" s="190"/>
      <c r="AL1240" s="190"/>
      <c r="AM1240" s="190"/>
    </row>
    <row r="1241" spans="2:39">
      <c r="B1241" s="162"/>
      <c r="C1241" s="162"/>
      <c r="D1241" s="191"/>
      <c r="E1241" s="191"/>
      <c r="F1241" s="191"/>
      <c r="G1241" s="191"/>
      <c r="H1241" s="191"/>
      <c r="I1241" s="191"/>
      <c r="J1241" s="191"/>
      <c r="K1241" s="191"/>
      <c r="L1241" s="191"/>
      <c r="M1241" s="191"/>
      <c r="N1241" s="191"/>
      <c r="O1241" s="191"/>
      <c r="P1241" s="191"/>
      <c r="Q1241" s="191"/>
      <c r="R1241" s="191"/>
      <c r="S1241" s="191"/>
      <c r="T1241" s="191"/>
      <c r="U1241" s="191"/>
      <c r="V1241" s="191"/>
      <c r="W1241" s="191"/>
      <c r="X1241" s="191"/>
      <c r="Y1241" s="191"/>
      <c r="Z1241" s="191"/>
      <c r="AA1241" s="191"/>
      <c r="AB1241" s="191"/>
      <c r="AC1241" s="190"/>
      <c r="AD1241" s="190"/>
      <c r="AE1241" s="190"/>
      <c r="AF1241" s="190"/>
      <c r="AG1241" s="190"/>
      <c r="AH1241" s="190"/>
      <c r="AI1241" s="190"/>
      <c r="AJ1241" s="190"/>
      <c r="AK1241" s="190"/>
      <c r="AL1241" s="190"/>
      <c r="AM1241" s="190"/>
    </row>
    <row r="1242" spans="2:39">
      <c r="B1242" s="162"/>
      <c r="C1242" s="162"/>
      <c r="D1242" s="191"/>
      <c r="E1242" s="191"/>
      <c r="F1242" s="191"/>
      <c r="G1242" s="191"/>
      <c r="H1242" s="191"/>
      <c r="I1242" s="191"/>
      <c r="J1242" s="191"/>
      <c r="K1242" s="191"/>
      <c r="L1242" s="191"/>
      <c r="M1242" s="191"/>
      <c r="N1242" s="191"/>
      <c r="O1242" s="191"/>
      <c r="P1242" s="191"/>
      <c r="Q1242" s="191"/>
      <c r="R1242" s="191"/>
      <c r="S1242" s="191"/>
      <c r="T1242" s="191"/>
      <c r="U1242" s="191"/>
      <c r="V1242" s="191"/>
      <c r="W1242" s="191"/>
      <c r="X1242" s="191"/>
      <c r="Y1242" s="191"/>
      <c r="Z1242" s="191"/>
      <c r="AA1242" s="191"/>
      <c r="AB1242" s="191"/>
      <c r="AC1242" s="190"/>
      <c r="AD1242" s="190"/>
      <c r="AE1242" s="190"/>
      <c r="AF1242" s="190"/>
      <c r="AG1242" s="190"/>
      <c r="AH1242" s="190"/>
      <c r="AI1242" s="190"/>
      <c r="AJ1242" s="190"/>
      <c r="AK1242" s="190"/>
      <c r="AL1242" s="190"/>
      <c r="AM1242" s="190"/>
    </row>
    <row r="1243" spans="2:39">
      <c r="B1243" s="162"/>
      <c r="C1243" s="162"/>
      <c r="D1243" s="191"/>
      <c r="E1243" s="191"/>
      <c r="F1243" s="191"/>
      <c r="G1243" s="191"/>
      <c r="H1243" s="191"/>
      <c r="I1243" s="191"/>
      <c r="J1243" s="191"/>
      <c r="K1243" s="191"/>
      <c r="L1243" s="191"/>
      <c r="M1243" s="191"/>
      <c r="N1243" s="191"/>
      <c r="O1243" s="191"/>
      <c r="P1243" s="191"/>
      <c r="Q1243" s="191"/>
      <c r="R1243" s="191"/>
      <c r="S1243" s="191"/>
      <c r="T1243" s="191"/>
      <c r="U1243" s="191"/>
      <c r="V1243" s="191"/>
      <c r="W1243" s="191"/>
      <c r="X1243" s="191"/>
      <c r="Y1243" s="191"/>
      <c r="Z1243" s="191"/>
      <c r="AA1243" s="191"/>
      <c r="AB1243" s="191"/>
      <c r="AC1243" s="190"/>
      <c r="AD1243" s="190"/>
      <c r="AE1243" s="190"/>
      <c r="AF1243" s="190"/>
      <c r="AG1243" s="190"/>
      <c r="AH1243" s="190"/>
      <c r="AI1243" s="190"/>
      <c r="AJ1243" s="190"/>
      <c r="AK1243" s="190"/>
      <c r="AL1243" s="190"/>
      <c r="AM1243" s="190"/>
    </row>
    <row r="1244" spans="2:39">
      <c r="B1244" s="162"/>
      <c r="C1244" s="162"/>
      <c r="D1244" s="191"/>
      <c r="E1244" s="191"/>
      <c r="F1244" s="191"/>
      <c r="G1244" s="191"/>
      <c r="H1244" s="191"/>
      <c r="I1244" s="191"/>
      <c r="J1244" s="191"/>
      <c r="K1244" s="191"/>
      <c r="L1244" s="191"/>
      <c r="M1244" s="191"/>
      <c r="N1244" s="191"/>
      <c r="O1244" s="191"/>
      <c r="P1244" s="191"/>
      <c r="Q1244" s="191"/>
      <c r="R1244" s="191"/>
      <c r="S1244" s="191"/>
      <c r="T1244" s="191"/>
      <c r="U1244" s="191"/>
      <c r="V1244" s="191"/>
      <c r="W1244" s="191"/>
      <c r="X1244" s="191"/>
      <c r="Y1244" s="191"/>
      <c r="Z1244" s="191"/>
      <c r="AA1244" s="191"/>
      <c r="AB1244" s="191"/>
      <c r="AC1244" s="190"/>
      <c r="AD1244" s="190"/>
      <c r="AE1244" s="190"/>
      <c r="AF1244" s="190"/>
      <c r="AG1244" s="190"/>
      <c r="AH1244" s="190"/>
      <c r="AI1244" s="190"/>
      <c r="AJ1244" s="190"/>
      <c r="AK1244" s="190"/>
      <c r="AL1244" s="190"/>
      <c r="AM1244" s="190"/>
    </row>
    <row r="1245" spans="2:39">
      <c r="B1245" s="162"/>
      <c r="C1245" s="162"/>
      <c r="D1245" s="191"/>
      <c r="E1245" s="191"/>
      <c r="F1245" s="191"/>
      <c r="G1245" s="191"/>
      <c r="H1245" s="191"/>
      <c r="I1245" s="191"/>
      <c r="J1245" s="191"/>
      <c r="K1245" s="191"/>
      <c r="L1245" s="191"/>
      <c r="M1245" s="191"/>
      <c r="N1245" s="191"/>
      <c r="O1245" s="191"/>
      <c r="P1245" s="191"/>
      <c r="Q1245" s="191"/>
      <c r="R1245" s="191"/>
      <c r="S1245" s="191"/>
      <c r="T1245" s="191"/>
      <c r="U1245" s="191"/>
      <c r="V1245" s="191"/>
      <c r="W1245" s="191"/>
      <c r="X1245" s="191"/>
      <c r="Y1245" s="191"/>
      <c r="Z1245" s="191"/>
      <c r="AA1245" s="191"/>
      <c r="AB1245" s="191"/>
      <c r="AC1245" s="190"/>
      <c r="AD1245" s="190"/>
      <c r="AE1245" s="190"/>
      <c r="AF1245" s="190"/>
      <c r="AG1245" s="190"/>
      <c r="AH1245" s="190"/>
      <c r="AI1245" s="190"/>
      <c r="AJ1245" s="190"/>
      <c r="AK1245" s="190"/>
      <c r="AL1245" s="190"/>
      <c r="AM1245" s="190"/>
    </row>
    <row r="1246" spans="2:39">
      <c r="B1246" s="162"/>
      <c r="C1246" s="162"/>
      <c r="D1246" s="191"/>
      <c r="E1246" s="191"/>
      <c r="F1246" s="191"/>
      <c r="G1246" s="191"/>
      <c r="H1246" s="191"/>
      <c r="I1246" s="191"/>
      <c r="J1246" s="191"/>
      <c r="K1246" s="191"/>
      <c r="L1246" s="191"/>
      <c r="M1246" s="191"/>
      <c r="N1246" s="191"/>
      <c r="O1246" s="191"/>
      <c r="P1246" s="191"/>
      <c r="Q1246" s="191"/>
      <c r="R1246" s="191"/>
      <c r="S1246" s="191"/>
      <c r="T1246" s="191"/>
      <c r="U1246" s="191"/>
      <c r="V1246" s="191"/>
      <c r="W1246" s="191"/>
      <c r="X1246" s="191"/>
      <c r="Y1246" s="191"/>
      <c r="Z1246" s="191"/>
      <c r="AA1246" s="191"/>
      <c r="AB1246" s="191"/>
      <c r="AC1246" s="190"/>
      <c r="AD1246" s="190"/>
      <c r="AE1246" s="190"/>
      <c r="AF1246" s="190"/>
      <c r="AG1246" s="190"/>
      <c r="AH1246" s="190"/>
      <c r="AI1246" s="190"/>
      <c r="AJ1246" s="190"/>
      <c r="AK1246" s="190"/>
      <c r="AL1246" s="190"/>
      <c r="AM1246" s="190"/>
    </row>
    <row r="1247" spans="2:39">
      <c r="B1247" s="162"/>
      <c r="C1247" s="162"/>
      <c r="D1247" s="191"/>
      <c r="E1247" s="191"/>
      <c r="F1247" s="191"/>
      <c r="G1247" s="191"/>
      <c r="H1247" s="191"/>
      <c r="I1247" s="191"/>
      <c r="J1247" s="191"/>
      <c r="K1247" s="191"/>
      <c r="L1247" s="191"/>
      <c r="M1247" s="191"/>
      <c r="N1247" s="191"/>
      <c r="O1247" s="191"/>
      <c r="P1247" s="191"/>
      <c r="Q1247" s="191"/>
      <c r="R1247" s="191"/>
      <c r="S1247" s="191"/>
      <c r="T1247" s="191"/>
      <c r="U1247" s="191"/>
      <c r="V1247" s="191"/>
      <c r="W1247" s="191"/>
      <c r="X1247" s="191"/>
      <c r="Y1247" s="191"/>
      <c r="Z1247" s="191"/>
      <c r="AA1247" s="191"/>
      <c r="AB1247" s="191"/>
      <c r="AC1247" s="190"/>
      <c r="AD1247" s="190"/>
      <c r="AE1247" s="190"/>
      <c r="AF1247" s="190"/>
      <c r="AG1247" s="190"/>
      <c r="AH1247" s="190"/>
      <c r="AI1247" s="190"/>
      <c r="AJ1247" s="190"/>
      <c r="AK1247" s="190"/>
      <c r="AL1247" s="190"/>
      <c r="AM1247" s="190"/>
    </row>
    <row r="1248" spans="2:39">
      <c r="B1248" s="162"/>
      <c r="C1248" s="162"/>
      <c r="D1248" s="191"/>
      <c r="E1248" s="191"/>
      <c r="F1248" s="191"/>
      <c r="G1248" s="191"/>
      <c r="H1248" s="191"/>
      <c r="I1248" s="191"/>
      <c r="J1248" s="191"/>
      <c r="K1248" s="191"/>
      <c r="L1248" s="191"/>
      <c r="M1248" s="191"/>
      <c r="N1248" s="191"/>
      <c r="O1248" s="191"/>
      <c r="P1248" s="191"/>
      <c r="Q1248" s="191"/>
      <c r="R1248" s="191"/>
      <c r="S1248" s="191"/>
      <c r="T1248" s="191"/>
      <c r="U1248" s="191"/>
      <c r="V1248" s="191"/>
      <c r="W1248" s="191"/>
      <c r="X1248" s="191"/>
      <c r="Y1248" s="191"/>
      <c r="Z1248" s="191"/>
      <c r="AA1248" s="191"/>
      <c r="AB1248" s="191"/>
      <c r="AC1248" s="190"/>
      <c r="AD1248" s="190"/>
      <c r="AE1248" s="190"/>
      <c r="AF1248" s="190"/>
      <c r="AG1248" s="190"/>
      <c r="AH1248" s="190"/>
      <c r="AI1248" s="190"/>
      <c r="AJ1248" s="190"/>
      <c r="AK1248" s="190"/>
      <c r="AL1248" s="190"/>
      <c r="AM1248" s="190"/>
    </row>
    <row r="1249" spans="2:39">
      <c r="B1249" s="162"/>
      <c r="C1249" s="162"/>
      <c r="D1249" s="191"/>
      <c r="E1249" s="191"/>
      <c r="F1249" s="191"/>
      <c r="G1249" s="191"/>
      <c r="H1249" s="191"/>
      <c r="I1249" s="191"/>
      <c r="J1249" s="191"/>
      <c r="K1249" s="191"/>
      <c r="L1249" s="191"/>
      <c r="M1249" s="191"/>
      <c r="N1249" s="191"/>
      <c r="O1249" s="191"/>
      <c r="P1249" s="191"/>
      <c r="Q1249" s="191"/>
      <c r="R1249" s="191"/>
      <c r="S1249" s="191"/>
      <c r="T1249" s="191"/>
      <c r="U1249" s="191"/>
      <c r="V1249" s="191"/>
      <c r="W1249" s="191"/>
      <c r="X1249" s="191"/>
      <c r="Y1249" s="191"/>
      <c r="Z1249" s="191"/>
      <c r="AA1249" s="191"/>
      <c r="AB1249" s="191"/>
      <c r="AC1249" s="190"/>
      <c r="AD1249" s="190"/>
      <c r="AE1249" s="190"/>
      <c r="AF1249" s="190"/>
      <c r="AG1249" s="190"/>
      <c r="AH1249" s="190"/>
      <c r="AI1249" s="190"/>
      <c r="AJ1249" s="190"/>
      <c r="AK1249" s="190"/>
      <c r="AL1249" s="190"/>
      <c r="AM1249" s="190"/>
    </row>
    <row r="1250" spans="2:39">
      <c r="B1250" s="162"/>
      <c r="C1250" s="162"/>
      <c r="D1250" s="191"/>
      <c r="E1250" s="191"/>
      <c r="F1250" s="191"/>
      <c r="G1250" s="191"/>
      <c r="H1250" s="191"/>
      <c r="I1250" s="191"/>
      <c r="J1250" s="191"/>
      <c r="K1250" s="191"/>
      <c r="L1250" s="191"/>
      <c r="M1250" s="191"/>
      <c r="N1250" s="191"/>
      <c r="O1250" s="191"/>
      <c r="P1250" s="191"/>
      <c r="Q1250" s="191"/>
      <c r="R1250" s="191"/>
      <c r="S1250" s="191"/>
      <c r="T1250" s="191"/>
      <c r="U1250" s="191"/>
      <c r="V1250" s="191"/>
      <c r="W1250" s="191"/>
      <c r="X1250" s="191"/>
      <c r="Y1250" s="191"/>
      <c r="Z1250" s="191"/>
      <c r="AA1250" s="191"/>
      <c r="AB1250" s="191"/>
      <c r="AC1250" s="190"/>
      <c r="AD1250" s="190"/>
      <c r="AE1250" s="190"/>
      <c r="AF1250" s="190"/>
      <c r="AG1250" s="190"/>
      <c r="AH1250" s="190"/>
      <c r="AI1250" s="190"/>
      <c r="AJ1250" s="190"/>
      <c r="AK1250" s="190"/>
      <c r="AL1250" s="190"/>
      <c r="AM1250" s="190"/>
    </row>
    <row r="1251" spans="2:39">
      <c r="B1251" s="162"/>
      <c r="C1251" s="162"/>
      <c r="D1251" s="191"/>
      <c r="E1251" s="191"/>
      <c r="F1251" s="191"/>
      <c r="G1251" s="191"/>
      <c r="H1251" s="191"/>
      <c r="I1251" s="191"/>
      <c r="J1251" s="191"/>
      <c r="K1251" s="191"/>
      <c r="L1251" s="191"/>
      <c r="M1251" s="191"/>
      <c r="N1251" s="191"/>
      <c r="O1251" s="191"/>
      <c r="P1251" s="191"/>
      <c r="Q1251" s="191"/>
      <c r="R1251" s="191"/>
      <c r="S1251" s="191"/>
      <c r="T1251" s="191"/>
      <c r="U1251" s="191"/>
      <c r="V1251" s="191"/>
      <c r="W1251" s="191"/>
      <c r="X1251" s="191"/>
      <c r="Y1251" s="191"/>
      <c r="Z1251" s="191"/>
      <c r="AA1251" s="191"/>
      <c r="AB1251" s="191"/>
      <c r="AC1251" s="190"/>
      <c r="AD1251" s="190"/>
      <c r="AE1251" s="190"/>
      <c r="AF1251" s="190"/>
      <c r="AG1251" s="190"/>
      <c r="AH1251" s="190"/>
      <c r="AI1251" s="190"/>
      <c r="AJ1251" s="190"/>
      <c r="AK1251" s="190"/>
      <c r="AL1251" s="190"/>
      <c r="AM1251" s="190"/>
    </row>
    <row r="1252" spans="2:39">
      <c r="B1252" s="162"/>
      <c r="C1252" s="162"/>
      <c r="D1252" s="191"/>
      <c r="E1252" s="191"/>
      <c r="F1252" s="191"/>
      <c r="G1252" s="191"/>
      <c r="H1252" s="191"/>
      <c r="I1252" s="191"/>
      <c r="J1252" s="191"/>
      <c r="K1252" s="191"/>
      <c r="L1252" s="191"/>
      <c r="M1252" s="191"/>
      <c r="N1252" s="191"/>
      <c r="O1252" s="191"/>
      <c r="P1252" s="191"/>
      <c r="Q1252" s="191"/>
      <c r="R1252" s="191"/>
      <c r="S1252" s="191"/>
      <c r="T1252" s="191"/>
      <c r="U1252" s="191"/>
      <c r="V1252" s="191"/>
      <c r="W1252" s="191"/>
      <c r="X1252" s="191"/>
      <c r="Y1252" s="191"/>
      <c r="Z1252" s="191"/>
      <c r="AA1252" s="191"/>
      <c r="AB1252" s="191"/>
      <c r="AC1252" s="190"/>
      <c r="AD1252" s="190"/>
      <c r="AE1252" s="190"/>
      <c r="AF1252" s="190"/>
      <c r="AG1252" s="190"/>
      <c r="AH1252" s="190"/>
      <c r="AI1252" s="190"/>
      <c r="AJ1252" s="190"/>
      <c r="AK1252" s="190"/>
      <c r="AL1252" s="190"/>
      <c r="AM1252" s="190"/>
    </row>
    <row r="1253" spans="2:39">
      <c r="B1253" s="162"/>
      <c r="C1253" s="162"/>
      <c r="D1253" s="191"/>
      <c r="E1253" s="191"/>
      <c r="F1253" s="191"/>
      <c r="G1253" s="191"/>
      <c r="H1253" s="191"/>
      <c r="I1253" s="191"/>
      <c r="J1253" s="191"/>
      <c r="K1253" s="191"/>
      <c r="L1253" s="191"/>
      <c r="M1253" s="191"/>
      <c r="N1253" s="191"/>
      <c r="O1253" s="191"/>
      <c r="P1253" s="191"/>
      <c r="Q1253" s="191"/>
      <c r="R1253" s="191"/>
      <c r="S1253" s="191"/>
      <c r="T1253" s="191"/>
      <c r="U1253" s="191"/>
      <c r="V1253" s="191"/>
      <c r="W1253" s="191"/>
      <c r="X1253" s="191"/>
      <c r="Y1253" s="191"/>
      <c r="Z1253" s="191"/>
      <c r="AA1253" s="191"/>
      <c r="AB1253" s="191"/>
      <c r="AC1253" s="190"/>
      <c r="AD1253" s="190"/>
      <c r="AE1253" s="190"/>
      <c r="AF1253" s="190"/>
      <c r="AG1253" s="190"/>
      <c r="AH1253" s="190"/>
      <c r="AI1253" s="190"/>
      <c r="AJ1253" s="190"/>
      <c r="AK1253" s="190"/>
      <c r="AL1253" s="190"/>
      <c r="AM1253" s="190"/>
    </row>
    <row r="1254" spans="2:39">
      <c r="B1254" s="162"/>
      <c r="C1254" s="162"/>
      <c r="D1254" s="191"/>
      <c r="E1254" s="191"/>
      <c r="F1254" s="191"/>
      <c r="G1254" s="191"/>
      <c r="H1254" s="191"/>
      <c r="I1254" s="191"/>
      <c r="J1254" s="191"/>
      <c r="K1254" s="191"/>
      <c r="L1254" s="191"/>
      <c r="M1254" s="191"/>
      <c r="N1254" s="191"/>
      <c r="O1254" s="191"/>
      <c r="P1254" s="191"/>
      <c r="Q1254" s="191"/>
      <c r="R1254" s="191"/>
      <c r="S1254" s="191"/>
      <c r="T1254" s="191"/>
      <c r="U1254" s="191"/>
      <c r="V1254" s="191"/>
      <c r="W1254" s="191"/>
      <c r="X1254" s="191"/>
      <c r="Y1254" s="191"/>
      <c r="Z1254" s="191"/>
      <c r="AA1254" s="191"/>
      <c r="AB1254" s="191"/>
      <c r="AC1254" s="190"/>
      <c r="AD1254" s="190"/>
      <c r="AE1254" s="190"/>
      <c r="AF1254" s="190"/>
      <c r="AG1254" s="190"/>
      <c r="AH1254" s="190"/>
      <c r="AI1254" s="190"/>
      <c r="AJ1254" s="190"/>
      <c r="AK1254" s="190"/>
      <c r="AL1254" s="190"/>
      <c r="AM1254" s="190"/>
    </row>
    <row r="1255" spans="2:39">
      <c r="B1255" s="162"/>
      <c r="C1255" s="162"/>
      <c r="D1255" s="191"/>
      <c r="E1255" s="191"/>
      <c r="F1255" s="191"/>
      <c r="G1255" s="191"/>
      <c r="H1255" s="191"/>
      <c r="I1255" s="191"/>
      <c r="J1255" s="191"/>
      <c r="K1255" s="191"/>
      <c r="L1255" s="191"/>
      <c r="M1255" s="191"/>
      <c r="N1255" s="191"/>
      <c r="O1255" s="191"/>
      <c r="P1255" s="191"/>
      <c r="Q1255" s="191"/>
      <c r="R1255" s="191"/>
      <c r="S1255" s="191"/>
      <c r="T1255" s="191"/>
      <c r="U1255" s="191"/>
      <c r="V1255" s="191"/>
      <c r="W1255" s="191"/>
      <c r="X1255" s="191"/>
      <c r="Y1255" s="191"/>
      <c r="Z1255" s="191"/>
      <c r="AA1255" s="191"/>
      <c r="AB1255" s="191"/>
      <c r="AC1255" s="190"/>
      <c r="AD1255" s="190"/>
      <c r="AE1255" s="190"/>
      <c r="AF1255" s="190"/>
      <c r="AG1255" s="190"/>
      <c r="AH1255" s="190"/>
      <c r="AI1255" s="190"/>
      <c r="AJ1255" s="190"/>
      <c r="AK1255" s="190"/>
      <c r="AL1255" s="190"/>
      <c r="AM1255" s="190"/>
    </row>
    <row r="1256" spans="2:39">
      <c r="B1256" s="162"/>
      <c r="C1256" s="162"/>
      <c r="D1256" s="191"/>
      <c r="E1256" s="191"/>
      <c r="F1256" s="191"/>
      <c r="G1256" s="191"/>
      <c r="H1256" s="191"/>
      <c r="I1256" s="191"/>
      <c r="J1256" s="191"/>
      <c r="K1256" s="191"/>
      <c r="L1256" s="191"/>
      <c r="M1256" s="191"/>
      <c r="N1256" s="191"/>
      <c r="O1256" s="191"/>
      <c r="P1256" s="191"/>
      <c r="Q1256" s="191"/>
      <c r="R1256" s="191"/>
      <c r="S1256" s="191"/>
      <c r="T1256" s="191"/>
      <c r="U1256" s="191"/>
      <c r="V1256" s="191"/>
      <c r="W1256" s="191"/>
      <c r="X1256" s="191"/>
      <c r="Y1256" s="191"/>
      <c r="Z1256" s="191"/>
      <c r="AA1256" s="191"/>
      <c r="AB1256" s="191"/>
      <c r="AC1256" s="190"/>
      <c r="AD1256" s="190"/>
      <c r="AE1256" s="190"/>
      <c r="AF1256" s="190"/>
      <c r="AG1256" s="190"/>
      <c r="AH1256" s="190"/>
      <c r="AI1256" s="190"/>
      <c r="AJ1256" s="190"/>
      <c r="AK1256" s="190"/>
      <c r="AL1256" s="190"/>
      <c r="AM1256" s="190"/>
    </row>
    <row r="1257" spans="2:39">
      <c r="B1257" s="162"/>
      <c r="C1257" s="162"/>
      <c r="D1257" s="191"/>
      <c r="E1257" s="191"/>
      <c r="F1257" s="191"/>
      <c r="G1257" s="191"/>
      <c r="H1257" s="191"/>
      <c r="I1257" s="191"/>
      <c r="J1257" s="191"/>
      <c r="K1257" s="191"/>
      <c r="L1257" s="191"/>
      <c r="M1257" s="191"/>
      <c r="N1257" s="191"/>
      <c r="O1257" s="191"/>
      <c r="P1257" s="191"/>
      <c r="Q1257" s="191"/>
      <c r="R1257" s="191"/>
      <c r="S1257" s="191"/>
      <c r="T1257" s="191"/>
      <c r="U1257" s="191"/>
      <c r="V1257" s="191"/>
      <c r="W1257" s="191"/>
      <c r="X1257" s="191"/>
      <c r="Y1257" s="191"/>
      <c r="Z1257" s="191"/>
      <c r="AA1257" s="191"/>
      <c r="AB1257" s="191"/>
      <c r="AC1257" s="190"/>
      <c r="AD1257" s="190"/>
      <c r="AE1257" s="190"/>
      <c r="AF1257" s="190"/>
      <c r="AG1257" s="190"/>
      <c r="AH1257" s="190"/>
      <c r="AI1257" s="190"/>
      <c r="AJ1257" s="190"/>
      <c r="AK1257" s="190"/>
      <c r="AL1257" s="190"/>
      <c r="AM1257" s="190"/>
    </row>
    <row r="1258" spans="2:39">
      <c r="B1258" s="162"/>
      <c r="C1258" s="162"/>
      <c r="D1258" s="191"/>
      <c r="E1258" s="191"/>
      <c r="F1258" s="191"/>
      <c r="G1258" s="191"/>
      <c r="H1258" s="191"/>
      <c r="I1258" s="191"/>
      <c r="J1258" s="191"/>
      <c r="K1258" s="191"/>
      <c r="L1258" s="191"/>
      <c r="M1258" s="191"/>
      <c r="N1258" s="191"/>
      <c r="O1258" s="191"/>
      <c r="P1258" s="191"/>
      <c r="Q1258" s="191"/>
      <c r="R1258" s="191"/>
      <c r="S1258" s="191"/>
      <c r="T1258" s="191"/>
      <c r="U1258" s="191"/>
      <c r="V1258" s="191"/>
      <c r="W1258" s="191"/>
      <c r="X1258" s="191"/>
      <c r="Y1258" s="191"/>
      <c r="Z1258" s="191"/>
      <c r="AA1258" s="191"/>
      <c r="AB1258" s="191"/>
      <c r="AC1258" s="190"/>
      <c r="AD1258" s="190"/>
      <c r="AE1258" s="190"/>
      <c r="AF1258" s="190"/>
      <c r="AG1258" s="190"/>
      <c r="AH1258" s="190"/>
      <c r="AI1258" s="190"/>
      <c r="AJ1258" s="190"/>
      <c r="AK1258" s="190"/>
      <c r="AL1258" s="190"/>
      <c r="AM1258" s="190"/>
    </row>
    <row r="1259" spans="2:39">
      <c r="B1259" s="162"/>
      <c r="C1259" s="162"/>
      <c r="D1259" s="191"/>
      <c r="E1259" s="191"/>
      <c r="F1259" s="191"/>
      <c r="G1259" s="191"/>
      <c r="H1259" s="191"/>
      <c r="I1259" s="191"/>
      <c r="J1259" s="191"/>
      <c r="K1259" s="191"/>
      <c r="L1259" s="191"/>
      <c r="M1259" s="191"/>
      <c r="N1259" s="191"/>
      <c r="O1259" s="191"/>
      <c r="P1259" s="191"/>
      <c r="Q1259" s="191"/>
      <c r="R1259" s="191"/>
      <c r="S1259" s="191"/>
      <c r="T1259" s="191"/>
      <c r="U1259" s="191"/>
      <c r="V1259" s="191"/>
      <c r="W1259" s="191"/>
      <c r="X1259" s="191"/>
      <c r="Y1259" s="191"/>
      <c r="Z1259" s="191"/>
      <c r="AA1259" s="191"/>
      <c r="AB1259" s="191"/>
      <c r="AC1259" s="190"/>
      <c r="AD1259" s="190"/>
      <c r="AE1259" s="190"/>
      <c r="AF1259" s="190"/>
      <c r="AG1259" s="190"/>
      <c r="AH1259" s="190"/>
      <c r="AI1259" s="190"/>
      <c r="AJ1259" s="190"/>
      <c r="AK1259" s="190"/>
      <c r="AL1259" s="190"/>
      <c r="AM1259" s="190"/>
    </row>
    <row r="1260" spans="2:39">
      <c r="B1260" s="162"/>
      <c r="C1260" s="162"/>
      <c r="D1260" s="191"/>
      <c r="E1260" s="191"/>
      <c r="F1260" s="191"/>
      <c r="G1260" s="191"/>
      <c r="H1260" s="191"/>
      <c r="I1260" s="191"/>
      <c r="J1260" s="191"/>
      <c r="K1260" s="191"/>
      <c r="L1260" s="191"/>
      <c r="M1260" s="191"/>
      <c r="N1260" s="191"/>
      <c r="O1260" s="191"/>
      <c r="P1260" s="191"/>
      <c r="Q1260" s="191"/>
      <c r="R1260" s="191"/>
      <c r="S1260" s="191"/>
      <c r="T1260" s="191"/>
      <c r="U1260" s="191"/>
      <c r="V1260" s="191"/>
      <c r="W1260" s="191"/>
      <c r="X1260" s="191"/>
      <c r="Y1260" s="191"/>
      <c r="Z1260" s="191"/>
      <c r="AA1260" s="191"/>
      <c r="AB1260" s="191"/>
      <c r="AC1260" s="190"/>
      <c r="AD1260" s="190"/>
      <c r="AE1260" s="190"/>
      <c r="AF1260" s="190"/>
      <c r="AG1260" s="190"/>
      <c r="AH1260" s="190"/>
      <c r="AI1260" s="190"/>
      <c r="AJ1260" s="190"/>
      <c r="AK1260" s="190"/>
      <c r="AL1260" s="190"/>
      <c r="AM1260" s="190"/>
    </row>
    <row r="1261" spans="2:39">
      <c r="B1261" s="162"/>
      <c r="C1261" s="162"/>
      <c r="D1261" s="191"/>
      <c r="E1261" s="191"/>
      <c r="F1261" s="191"/>
      <c r="G1261" s="191"/>
      <c r="H1261" s="191"/>
      <c r="I1261" s="191"/>
      <c r="J1261" s="191"/>
      <c r="K1261" s="191"/>
      <c r="L1261" s="191"/>
      <c r="M1261" s="191"/>
      <c r="N1261" s="191"/>
      <c r="O1261" s="191"/>
      <c r="P1261" s="191"/>
      <c r="Q1261" s="191"/>
      <c r="R1261" s="191"/>
      <c r="S1261" s="191"/>
      <c r="T1261" s="191"/>
      <c r="U1261" s="191"/>
      <c r="V1261" s="191"/>
      <c r="W1261" s="191"/>
      <c r="X1261" s="191"/>
      <c r="Y1261" s="191"/>
      <c r="Z1261" s="191"/>
      <c r="AA1261" s="191"/>
      <c r="AB1261" s="191"/>
      <c r="AC1261" s="190"/>
      <c r="AD1261" s="190"/>
      <c r="AE1261" s="190"/>
      <c r="AF1261" s="190"/>
      <c r="AG1261" s="190"/>
      <c r="AH1261" s="190"/>
      <c r="AI1261" s="190"/>
      <c r="AJ1261" s="190"/>
      <c r="AK1261" s="190"/>
      <c r="AL1261" s="190"/>
      <c r="AM1261" s="190"/>
    </row>
    <row r="1262" spans="2:39">
      <c r="B1262" s="162"/>
      <c r="C1262" s="162"/>
      <c r="D1262" s="191"/>
      <c r="E1262" s="191"/>
      <c r="F1262" s="191"/>
      <c r="G1262" s="191"/>
      <c r="H1262" s="191"/>
      <c r="I1262" s="191"/>
      <c r="J1262" s="191"/>
      <c r="K1262" s="191"/>
      <c r="L1262" s="191"/>
      <c r="M1262" s="191"/>
      <c r="N1262" s="191"/>
      <c r="O1262" s="191"/>
      <c r="P1262" s="191"/>
      <c r="Q1262" s="191"/>
      <c r="R1262" s="191"/>
      <c r="S1262" s="191"/>
      <c r="T1262" s="191"/>
      <c r="U1262" s="191"/>
      <c r="V1262" s="191"/>
      <c r="W1262" s="191"/>
      <c r="X1262" s="191"/>
      <c r="Y1262" s="191"/>
      <c r="Z1262" s="191"/>
      <c r="AA1262" s="191"/>
      <c r="AB1262" s="191"/>
      <c r="AC1262" s="190"/>
      <c r="AD1262" s="190"/>
      <c r="AE1262" s="190"/>
      <c r="AF1262" s="190"/>
      <c r="AG1262" s="190"/>
      <c r="AH1262" s="190"/>
      <c r="AI1262" s="190"/>
      <c r="AJ1262" s="190"/>
      <c r="AK1262" s="190"/>
      <c r="AL1262" s="190"/>
      <c r="AM1262" s="190"/>
    </row>
    <row r="1263" spans="2:39">
      <c r="B1263" s="162"/>
      <c r="C1263" s="162"/>
      <c r="D1263" s="191"/>
      <c r="E1263" s="191"/>
      <c r="F1263" s="191"/>
      <c r="G1263" s="191"/>
      <c r="H1263" s="191"/>
      <c r="I1263" s="191"/>
      <c r="J1263" s="191"/>
      <c r="K1263" s="191"/>
      <c r="L1263" s="191"/>
      <c r="M1263" s="191"/>
      <c r="N1263" s="191"/>
      <c r="O1263" s="191"/>
      <c r="P1263" s="191"/>
      <c r="Q1263" s="191"/>
      <c r="R1263" s="191"/>
      <c r="S1263" s="191"/>
      <c r="T1263" s="191"/>
      <c r="U1263" s="191"/>
      <c r="V1263" s="191"/>
      <c r="W1263" s="191"/>
      <c r="X1263" s="191"/>
      <c r="Y1263" s="191"/>
      <c r="Z1263" s="191"/>
      <c r="AA1263" s="191"/>
      <c r="AB1263" s="191"/>
      <c r="AC1263" s="190"/>
      <c r="AD1263" s="190"/>
      <c r="AE1263" s="190"/>
      <c r="AF1263" s="190"/>
      <c r="AG1263" s="190"/>
      <c r="AH1263" s="190"/>
      <c r="AI1263" s="190"/>
      <c r="AJ1263" s="190"/>
      <c r="AK1263" s="190"/>
      <c r="AL1263" s="190"/>
      <c r="AM1263" s="190"/>
    </row>
    <row r="1264" spans="2:39">
      <c r="B1264" s="162"/>
      <c r="C1264" s="162"/>
      <c r="D1264" s="191"/>
      <c r="E1264" s="191"/>
      <c r="F1264" s="191"/>
      <c r="G1264" s="191"/>
      <c r="H1264" s="191"/>
      <c r="I1264" s="191"/>
      <c r="J1264" s="191"/>
      <c r="K1264" s="191"/>
      <c r="L1264" s="191"/>
      <c r="M1264" s="191"/>
      <c r="N1264" s="191"/>
      <c r="O1264" s="191"/>
      <c r="P1264" s="191"/>
      <c r="Q1264" s="191"/>
      <c r="R1264" s="191"/>
      <c r="S1264" s="191"/>
      <c r="T1264" s="191"/>
      <c r="U1264" s="191"/>
      <c r="V1264" s="191"/>
      <c r="W1264" s="191"/>
      <c r="X1264" s="191"/>
      <c r="Y1264" s="191"/>
      <c r="Z1264" s="191"/>
      <c r="AA1264" s="191"/>
      <c r="AB1264" s="191"/>
      <c r="AC1264" s="190"/>
      <c r="AD1264" s="190"/>
      <c r="AE1264" s="190"/>
      <c r="AF1264" s="190"/>
      <c r="AG1264" s="190"/>
      <c r="AH1264" s="190"/>
      <c r="AI1264" s="190"/>
      <c r="AJ1264" s="190"/>
      <c r="AK1264" s="190"/>
      <c r="AL1264" s="190"/>
      <c r="AM1264" s="190"/>
    </row>
    <row r="1265" spans="2:39">
      <c r="B1265" s="162"/>
      <c r="C1265" s="162"/>
      <c r="D1265" s="191"/>
      <c r="E1265" s="191"/>
      <c r="F1265" s="191"/>
      <c r="G1265" s="191"/>
      <c r="H1265" s="191"/>
      <c r="I1265" s="191"/>
      <c r="J1265" s="191"/>
      <c r="K1265" s="191"/>
      <c r="L1265" s="191"/>
      <c r="M1265" s="191"/>
      <c r="N1265" s="191"/>
      <c r="O1265" s="191"/>
      <c r="P1265" s="191"/>
      <c r="Q1265" s="191"/>
      <c r="R1265" s="191"/>
      <c r="S1265" s="191"/>
      <c r="T1265" s="191"/>
      <c r="U1265" s="191"/>
      <c r="V1265" s="191"/>
      <c r="W1265" s="191"/>
      <c r="X1265" s="191"/>
      <c r="Y1265" s="191"/>
      <c r="Z1265" s="191"/>
      <c r="AA1265" s="191"/>
      <c r="AB1265" s="191"/>
      <c r="AC1265" s="190"/>
      <c r="AD1265" s="190"/>
      <c r="AE1265" s="190"/>
      <c r="AF1265" s="190"/>
      <c r="AG1265" s="190"/>
      <c r="AH1265" s="190"/>
      <c r="AI1265" s="190"/>
      <c r="AJ1265" s="190"/>
      <c r="AK1265" s="190"/>
      <c r="AL1265" s="190"/>
      <c r="AM1265" s="190"/>
    </row>
    <row r="1266" spans="2:39">
      <c r="B1266" s="162"/>
      <c r="C1266" s="162"/>
      <c r="D1266" s="191"/>
      <c r="E1266" s="191"/>
      <c r="F1266" s="191"/>
      <c r="G1266" s="191"/>
      <c r="H1266" s="191"/>
      <c r="I1266" s="191"/>
      <c r="J1266" s="191"/>
      <c r="K1266" s="191"/>
      <c r="L1266" s="191"/>
      <c r="M1266" s="191"/>
      <c r="N1266" s="191"/>
      <c r="O1266" s="191"/>
      <c r="P1266" s="191"/>
      <c r="Q1266" s="191"/>
      <c r="R1266" s="191"/>
      <c r="S1266" s="191"/>
      <c r="T1266" s="191"/>
      <c r="U1266" s="191"/>
      <c r="V1266" s="191"/>
      <c r="W1266" s="191"/>
      <c r="X1266" s="191"/>
      <c r="Y1266" s="191"/>
      <c r="Z1266" s="191"/>
      <c r="AA1266" s="191"/>
      <c r="AB1266" s="191"/>
      <c r="AC1266" s="190"/>
      <c r="AD1266" s="190"/>
      <c r="AE1266" s="190"/>
      <c r="AF1266" s="190"/>
      <c r="AG1266" s="190"/>
      <c r="AH1266" s="190"/>
      <c r="AI1266" s="190"/>
      <c r="AJ1266" s="190"/>
      <c r="AK1266" s="190"/>
      <c r="AL1266" s="190"/>
      <c r="AM1266" s="190"/>
    </row>
    <row r="1267" spans="2:39">
      <c r="B1267" s="162"/>
      <c r="C1267" s="162"/>
      <c r="D1267" s="191"/>
      <c r="E1267" s="191"/>
      <c r="F1267" s="191"/>
      <c r="G1267" s="191"/>
      <c r="H1267" s="191"/>
      <c r="I1267" s="191"/>
      <c r="J1267" s="191"/>
      <c r="K1267" s="191"/>
      <c r="L1267" s="191"/>
      <c r="M1267" s="191"/>
      <c r="N1267" s="191"/>
      <c r="O1267" s="191"/>
      <c r="P1267" s="191"/>
      <c r="Q1267" s="191"/>
      <c r="R1267" s="191"/>
      <c r="S1267" s="191"/>
      <c r="T1267" s="191"/>
      <c r="U1267" s="191"/>
      <c r="V1267" s="191"/>
      <c r="W1267" s="191"/>
      <c r="X1267" s="191"/>
      <c r="Y1267" s="191"/>
      <c r="Z1267" s="191"/>
      <c r="AA1267" s="191"/>
      <c r="AB1267" s="191"/>
      <c r="AC1267" s="190"/>
      <c r="AD1267" s="190"/>
      <c r="AE1267" s="190"/>
      <c r="AF1267" s="190"/>
      <c r="AG1267" s="190"/>
      <c r="AH1267" s="190"/>
      <c r="AI1267" s="190"/>
      <c r="AJ1267" s="190"/>
      <c r="AK1267" s="190"/>
      <c r="AL1267" s="190"/>
      <c r="AM1267" s="190"/>
    </row>
    <row r="1268" spans="2:39">
      <c r="B1268" s="162"/>
      <c r="C1268" s="162"/>
      <c r="D1268" s="191"/>
      <c r="E1268" s="191"/>
      <c r="F1268" s="191"/>
      <c r="G1268" s="191"/>
      <c r="H1268" s="191"/>
      <c r="I1268" s="191"/>
      <c r="J1268" s="191"/>
      <c r="K1268" s="191"/>
      <c r="L1268" s="191"/>
      <c r="M1268" s="191"/>
      <c r="N1268" s="191"/>
      <c r="O1268" s="191"/>
      <c r="P1268" s="191"/>
      <c r="Q1268" s="191"/>
      <c r="R1268" s="191"/>
      <c r="S1268" s="191"/>
      <c r="T1268" s="191"/>
      <c r="U1268" s="191"/>
      <c r="V1268" s="191"/>
      <c r="W1268" s="191"/>
      <c r="X1268" s="191"/>
      <c r="Y1268" s="191"/>
      <c r="Z1268" s="191"/>
      <c r="AA1268" s="191"/>
      <c r="AB1268" s="191"/>
      <c r="AC1268" s="190"/>
      <c r="AD1268" s="190"/>
      <c r="AE1268" s="190"/>
      <c r="AF1268" s="190"/>
      <c r="AG1268" s="190"/>
      <c r="AH1268" s="190"/>
      <c r="AI1268" s="190"/>
      <c r="AJ1268" s="190"/>
      <c r="AK1268" s="190"/>
      <c r="AL1268" s="190"/>
      <c r="AM1268" s="190"/>
    </row>
    <row r="1269" spans="2:39">
      <c r="B1269" s="162"/>
      <c r="C1269" s="162"/>
      <c r="D1269" s="191"/>
      <c r="E1269" s="191"/>
      <c r="F1269" s="191"/>
      <c r="G1269" s="191"/>
      <c r="H1269" s="191"/>
      <c r="I1269" s="191"/>
      <c r="J1269" s="191"/>
      <c r="K1269" s="191"/>
      <c r="L1269" s="191"/>
      <c r="M1269" s="191"/>
      <c r="N1269" s="191"/>
      <c r="O1269" s="191"/>
      <c r="P1269" s="191"/>
      <c r="Q1269" s="191"/>
      <c r="R1269" s="191"/>
      <c r="S1269" s="191"/>
      <c r="T1269" s="191"/>
      <c r="U1269" s="191"/>
      <c r="V1269" s="191"/>
      <c r="W1269" s="191"/>
      <c r="X1269" s="191"/>
      <c r="Y1269" s="191"/>
      <c r="Z1269" s="191"/>
      <c r="AA1269" s="191"/>
      <c r="AB1269" s="191"/>
      <c r="AC1269" s="190"/>
      <c r="AD1269" s="190"/>
      <c r="AE1269" s="190"/>
      <c r="AF1269" s="190"/>
      <c r="AG1269" s="190"/>
      <c r="AH1269" s="190"/>
      <c r="AI1269" s="190"/>
      <c r="AJ1269" s="190"/>
      <c r="AK1269" s="190"/>
      <c r="AL1269" s="190"/>
      <c r="AM1269" s="190"/>
    </row>
    <row r="1270" spans="2:39">
      <c r="B1270" s="162"/>
      <c r="C1270" s="162"/>
      <c r="D1270" s="191"/>
      <c r="E1270" s="191"/>
      <c r="F1270" s="191"/>
      <c r="G1270" s="191"/>
      <c r="H1270" s="191"/>
      <c r="I1270" s="191"/>
      <c r="J1270" s="191"/>
      <c r="K1270" s="191"/>
      <c r="L1270" s="191"/>
      <c r="M1270" s="191"/>
      <c r="N1270" s="191"/>
      <c r="O1270" s="191"/>
      <c r="P1270" s="191"/>
      <c r="Q1270" s="191"/>
      <c r="R1270" s="191"/>
      <c r="S1270" s="191"/>
      <c r="T1270" s="191"/>
      <c r="U1270" s="191"/>
      <c r="V1270" s="191"/>
      <c r="W1270" s="191"/>
      <c r="X1270" s="191"/>
      <c r="Y1270" s="191"/>
      <c r="Z1270" s="191"/>
      <c r="AA1270" s="191"/>
      <c r="AB1270" s="191"/>
      <c r="AC1270" s="190"/>
      <c r="AD1270" s="190"/>
      <c r="AE1270" s="190"/>
      <c r="AF1270" s="190"/>
      <c r="AG1270" s="190"/>
      <c r="AH1270" s="190"/>
      <c r="AI1270" s="190"/>
      <c r="AJ1270" s="190"/>
      <c r="AK1270" s="190"/>
      <c r="AL1270" s="190"/>
      <c r="AM1270" s="190"/>
    </row>
    <row r="1271" spans="2:39">
      <c r="B1271" s="162"/>
      <c r="C1271" s="162"/>
      <c r="D1271" s="191"/>
      <c r="E1271" s="191"/>
      <c r="F1271" s="191"/>
      <c r="G1271" s="191"/>
      <c r="H1271" s="191"/>
      <c r="I1271" s="191"/>
      <c r="J1271" s="191"/>
      <c r="K1271" s="191"/>
      <c r="L1271" s="191"/>
      <c r="M1271" s="191"/>
      <c r="N1271" s="191"/>
      <c r="O1271" s="191"/>
      <c r="P1271" s="191"/>
      <c r="Q1271" s="191"/>
      <c r="R1271" s="191"/>
      <c r="S1271" s="191"/>
      <c r="T1271" s="191"/>
      <c r="U1271" s="191"/>
      <c r="V1271" s="191"/>
      <c r="W1271" s="191"/>
      <c r="X1271" s="191"/>
      <c r="Y1271" s="191"/>
      <c r="Z1271" s="191"/>
      <c r="AA1271" s="191"/>
      <c r="AB1271" s="191"/>
      <c r="AC1271" s="190"/>
      <c r="AD1271" s="190"/>
      <c r="AE1271" s="190"/>
      <c r="AF1271" s="190"/>
      <c r="AG1271" s="190"/>
      <c r="AH1271" s="190"/>
      <c r="AI1271" s="190"/>
      <c r="AJ1271" s="190"/>
      <c r="AK1271" s="190"/>
      <c r="AL1271" s="190"/>
      <c r="AM1271" s="190"/>
    </row>
    <row r="1272" spans="2:39">
      <c r="B1272" s="162"/>
      <c r="C1272" s="162"/>
      <c r="D1272" s="191"/>
      <c r="E1272" s="191"/>
      <c r="F1272" s="191"/>
      <c r="G1272" s="191"/>
      <c r="H1272" s="191"/>
      <c r="I1272" s="191"/>
      <c r="J1272" s="191"/>
      <c r="K1272" s="191"/>
      <c r="L1272" s="191"/>
      <c r="M1272" s="191"/>
      <c r="N1272" s="191"/>
      <c r="O1272" s="191"/>
      <c r="P1272" s="191"/>
      <c r="Q1272" s="191"/>
      <c r="R1272" s="191"/>
      <c r="S1272" s="191"/>
      <c r="T1272" s="191"/>
      <c r="U1272" s="191"/>
      <c r="V1272" s="191"/>
      <c r="W1272" s="191"/>
      <c r="X1272" s="191"/>
      <c r="Y1272" s="191"/>
      <c r="Z1272" s="191"/>
      <c r="AA1272" s="191"/>
      <c r="AB1272" s="191"/>
      <c r="AC1272" s="190"/>
      <c r="AD1272" s="190"/>
      <c r="AE1272" s="190"/>
      <c r="AF1272" s="190"/>
      <c r="AG1272" s="190"/>
      <c r="AH1272" s="190"/>
      <c r="AI1272" s="190"/>
      <c r="AJ1272" s="190"/>
      <c r="AK1272" s="190"/>
      <c r="AL1272" s="190"/>
      <c r="AM1272" s="190"/>
    </row>
    <row r="1273" spans="2:39">
      <c r="B1273" s="162"/>
      <c r="C1273" s="162"/>
      <c r="D1273" s="191"/>
      <c r="E1273" s="191"/>
      <c r="F1273" s="191"/>
      <c r="G1273" s="191"/>
      <c r="H1273" s="191"/>
      <c r="I1273" s="191"/>
      <c r="J1273" s="191"/>
      <c r="K1273" s="191"/>
      <c r="L1273" s="191"/>
      <c r="M1273" s="191"/>
      <c r="N1273" s="191"/>
      <c r="O1273" s="191"/>
      <c r="P1273" s="191"/>
      <c r="Q1273" s="191"/>
      <c r="R1273" s="191"/>
      <c r="S1273" s="191"/>
      <c r="T1273" s="191"/>
      <c r="U1273" s="191"/>
      <c r="V1273" s="191"/>
      <c r="W1273" s="191"/>
      <c r="X1273" s="191"/>
      <c r="Y1273" s="191"/>
      <c r="Z1273" s="191"/>
      <c r="AA1273" s="191"/>
      <c r="AB1273" s="191"/>
      <c r="AC1273" s="190"/>
      <c r="AD1273" s="190"/>
      <c r="AE1273" s="190"/>
      <c r="AF1273" s="190"/>
      <c r="AG1273" s="190"/>
      <c r="AH1273" s="190"/>
      <c r="AI1273" s="190"/>
      <c r="AJ1273" s="190"/>
      <c r="AK1273" s="190"/>
      <c r="AL1273" s="190"/>
      <c r="AM1273" s="190"/>
    </row>
    <row r="1274" spans="2:39">
      <c r="B1274" s="162"/>
      <c r="C1274" s="162"/>
      <c r="D1274" s="191"/>
      <c r="E1274" s="191"/>
      <c r="F1274" s="191"/>
      <c r="G1274" s="191"/>
      <c r="H1274" s="191"/>
      <c r="I1274" s="191"/>
      <c r="J1274" s="191"/>
      <c r="K1274" s="191"/>
      <c r="L1274" s="191"/>
      <c r="M1274" s="191"/>
      <c r="N1274" s="191"/>
      <c r="O1274" s="191"/>
      <c r="P1274" s="191"/>
      <c r="Q1274" s="191"/>
      <c r="R1274" s="191"/>
      <c r="S1274" s="191"/>
      <c r="T1274" s="191"/>
      <c r="U1274" s="191"/>
      <c r="V1274" s="191"/>
      <c r="W1274" s="191"/>
      <c r="X1274" s="191"/>
      <c r="Y1274" s="191"/>
      <c r="Z1274" s="191"/>
      <c r="AA1274" s="191"/>
      <c r="AB1274" s="191"/>
      <c r="AC1274" s="190"/>
      <c r="AD1274" s="190"/>
      <c r="AE1274" s="190"/>
      <c r="AF1274" s="190"/>
      <c r="AG1274" s="190"/>
      <c r="AH1274" s="190"/>
      <c r="AI1274" s="190"/>
      <c r="AJ1274" s="190"/>
      <c r="AK1274" s="190"/>
      <c r="AL1274" s="190"/>
      <c r="AM1274" s="190"/>
    </row>
    <row r="1275" spans="2:39">
      <c r="B1275" s="162"/>
      <c r="C1275" s="162"/>
      <c r="D1275" s="191"/>
      <c r="E1275" s="191"/>
      <c r="F1275" s="191"/>
      <c r="G1275" s="191"/>
      <c r="H1275" s="191"/>
      <c r="I1275" s="191"/>
      <c r="J1275" s="191"/>
      <c r="K1275" s="191"/>
      <c r="L1275" s="191"/>
      <c r="M1275" s="191"/>
      <c r="N1275" s="191"/>
      <c r="O1275" s="191"/>
      <c r="P1275" s="191"/>
      <c r="Q1275" s="191"/>
      <c r="R1275" s="191"/>
      <c r="S1275" s="191"/>
      <c r="T1275" s="191"/>
      <c r="U1275" s="191"/>
      <c r="V1275" s="191"/>
      <c r="W1275" s="191"/>
      <c r="X1275" s="191"/>
      <c r="Y1275" s="191"/>
      <c r="Z1275" s="191"/>
      <c r="AA1275" s="191"/>
      <c r="AB1275" s="191"/>
      <c r="AC1275" s="190"/>
      <c r="AD1275" s="190"/>
      <c r="AE1275" s="190"/>
      <c r="AF1275" s="190"/>
      <c r="AG1275" s="190"/>
      <c r="AH1275" s="190"/>
      <c r="AI1275" s="190"/>
      <c r="AJ1275" s="190"/>
      <c r="AK1275" s="190"/>
      <c r="AL1275" s="190"/>
      <c r="AM1275" s="190"/>
    </row>
    <row r="1276" spans="2:39">
      <c r="B1276" s="162"/>
      <c r="C1276" s="162"/>
      <c r="D1276" s="191"/>
      <c r="E1276" s="191"/>
      <c r="F1276" s="191"/>
      <c r="G1276" s="191"/>
      <c r="H1276" s="191"/>
      <c r="I1276" s="191"/>
      <c r="J1276" s="191"/>
      <c r="K1276" s="191"/>
      <c r="L1276" s="191"/>
      <c r="M1276" s="191"/>
      <c r="N1276" s="191"/>
      <c r="O1276" s="191"/>
      <c r="P1276" s="191"/>
      <c r="Q1276" s="191"/>
      <c r="R1276" s="191"/>
      <c r="S1276" s="191"/>
      <c r="T1276" s="191"/>
      <c r="U1276" s="191"/>
      <c r="V1276" s="191"/>
      <c r="W1276" s="191"/>
      <c r="X1276" s="191"/>
      <c r="Y1276" s="191"/>
      <c r="Z1276" s="191"/>
      <c r="AA1276" s="191"/>
      <c r="AB1276" s="191"/>
      <c r="AC1276" s="190"/>
      <c r="AD1276" s="190"/>
      <c r="AE1276" s="190"/>
      <c r="AF1276" s="190"/>
      <c r="AG1276" s="190"/>
      <c r="AH1276" s="190"/>
      <c r="AI1276" s="190"/>
      <c r="AJ1276" s="190"/>
      <c r="AK1276" s="190"/>
      <c r="AL1276" s="190"/>
      <c r="AM1276" s="190"/>
    </row>
    <row r="1277" spans="2:39">
      <c r="B1277" s="162"/>
      <c r="C1277" s="162"/>
      <c r="D1277" s="191"/>
      <c r="E1277" s="191"/>
      <c r="F1277" s="191"/>
      <c r="G1277" s="191"/>
      <c r="H1277" s="191"/>
      <c r="I1277" s="191"/>
      <c r="J1277" s="191"/>
      <c r="K1277" s="191"/>
      <c r="L1277" s="191"/>
      <c r="M1277" s="191"/>
      <c r="N1277" s="191"/>
      <c r="O1277" s="191"/>
      <c r="P1277" s="191"/>
      <c r="Q1277" s="191"/>
      <c r="R1277" s="191"/>
      <c r="S1277" s="191"/>
      <c r="T1277" s="191"/>
      <c r="U1277" s="191"/>
      <c r="V1277" s="191"/>
      <c r="W1277" s="191"/>
      <c r="X1277" s="191"/>
      <c r="Y1277" s="191"/>
      <c r="Z1277" s="191"/>
      <c r="AA1277" s="191"/>
      <c r="AB1277" s="191"/>
      <c r="AC1277" s="190"/>
      <c r="AD1277" s="190"/>
      <c r="AE1277" s="190"/>
      <c r="AF1277" s="190"/>
      <c r="AG1277" s="190"/>
      <c r="AH1277" s="190"/>
      <c r="AI1277" s="190"/>
      <c r="AJ1277" s="190"/>
      <c r="AK1277" s="190"/>
      <c r="AL1277" s="190"/>
      <c r="AM1277" s="190"/>
    </row>
    <row r="1278" spans="2:39">
      <c r="B1278" s="162"/>
      <c r="C1278" s="162"/>
      <c r="D1278" s="191"/>
      <c r="E1278" s="191"/>
      <c r="F1278" s="191"/>
      <c r="G1278" s="191"/>
      <c r="H1278" s="191"/>
      <c r="I1278" s="191"/>
      <c r="J1278" s="191"/>
      <c r="K1278" s="191"/>
      <c r="L1278" s="191"/>
      <c r="M1278" s="191"/>
      <c r="N1278" s="191"/>
      <c r="O1278" s="191"/>
      <c r="P1278" s="191"/>
      <c r="Q1278" s="191"/>
      <c r="R1278" s="191"/>
      <c r="S1278" s="191"/>
      <c r="T1278" s="191"/>
      <c r="U1278" s="191"/>
      <c r="V1278" s="191"/>
      <c r="W1278" s="191"/>
      <c r="X1278" s="191"/>
      <c r="Y1278" s="191"/>
      <c r="Z1278" s="191"/>
      <c r="AA1278" s="191"/>
      <c r="AB1278" s="191"/>
      <c r="AC1278" s="190"/>
      <c r="AD1278" s="190"/>
      <c r="AE1278" s="190"/>
      <c r="AF1278" s="190"/>
      <c r="AG1278" s="190"/>
      <c r="AH1278" s="190"/>
      <c r="AI1278" s="190"/>
      <c r="AJ1278" s="190"/>
      <c r="AK1278" s="190"/>
      <c r="AL1278" s="190"/>
      <c r="AM1278" s="190"/>
    </row>
    <row r="1279" spans="2:39">
      <c r="B1279" s="162"/>
      <c r="C1279" s="162"/>
      <c r="D1279" s="191"/>
      <c r="E1279" s="191"/>
      <c r="F1279" s="191"/>
      <c r="G1279" s="191"/>
      <c r="H1279" s="191"/>
      <c r="I1279" s="191"/>
      <c r="J1279" s="191"/>
      <c r="K1279" s="191"/>
      <c r="L1279" s="191"/>
      <c r="M1279" s="191"/>
      <c r="N1279" s="191"/>
      <c r="O1279" s="191"/>
      <c r="P1279" s="191"/>
      <c r="Q1279" s="191"/>
      <c r="R1279" s="191"/>
      <c r="S1279" s="191"/>
      <c r="T1279" s="191"/>
      <c r="U1279" s="191"/>
      <c r="V1279" s="191"/>
      <c r="W1279" s="191"/>
      <c r="X1279" s="191"/>
      <c r="Y1279" s="191"/>
      <c r="Z1279" s="191"/>
      <c r="AA1279" s="191"/>
      <c r="AB1279" s="191"/>
      <c r="AC1279" s="190"/>
      <c r="AD1279" s="190"/>
      <c r="AE1279" s="190"/>
      <c r="AF1279" s="190"/>
      <c r="AG1279" s="190"/>
      <c r="AH1279" s="190"/>
      <c r="AI1279" s="190"/>
      <c r="AJ1279" s="190"/>
      <c r="AK1279" s="190"/>
      <c r="AL1279" s="190"/>
      <c r="AM1279" s="190"/>
    </row>
    <row r="1280" spans="2:39">
      <c r="B1280" s="162"/>
      <c r="C1280" s="162"/>
      <c r="D1280" s="191"/>
      <c r="E1280" s="191"/>
      <c r="F1280" s="191"/>
      <c r="G1280" s="191"/>
      <c r="H1280" s="191"/>
      <c r="I1280" s="191"/>
      <c r="J1280" s="191"/>
      <c r="K1280" s="191"/>
      <c r="L1280" s="191"/>
      <c r="M1280" s="191"/>
      <c r="N1280" s="191"/>
      <c r="O1280" s="191"/>
      <c r="P1280" s="191"/>
      <c r="Q1280" s="191"/>
      <c r="R1280" s="191"/>
      <c r="S1280" s="191"/>
      <c r="T1280" s="191"/>
      <c r="U1280" s="191"/>
      <c r="V1280" s="191"/>
      <c r="W1280" s="191"/>
      <c r="X1280" s="191"/>
      <c r="Y1280" s="191"/>
      <c r="Z1280" s="191"/>
      <c r="AA1280" s="191"/>
      <c r="AB1280" s="191"/>
      <c r="AC1280" s="190"/>
      <c r="AD1280" s="190"/>
      <c r="AE1280" s="190"/>
      <c r="AF1280" s="190"/>
      <c r="AG1280" s="190"/>
      <c r="AH1280" s="190"/>
      <c r="AI1280" s="190"/>
      <c r="AJ1280" s="190"/>
      <c r="AK1280" s="190"/>
      <c r="AL1280" s="190"/>
      <c r="AM1280" s="190"/>
    </row>
    <row r="1281" spans="2:39">
      <c r="B1281" s="162"/>
      <c r="C1281" s="162"/>
      <c r="D1281" s="191"/>
      <c r="E1281" s="191"/>
      <c r="F1281" s="191"/>
      <c r="G1281" s="191"/>
      <c r="H1281" s="191"/>
      <c r="I1281" s="191"/>
      <c r="J1281" s="191"/>
      <c r="K1281" s="191"/>
      <c r="L1281" s="191"/>
      <c r="M1281" s="191"/>
      <c r="N1281" s="191"/>
      <c r="O1281" s="191"/>
      <c r="P1281" s="191"/>
      <c r="Q1281" s="191"/>
      <c r="R1281" s="191"/>
      <c r="S1281" s="191"/>
      <c r="T1281" s="191"/>
      <c r="U1281" s="191"/>
      <c r="V1281" s="191"/>
      <c r="W1281" s="191"/>
      <c r="X1281" s="191"/>
      <c r="Y1281" s="191"/>
      <c r="Z1281" s="191"/>
      <c r="AA1281" s="191"/>
      <c r="AB1281" s="191"/>
      <c r="AC1281" s="190"/>
      <c r="AD1281" s="190"/>
      <c r="AE1281" s="190"/>
      <c r="AF1281" s="190"/>
      <c r="AG1281" s="190"/>
      <c r="AH1281" s="190"/>
      <c r="AI1281" s="190"/>
      <c r="AJ1281" s="190"/>
      <c r="AK1281" s="190"/>
      <c r="AL1281" s="190"/>
      <c r="AM1281" s="190"/>
    </row>
    <row r="1282" spans="2:39">
      <c r="B1282" s="162"/>
      <c r="C1282" s="162"/>
      <c r="D1282" s="191"/>
      <c r="E1282" s="191"/>
      <c r="F1282" s="191"/>
      <c r="G1282" s="191"/>
      <c r="H1282" s="191"/>
      <c r="I1282" s="191"/>
      <c r="J1282" s="191"/>
      <c r="K1282" s="191"/>
      <c r="L1282" s="191"/>
      <c r="M1282" s="191"/>
      <c r="N1282" s="191"/>
      <c r="O1282" s="191"/>
      <c r="P1282" s="191"/>
      <c r="Q1282" s="191"/>
      <c r="R1282" s="191"/>
      <c r="S1282" s="191"/>
      <c r="T1282" s="191"/>
      <c r="U1282" s="191"/>
      <c r="V1282" s="191"/>
      <c r="W1282" s="191"/>
      <c r="X1282" s="191"/>
      <c r="Y1282" s="191"/>
      <c r="Z1282" s="191"/>
      <c r="AA1282" s="191"/>
      <c r="AB1282" s="191"/>
      <c r="AC1282" s="190"/>
      <c r="AD1282" s="190"/>
      <c r="AE1282" s="190"/>
      <c r="AF1282" s="190"/>
      <c r="AG1282" s="190"/>
      <c r="AH1282" s="190"/>
      <c r="AI1282" s="190"/>
      <c r="AJ1282" s="190"/>
      <c r="AK1282" s="190"/>
      <c r="AL1282" s="190"/>
      <c r="AM1282" s="190"/>
    </row>
    <row r="1283" spans="2:39">
      <c r="B1283" s="162"/>
      <c r="C1283" s="162"/>
      <c r="D1283" s="191"/>
      <c r="E1283" s="191"/>
      <c r="F1283" s="191"/>
      <c r="G1283" s="191"/>
      <c r="H1283" s="191"/>
      <c r="I1283" s="191"/>
      <c r="J1283" s="191"/>
      <c r="K1283" s="191"/>
      <c r="L1283" s="191"/>
      <c r="M1283" s="191"/>
      <c r="N1283" s="191"/>
      <c r="O1283" s="191"/>
      <c r="P1283" s="191"/>
      <c r="Q1283" s="191"/>
      <c r="R1283" s="191"/>
      <c r="S1283" s="191"/>
      <c r="T1283" s="191"/>
      <c r="U1283" s="191"/>
      <c r="V1283" s="191"/>
      <c r="W1283" s="191"/>
      <c r="X1283" s="191"/>
      <c r="Y1283" s="191"/>
      <c r="Z1283" s="191"/>
      <c r="AA1283" s="191"/>
      <c r="AB1283" s="191"/>
      <c r="AC1283" s="190"/>
      <c r="AD1283" s="190"/>
      <c r="AE1283" s="190"/>
      <c r="AF1283" s="190"/>
      <c r="AG1283" s="190"/>
      <c r="AH1283" s="190"/>
      <c r="AI1283" s="190"/>
      <c r="AJ1283" s="190"/>
      <c r="AK1283" s="190"/>
      <c r="AL1283" s="190"/>
      <c r="AM1283" s="190"/>
    </row>
    <row r="1284" spans="2:39">
      <c r="B1284" s="162"/>
      <c r="C1284" s="162"/>
      <c r="D1284" s="191"/>
      <c r="E1284" s="191"/>
      <c r="F1284" s="191"/>
      <c r="G1284" s="191"/>
      <c r="H1284" s="191"/>
      <c r="I1284" s="191"/>
      <c r="J1284" s="191"/>
      <c r="K1284" s="191"/>
      <c r="L1284" s="191"/>
      <c r="M1284" s="191"/>
      <c r="N1284" s="191"/>
      <c r="O1284" s="191"/>
      <c r="P1284" s="191"/>
      <c r="Q1284" s="191"/>
      <c r="R1284" s="191"/>
      <c r="S1284" s="191"/>
      <c r="T1284" s="191"/>
      <c r="U1284" s="191"/>
      <c r="V1284" s="191"/>
      <c r="W1284" s="191"/>
      <c r="X1284" s="191"/>
      <c r="Y1284" s="191"/>
      <c r="Z1284" s="191"/>
      <c r="AA1284" s="191"/>
      <c r="AB1284" s="191"/>
      <c r="AC1284" s="190"/>
      <c r="AD1284" s="190"/>
      <c r="AE1284" s="190"/>
      <c r="AF1284" s="190"/>
      <c r="AG1284" s="190"/>
      <c r="AH1284" s="190"/>
      <c r="AI1284" s="190"/>
      <c r="AJ1284" s="190"/>
      <c r="AK1284" s="190"/>
      <c r="AL1284" s="190"/>
      <c r="AM1284" s="190"/>
    </row>
    <row r="1285" spans="2:39">
      <c r="B1285" s="162"/>
      <c r="C1285" s="162"/>
      <c r="D1285" s="191"/>
      <c r="E1285" s="191"/>
      <c r="F1285" s="191"/>
      <c r="G1285" s="191"/>
      <c r="H1285" s="191"/>
      <c r="I1285" s="191"/>
      <c r="J1285" s="191"/>
      <c r="K1285" s="191"/>
      <c r="L1285" s="191"/>
      <c r="M1285" s="191"/>
      <c r="N1285" s="191"/>
      <c r="O1285" s="191"/>
      <c r="P1285" s="191"/>
      <c r="Q1285" s="191"/>
      <c r="R1285" s="191"/>
      <c r="S1285" s="191"/>
      <c r="T1285" s="191"/>
      <c r="U1285" s="191"/>
      <c r="V1285" s="191"/>
      <c r="W1285" s="191"/>
      <c r="X1285" s="191"/>
      <c r="Y1285" s="191"/>
      <c r="Z1285" s="191"/>
      <c r="AA1285" s="191"/>
      <c r="AB1285" s="191"/>
      <c r="AC1285" s="190"/>
      <c r="AD1285" s="190"/>
      <c r="AE1285" s="190"/>
      <c r="AF1285" s="190"/>
      <c r="AG1285" s="190"/>
      <c r="AH1285" s="190"/>
      <c r="AI1285" s="190"/>
      <c r="AJ1285" s="190"/>
      <c r="AK1285" s="190"/>
      <c r="AL1285" s="190"/>
      <c r="AM1285" s="190"/>
    </row>
    <row r="1286" spans="2:39">
      <c r="B1286" s="162"/>
      <c r="C1286" s="162"/>
      <c r="D1286" s="191"/>
      <c r="E1286" s="191"/>
      <c r="F1286" s="191"/>
      <c r="G1286" s="191"/>
      <c r="H1286" s="191"/>
      <c r="I1286" s="191"/>
      <c r="J1286" s="191"/>
      <c r="K1286" s="191"/>
      <c r="L1286" s="191"/>
      <c r="M1286" s="191"/>
      <c r="N1286" s="191"/>
      <c r="O1286" s="191"/>
      <c r="P1286" s="191"/>
      <c r="Q1286" s="191"/>
      <c r="R1286" s="191"/>
      <c r="S1286" s="191"/>
      <c r="T1286" s="191"/>
      <c r="U1286" s="191"/>
      <c r="V1286" s="191"/>
      <c r="W1286" s="191"/>
      <c r="X1286" s="191"/>
      <c r="Y1286" s="191"/>
      <c r="Z1286" s="191"/>
      <c r="AA1286" s="191"/>
      <c r="AB1286" s="191"/>
      <c r="AC1286" s="190"/>
      <c r="AD1286" s="190"/>
      <c r="AE1286" s="190"/>
      <c r="AF1286" s="190"/>
      <c r="AG1286" s="190"/>
      <c r="AH1286" s="190"/>
      <c r="AI1286" s="190"/>
      <c r="AJ1286" s="190"/>
      <c r="AK1286" s="190"/>
      <c r="AL1286" s="190"/>
      <c r="AM1286" s="190"/>
    </row>
    <row r="1287" spans="2:39">
      <c r="B1287" s="162"/>
      <c r="C1287" s="162"/>
      <c r="D1287" s="191"/>
      <c r="E1287" s="191"/>
      <c r="F1287" s="191"/>
      <c r="G1287" s="191"/>
      <c r="H1287" s="191"/>
      <c r="I1287" s="191"/>
      <c r="J1287" s="191"/>
      <c r="K1287" s="191"/>
      <c r="L1287" s="191"/>
      <c r="M1287" s="191"/>
      <c r="N1287" s="191"/>
      <c r="O1287" s="191"/>
      <c r="P1287" s="191"/>
      <c r="Q1287" s="191"/>
      <c r="R1287" s="191"/>
      <c r="S1287" s="191"/>
      <c r="T1287" s="191"/>
      <c r="U1287" s="191"/>
      <c r="V1287" s="191"/>
      <c r="W1287" s="191"/>
      <c r="X1287" s="191"/>
      <c r="Y1287" s="191"/>
      <c r="Z1287" s="191"/>
      <c r="AA1287" s="191"/>
      <c r="AB1287" s="191"/>
      <c r="AC1287" s="190"/>
      <c r="AD1287" s="190"/>
      <c r="AE1287" s="190"/>
      <c r="AF1287" s="190"/>
      <c r="AG1287" s="190"/>
      <c r="AH1287" s="190"/>
      <c r="AI1287" s="190"/>
      <c r="AJ1287" s="190"/>
      <c r="AK1287" s="190"/>
      <c r="AL1287" s="190"/>
      <c r="AM1287" s="190"/>
    </row>
    <row r="1288" spans="2:39">
      <c r="B1288" s="162"/>
      <c r="C1288" s="162"/>
      <c r="D1288" s="191"/>
      <c r="E1288" s="191"/>
      <c r="F1288" s="191"/>
      <c r="G1288" s="191"/>
      <c r="H1288" s="191"/>
      <c r="I1288" s="191"/>
      <c r="J1288" s="191"/>
      <c r="K1288" s="191"/>
      <c r="L1288" s="191"/>
      <c r="M1288" s="191"/>
      <c r="N1288" s="191"/>
      <c r="O1288" s="191"/>
      <c r="P1288" s="191"/>
      <c r="Q1288" s="191"/>
      <c r="R1288" s="191"/>
      <c r="S1288" s="191"/>
      <c r="T1288" s="191"/>
      <c r="U1288" s="191"/>
      <c r="V1288" s="191"/>
      <c r="W1288" s="191"/>
      <c r="X1288" s="191"/>
      <c r="Y1288" s="191"/>
      <c r="Z1288" s="191"/>
      <c r="AA1288" s="191"/>
      <c r="AB1288" s="191"/>
      <c r="AC1288" s="190"/>
      <c r="AD1288" s="190"/>
      <c r="AE1288" s="190"/>
      <c r="AF1288" s="190"/>
      <c r="AG1288" s="190"/>
      <c r="AH1288" s="190"/>
      <c r="AI1288" s="190"/>
      <c r="AJ1288" s="190"/>
      <c r="AK1288" s="190"/>
      <c r="AL1288" s="190"/>
      <c r="AM1288" s="190"/>
    </row>
    <row r="1289" spans="2:39">
      <c r="B1289" s="162"/>
      <c r="C1289" s="162"/>
      <c r="D1289" s="191"/>
      <c r="E1289" s="191"/>
      <c r="F1289" s="191"/>
      <c r="G1289" s="191"/>
      <c r="H1289" s="191"/>
      <c r="I1289" s="191"/>
      <c r="J1289" s="191"/>
      <c r="K1289" s="191"/>
      <c r="L1289" s="191"/>
      <c r="M1289" s="191"/>
      <c r="N1289" s="191"/>
      <c r="O1289" s="191"/>
      <c r="P1289" s="191"/>
      <c r="Q1289" s="191"/>
      <c r="R1289" s="191"/>
      <c r="S1289" s="191"/>
      <c r="T1289" s="191"/>
      <c r="U1289" s="191"/>
      <c r="V1289" s="191"/>
      <c r="W1289" s="191"/>
      <c r="X1289" s="191"/>
      <c r="Y1289" s="191"/>
      <c r="Z1289" s="191"/>
      <c r="AA1289" s="191"/>
      <c r="AB1289" s="191"/>
      <c r="AC1289" s="190"/>
      <c r="AD1289" s="190"/>
      <c r="AE1289" s="190"/>
      <c r="AF1289" s="190"/>
      <c r="AG1289" s="190"/>
      <c r="AH1289" s="190"/>
      <c r="AI1289" s="190"/>
      <c r="AJ1289" s="190"/>
      <c r="AK1289" s="190"/>
      <c r="AL1289" s="190"/>
      <c r="AM1289" s="190"/>
    </row>
    <row r="1290" spans="2:39">
      <c r="B1290" s="162"/>
      <c r="C1290" s="162"/>
      <c r="D1290" s="191"/>
      <c r="E1290" s="191"/>
      <c r="F1290" s="191"/>
      <c r="G1290" s="191"/>
      <c r="H1290" s="191"/>
      <c r="I1290" s="191"/>
      <c r="J1290" s="191"/>
      <c r="K1290" s="191"/>
      <c r="L1290" s="191"/>
      <c r="M1290" s="191"/>
      <c r="N1290" s="191"/>
      <c r="O1290" s="191"/>
      <c r="P1290" s="191"/>
      <c r="Q1290" s="191"/>
      <c r="R1290" s="191"/>
      <c r="S1290" s="191"/>
      <c r="T1290" s="191"/>
      <c r="U1290" s="191"/>
      <c r="V1290" s="191"/>
      <c r="W1290" s="191"/>
      <c r="X1290" s="191"/>
      <c r="Y1290" s="191"/>
      <c r="Z1290" s="191"/>
      <c r="AA1290" s="191"/>
      <c r="AB1290" s="191"/>
      <c r="AC1290" s="190"/>
      <c r="AD1290" s="190"/>
      <c r="AE1290" s="190"/>
      <c r="AF1290" s="190"/>
      <c r="AG1290" s="190"/>
      <c r="AH1290" s="190"/>
      <c r="AI1290" s="190"/>
      <c r="AJ1290" s="190"/>
      <c r="AK1290" s="190"/>
      <c r="AL1290" s="190"/>
      <c r="AM1290" s="190"/>
    </row>
    <row r="1291" spans="2:39">
      <c r="B1291" s="162"/>
      <c r="C1291" s="162"/>
      <c r="D1291" s="191"/>
      <c r="E1291" s="191"/>
      <c r="F1291" s="191"/>
      <c r="G1291" s="191"/>
      <c r="H1291" s="191"/>
      <c r="I1291" s="191"/>
      <c r="J1291" s="191"/>
      <c r="K1291" s="191"/>
      <c r="L1291" s="191"/>
      <c r="M1291" s="191"/>
      <c r="N1291" s="191"/>
      <c r="O1291" s="191"/>
      <c r="P1291" s="191"/>
      <c r="Q1291" s="191"/>
      <c r="R1291" s="191"/>
      <c r="S1291" s="191"/>
      <c r="T1291" s="191"/>
      <c r="U1291" s="191"/>
      <c r="V1291" s="191"/>
      <c r="W1291" s="191"/>
      <c r="X1291" s="191"/>
      <c r="Y1291" s="191"/>
      <c r="Z1291" s="191"/>
      <c r="AA1291" s="191"/>
      <c r="AB1291" s="191"/>
      <c r="AC1291" s="190"/>
      <c r="AD1291" s="190"/>
      <c r="AE1291" s="190"/>
      <c r="AF1291" s="190"/>
      <c r="AG1291" s="190"/>
      <c r="AH1291" s="190"/>
      <c r="AI1291" s="190"/>
      <c r="AJ1291" s="190"/>
      <c r="AK1291" s="190"/>
      <c r="AL1291" s="190"/>
      <c r="AM1291" s="190"/>
    </row>
    <row r="1292" spans="2:39">
      <c r="B1292" s="162"/>
      <c r="C1292" s="162"/>
      <c r="D1292" s="191"/>
      <c r="E1292" s="191"/>
      <c r="F1292" s="191"/>
      <c r="G1292" s="191"/>
      <c r="H1292" s="191"/>
      <c r="I1292" s="191"/>
      <c r="J1292" s="191"/>
      <c r="K1292" s="191"/>
      <c r="L1292" s="191"/>
      <c r="M1292" s="191"/>
      <c r="N1292" s="191"/>
      <c r="O1292" s="191"/>
      <c r="P1292" s="191"/>
      <c r="Q1292" s="191"/>
      <c r="R1292" s="191"/>
      <c r="S1292" s="191"/>
      <c r="T1292" s="191"/>
      <c r="U1292" s="191"/>
      <c r="V1292" s="191"/>
      <c r="W1292" s="191"/>
      <c r="X1292" s="191"/>
      <c r="Y1292" s="191"/>
      <c r="Z1292" s="191"/>
      <c r="AA1292" s="191"/>
      <c r="AB1292" s="191"/>
      <c r="AC1292" s="190"/>
      <c r="AD1292" s="190"/>
      <c r="AE1292" s="190"/>
      <c r="AF1292" s="190"/>
      <c r="AG1292" s="190"/>
      <c r="AH1292" s="190"/>
      <c r="AI1292" s="190"/>
      <c r="AJ1292" s="190"/>
      <c r="AK1292" s="190"/>
      <c r="AL1292" s="190"/>
      <c r="AM1292" s="190"/>
    </row>
    <row r="1293" spans="2:39">
      <c r="B1293" s="162"/>
      <c r="C1293" s="162"/>
      <c r="D1293" s="191"/>
      <c r="E1293" s="191"/>
      <c r="F1293" s="191"/>
      <c r="G1293" s="191"/>
      <c r="H1293" s="191"/>
      <c r="I1293" s="191"/>
      <c r="J1293" s="191"/>
      <c r="K1293" s="191"/>
      <c r="L1293" s="191"/>
      <c r="M1293" s="191"/>
      <c r="N1293" s="191"/>
      <c r="O1293" s="191"/>
      <c r="P1293" s="191"/>
      <c r="Q1293" s="191"/>
      <c r="R1293" s="191"/>
      <c r="S1293" s="191"/>
      <c r="T1293" s="191"/>
      <c r="U1293" s="191"/>
      <c r="V1293" s="191"/>
      <c r="W1293" s="191"/>
      <c r="X1293" s="191"/>
      <c r="Y1293" s="191"/>
      <c r="Z1293" s="191"/>
      <c r="AA1293" s="191"/>
      <c r="AB1293" s="191"/>
      <c r="AC1293" s="190"/>
      <c r="AD1293" s="190"/>
      <c r="AE1293" s="190"/>
      <c r="AF1293" s="190"/>
      <c r="AG1293" s="190"/>
      <c r="AH1293" s="190"/>
      <c r="AI1293" s="190"/>
      <c r="AJ1293" s="190"/>
      <c r="AK1293" s="190"/>
      <c r="AL1293" s="190"/>
      <c r="AM1293" s="190"/>
    </row>
    <row r="1294" spans="2:39">
      <c r="B1294" s="162"/>
      <c r="C1294" s="162"/>
      <c r="D1294" s="191"/>
      <c r="E1294" s="191"/>
      <c r="F1294" s="191"/>
      <c r="G1294" s="191"/>
      <c r="H1294" s="191"/>
      <c r="I1294" s="191"/>
      <c r="J1294" s="191"/>
      <c r="K1294" s="191"/>
      <c r="L1294" s="191"/>
      <c r="M1294" s="191"/>
      <c r="N1294" s="191"/>
      <c r="O1294" s="191"/>
      <c r="P1294" s="191"/>
      <c r="Q1294" s="191"/>
      <c r="R1294" s="191"/>
      <c r="S1294" s="191"/>
      <c r="T1294" s="191"/>
      <c r="U1294" s="191"/>
      <c r="V1294" s="191"/>
      <c r="W1294" s="191"/>
      <c r="X1294" s="191"/>
      <c r="Y1294" s="191"/>
      <c r="Z1294" s="191"/>
      <c r="AA1294" s="191"/>
      <c r="AB1294" s="191"/>
      <c r="AC1294" s="190"/>
      <c r="AD1294" s="190"/>
      <c r="AE1294" s="190"/>
      <c r="AF1294" s="190"/>
      <c r="AG1294" s="190"/>
      <c r="AH1294" s="190"/>
      <c r="AI1294" s="190"/>
      <c r="AJ1294" s="190"/>
      <c r="AK1294" s="190"/>
      <c r="AL1294" s="190"/>
      <c r="AM1294" s="190"/>
    </row>
    <row r="1295" spans="2:39">
      <c r="B1295" s="162"/>
      <c r="C1295" s="162"/>
      <c r="D1295" s="191"/>
      <c r="E1295" s="191"/>
      <c r="F1295" s="191"/>
      <c r="G1295" s="191"/>
      <c r="H1295" s="191"/>
      <c r="I1295" s="191"/>
      <c r="J1295" s="191"/>
      <c r="K1295" s="191"/>
      <c r="L1295" s="191"/>
      <c r="M1295" s="191"/>
      <c r="N1295" s="191"/>
      <c r="O1295" s="191"/>
      <c r="P1295" s="191"/>
      <c r="Q1295" s="191"/>
      <c r="R1295" s="191"/>
      <c r="S1295" s="191"/>
      <c r="T1295" s="191"/>
      <c r="U1295" s="191"/>
      <c r="V1295" s="191"/>
      <c r="W1295" s="191"/>
      <c r="X1295" s="191"/>
      <c r="Y1295" s="191"/>
      <c r="Z1295" s="191"/>
      <c r="AA1295" s="191"/>
      <c r="AB1295" s="191"/>
      <c r="AC1295" s="190"/>
      <c r="AD1295" s="190"/>
      <c r="AE1295" s="190"/>
      <c r="AF1295" s="190"/>
      <c r="AG1295" s="190"/>
      <c r="AH1295" s="190"/>
      <c r="AI1295" s="190"/>
      <c r="AJ1295" s="190"/>
      <c r="AK1295" s="190"/>
      <c r="AL1295" s="190"/>
      <c r="AM1295" s="190"/>
    </row>
    <row r="1296" spans="2:39">
      <c r="B1296" s="162"/>
      <c r="C1296" s="162"/>
      <c r="D1296" s="191"/>
      <c r="E1296" s="191"/>
      <c r="F1296" s="191"/>
      <c r="G1296" s="191"/>
      <c r="H1296" s="191"/>
      <c r="I1296" s="191"/>
      <c r="J1296" s="191"/>
      <c r="K1296" s="191"/>
      <c r="L1296" s="191"/>
      <c r="M1296" s="191"/>
      <c r="N1296" s="191"/>
      <c r="O1296" s="191"/>
      <c r="P1296" s="191"/>
      <c r="Q1296" s="191"/>
      <c r="R1296" s="191"/>
      <c r="S1296" s="191"/>
      <c r="T1296" s="191"/>
      <c r="U1296" s="191"/>
      <c r="V1296" s="191"/>
      <c r="W1296" s="191"/>
      <c r="X1296" s="191"/>
      <c r="Y1296" s="191"/>
      <c r="Z1296" s="191"/>
      <c r="AA1296" s="191"/>
      <c r="AB1296" s="191"/>
      <c r="AC1296" s="190"/>
      <c r="AD1296" s="190"/>
      <c r="AE1296" s="190"/>
      <c r="AF1296" s="190"/>
      <c r="AG1296" s="190"/>
      <c r="AH1296" s="190"/>
      <c r="AI1296" s="190"/>
      <c r="AJ1296" s="190"/>
      <c r="AK1296" s="190"/>
      <c r="AL1296" s="190"/>
      <c r="AM1296" s="190"/>
    </row>
    <row r="1297" spans="2:39">
      <c r="B1297" s="162"/>
      <c r="C1297" s="162"/>
      <c r="D1297" s="191"/>
      <c r="E1297" s="191"/>
      <c r="F1297" s="191"/>
      <c r="G1297" s="191"/>
      <c r="H1297" s="191"/>
      <c r="I1297" s="191"/>
      <c r="J1297" s="191"/>
      <c r="K1297" s="191"/>
      <c r="L1297" s="191"/>
      <c r="M1297" s="191"/>
      <c r="N1297" s="191"/>
      <c r="O1297" s="191"/>
      <c r="P1297" s="191"/>
      <c r="Q1297" s="191"/>
      <c r="R1297" s="191"/>
      <c r="S1297" s="191"/>
      <c r="T1297" s="191"/>
      <c r="U1297" s="191"/>
      <c r="V1297" s="191"/>
      <c r="W1297" s="191"/>
      <c r="X1297" s="191"/>
      <c r="Y1297" s="191"/>
      <c r="Z1297" s="191"/>
      <c r="AA1297" s="191"/>
      <c r="AB1297" s="191"/>
      <c r="AC1297" s="190"/>
      <c r="AD1297" s="190"/>
      <c r="AE1297" s="190"/>
      <c r="AF1297" s="190"/>
      <c r="AG1297" s="190"/>
      <c r="AH1297" s="190"/>
      <c r="AI1297" s="190"/>
      <c r="AJ1297" s="190"/>
      <c r="AK1297" s="190"/>
      <c r="AL1297" s="190"/>
      <c r="AM1297" s="190"/>
    </row>
    <row r="1298" spans="2:39">
      <c r="B1298" s="162"/>
      <c r="C1298" s="162"/>
      <c r="D1298" s="191"/>
      <c r="E1298" s="191"/>
      <c r="F1298" s="191"/>
      <c r="G1298" s="191"/>
      <c r="H1298" s="191"/>
      <c r="I1298" s="191"/>
      <c r="J1298" s="191"/>
      <c r="K1298" s="191"/>
      <c r="L1298" s="191"/>
      <c r="M1298" s="191"/>
      <c r="N1298" s="191"/>
      <c r="O1298" s="191"/>
      <c r="P1298" s="191"/>
      <c r="Q1298" s="191"/>
      <c r="R1298" s="191"/>
      <c r="S1298" s="191"/>
      <c r="T1298" s="191"/>
      <c r="U1298" s="191"/>
      <c r="V1298" s="191"/>
      <c r="W1298" s="191"/>
      <c r="X1298" s="191"/>
      <c r="Y1298" s="191"/>
      <c r="Z1298" s="191"/>
      <c r="AA1298" s="191"/>
      <c r="AB1298" s="191"/>
      <c r="AC1298" s="190"/>
      <c r="AD1298" s="190"/>
      <c r="AE1298" s="190"/>
      <c r="AF1298" s="190"/>
      <c r="AG1298" s="190"/>
      <c r="AH1298" s="190"/>
      <c r="AI1298" s="190"/>
      <c r="AJ1298" s="190"/>
      <c r="AK1298" s="190"/>
      <c r="AL1298" s="190"/>
      <c r="AM1298" s="190"/>
    </row>
    <row r="1299" spans="2:39">
      <c r="B1299" s="162"/>
      <c r="C1299" s="162"/>
      <c r="D1299" s="191"/>
      <c r="E1299" s="191"/>
      <c r="F1299" s="191"/>
      <c r="G1299" s="191"/>
      <c r="H1299" s="191"/>
      <c r="I1299" s="191"/>
      <c r="J1299" s="191"/>
      <c r="K1299" s="191"/>
      <c r="L1299" s="191"/>
      <c r="M1299" s="191"/>
      <c r="N1299" s="191"/>
      <c r="O1299" s="191"/>
      <c r="P1299" s="191"/>
      <c r="Q1299" s="191"/>
      <c r="R1299" s="191"/>
      <c r="S1299" s="191"/>
      <c r="T1299" s="191"/>
      <c r="U1299" s="191"/>
      <c r="V1299" s="191"/>
      <c r="W1299" s="191"/>
      <c r="X1299" s="191"/>
      <c r="Y1299" s="191"/>
      <c r="Z1299" s="191"/>
      <c r="AA1299" s="191"/>
      <c r="AB1299" s="191"/>
      <c r="AC1299" s="190"/>
      <c r="AD1299" s="190"/>
      <c r="AE1299" s="190"/>
      <c r="AF1299" s="190"/>
      <c r="AG1299" s="190"/>
      <c r="AH1299" s="190"/>
      <c r="AI1299" s="190"/>
      <c r="AJ1299" s="190"/>
      <c r="AK1299" s="190"/>
      <c r="AL1299" s="190"/>
      <c r="AM1299" s="190"/>
    </row>
    <row r="1300" spans="2:39">
      <c r="B1300" s="162"/>
      <c r="C1300" s="162"/>
      <c r="D1300" s="191"/>
      <c r="E1300" s="191"/>
      <c r="F1300" s="191"/>
      <c r="G1300" s="191"/>
      <c r="H1300" s="191"/>
      <c r="I1300" s="191"/>
      <c r="J1300" s="191"/>
      <c r="K1300" s="191"/>
      <c r="L1300" s="191"/>
      <c r="M1300" s="191"/>
      <c r="N1300" s="191"/>
      <c r="O1300" s="191"/>
      <c r="P1300" s="191"/>
      <c r="Q1300" s="191"/>
      <c r="R1300" s="191"/>
      <c r="S1300" s="191"/>
      <c r="T1300" s="191"/>
      <c r="U1300" s="191"/>
      <c r="V1300" s="191"/>
      <c r="W1300" s="191"/>
      <c r="X1300" s="191"/>
      <c r="Y1300" s="191"/>
      <c r="Z1300" s="191"/>
      <c r="AA1300" s="191"/>
      <c r="AB1300" s="191"/>
      <c r="AC1300" s="190"/>
      <c r="AD1300" s="190"/>
      <c r="AE1300" s="190"/>
      <c r="AF1300" s="190"/>
      <c r="AG1300" s="190"/>
      <c r="AH1300" s="190"/>
      <c r="AI1300" s="190"/>
      <c r="AJ1300" s="190"/>
      <c r="AK1300" s="190"/>
      <c r="AL1300" s="190"/>
      <c r="AM1300" s="190"/>
    </row>
    <row r="1301" spans="2:39">
      <c r="B1301" s="162"/>
      <c r="C1301" s="162"/>
      <c r="D1301" s="191"/>
      <c r="E1301" s="191"/>
      <c r="F1301" s="191"/>
      <c r="G1301" s="191"/>
      <c r="H1301" s="191"/>
      <c r="I1301" s="191"/>
      <c r="J1301" s="191"/>
      <c r="K1301" s="191"/>
      <c r="L1301" s="191"/>
      <c r="M1301" s="191"/>
      <c r="N1301" s="191"/>
      <c r="O1301" s="191"/>
      <c r="P1301" s="191"/>
      <c r="Q1301" s="191"/>
      <c r="R1301" s="191"/>
      <c r="S1301" s="191"/>
      <c r="T1301" s="191"/>
      <c r="U1301" s="191"/>
      <c r="V1301" s="191"/>
      <c r="W1301" s="191"/>
      <c r="X1301" s="191"/>
      <c r="Y1301" s="191"/>
      <c r="Z1301" s="191"/>
      <c r="AA1301" s="191"/>
      <c r="AB1301" s="191"/>
      <c r="AC1301" s="190"/>
      <c r="AD1301" s="190"/>
      <c r="AE1301" s="190"/>
      <c r="AF1301" s="190"/>
      <c r="AG1301" s="190"/>
      <c r="AH1301" s="190"/>
      <c r="AI1301" s="190"/>
      <c r="AJ1301" s="190"/>
      <c r="AK1301" s="190"/>
      <c r="AL1301" s="190"/>
      <c r="AM1301" s="190"/>
    </row>
    <row r="1302" spans="2:39">
      <c r="B1302" s="162"/>
      <c r="C1302" s="162"/>
      <c r="D1302" s="191"/>
      <c r="E1302" s="191"/>
      <c r="F1302" s="191"/>
      <c r="G1302" s="191"/>
      <c r="H1302" s="191"/>
      <c r="I1302" s="191"/>
      <c r="J1302" s="191"/>
      <c r="K1302" s="191"/>
      <c r="L1302" s="191"/>
      <c r="M1302" s="191"/>
      <c r="N1302" s="191"/>
      <c r="O1302" s="191"/>
      <c r="P1302" s="191"/>
      <c r="Q1302" s="191"/>
      <c r="R1302" s="191"/>
      <c r="S1302" s="191"/>
      <c r="T1302" s="191"/>
      <c r="U1302" s="191"/>
      <c r="V1302" s="191"/>
      <c r="W1302" s="191"/>
      <c r="X1302" s="191"/>
      <c r="Y1302" s="191"/>
      <c r="Z1302" s="191"/>
      <c r="AA1302" s="191"/>
      <c r="AB1302" s="191"/>
      <c r="AC1302" s="190"/>
      <c r="AD1302" s="190"/>
      <c r="AE1302" s="190"/>
      <c r="AF1302" s="190"/>
      <c r="AG1302" s="190"/>
      <c r="AH1302" s="190"/>
      <c r="AI1302" s="190"/>
      <c r="AJ1302" s="190"/>
      <c r="AK1302" s="190"/>
      <c r="AL1302" s="190"/>
      <c r="AM1302" s="190"/>
    </row>
    <row r="1303" spans="2:39">
      <c r="B1303" s="162"/>
      <c r="C1303" s="162"/>
      <c r="D1303" s="191"/>
      <c r="E1303" s="191"/>
      <c r="F1303" s="191"/>
      <c r="G1303" s="191"/>
      <c r="H1303" s="191"/>
      <c r="I1303" s="191"/>
      <c r="J1303" s="191"/>
      <c r="K1303" s="191"/>
      <c r="L1303" s="191"/>
      <c r="M1303" s="191"/>
      <c r="N1303" s="191"/>
      <c r="O1303" s="191"/>
      <c r="P1303" s="191"/>
      <c r="Q1303" s="191"/>
      <c r="R1303" s="191"/>
      <c r="S1303" s="191"/>
      <c r="T1303" s="191"/>
      <c r="U1303" s="191"/>
      <c r="V1303" s="191"/>
      <c r="W1303" s="191"/>
      <c r="X1303" s="191"/>
      <c r="Y1303" s="191"/>
      <c r="Z1303" s="191"/>
      <c r="AA1303" s="191"/>
      <c r="AB1303" s="191"/>
      <c r="AC1303" s="190"/>
      <c r="AD1303" s="190"/>
      <c r="AE1303" s="190"/>
      <c r="AF1303" s="190"/>
      <c r="AG1303" s="190"/>
      <c r="AH1303" s="190"/>
      <c r="AI1303" s="190"/>
      <c r="AJ1303" s="190"/>
      <c r="AK1303" s="190"/>
      <c r="AL1303" s="190"/>
      <c r="AM1303" s="190"/>
    </row>
    <row r="1304" spans="2:39">
      <c r="B1304" s="162"/>
      <c r="C1304" s="162"/>
      <c r="D1304" s="191"/>
      <c r="E1304" s="191"/>
      <c r="F1304" s="191"/>
      <c r="G1304" s="191"/>
      <c r="H1304" s="191"/>
      <c r="I1304" s="191"/>
      <c r="J1304" s="191"/>
      <c r="K1304" s="191"/>
      <c r="L1304" s="191"/>
      <c r="M1304" s="191"/>
      <c r="N1304" s="191"/>
      <c r="O1304" s="191"/>
      <c r="P1304" s="191"/>
      <c r="Q1304" s="191"/>
      <c r="R1304" s="191"/>
      <c r="S1304" s="191"/>
      <c r="T1304" s="191"/>
      <c r="U1304" s="191"/>
      <c r="V1304" s="191"/>
      <c r="W1304" s="191"/>
      <c r="X1304" s="191"/>
      <c r="Y1304" s="191"/>
      <c r="Z1304" s="191"/>
      <c r="AA1304" s="191"/>
      <c r="AB1304" s="191"/>
      <c r="AC1304" s="190"/>
      <c r="AD1304" s="190"/>
      <c r="AE1304" s="190"/>
      <c r="AF1304" s="190"/>
      <c r="AG1304" s="190"/>
      <c r="AH1304" s="190"/>
      <c r="AI1304" s="190"/>
      <c r="AJ1304" s="190"/>
      <c r="AK1304" s="190"/>
      <c r="AL1304" s="190"/>
      <c r="AM1304" s="190"/>
    </row>
    <row r="1305" spans="2:39">
      <c r="B1305" s="162"/>
      <c r="C1305" s="162"/>
      <c r="D1305" s="191"/>
      <c r="E1305" s="191"/>
      <c r="F1305" s="191"/>
      <c r="G1305" s="191"/>
      <c r="H1305" s="191"/>
      <c r="I1305" s="191"/>
      <c r="J1305" s="191"/>
      <c r="K1305" s="191"/>
      <c r="L1305" s="191"/>
      <c r="M1305" s="191"/>
      <c r="N1305" s="191"/>
      <c r="O1305" s="191"/>
      <c r="P1305" s="191"/>
      <c r="Q1305" s="191"/>
      <c r="R1305" s="191"/>
      <c r="S1305" s="191"/>
      <c r="T1305" s="191"/>
      <c r="U1305" s="191"/>
      <c r="V1305" s="191"/>
      <c r="W1305" s="191"/>
      <c r="X1305" s="191"/>
      <c r="Y1305" s="191"/>
      <c r="Z1305" s="191"/>
      <c r="AA1305" s="191"/>
      <c r="AB1305" s="191"/>
      <c r="AC1305" s="190"/>
      <c r="AD1305" s="190"/>
      <c r="AE1305" s="190"/>
      <c r="AF1305" s="190"/>
      <c r="AG1305" s="190"/>
      <c r="AH1305" s="190"/>
      <c r="AI1305" s="190"/>
      <c r="AJ1305" s="190"/>
      <c r="AK1305" s="190"/>
      <c r="AL1305" s="190"/>
      <c r="AM1305" s="190"/>
    </row>
    <row r="1306" spans="2:39">
      <c r="B1306" s="162"/>
      <c r="C1306" s="162"/>
      <c r="D1306" s="191"/>
      <c r="E1306" s="191"/>
      <c r="F1306" s="191"/>
      <c r="G1306" s="191"/>
      <c r="H1306" s="191"/>
      <c r="I1306" s="191"/>
      <c r="J1306" s="191"/>
      <c r="K1306" s="191"/>
      <c r="L1306" s="191"/>
      <c r="M1306" s="191"/>
      <c r="N1306" s="191"/>
      <c r="O1306" s="191"/>
      <c r="P1306" s="191"/>
      <c r="Q1306" s="191"/>
      <c r="R1306" s="191"/>
      <c r="S1306" s="191"/>
      <c r="T1306" s="191"/>
      <c r="U1306" s="191"/>
      <c r="V1306" s="191"/>
      <c r="W1306" s="191"/>
      <c r="X1306" s="191"/>
      <c r="Y1306" s="191"/>
      <c r="Z1306" s="191"/>
      <c r="AA1306" s="191"/>
      <c r="AB1306" s="191"/>
      <c r="AC1306" s="190"/>
      <c r="AD1306" s="190"/>
      <c r="AE1306" s="190"/>
      <c r="AF1306" s="190"/>
      <c r="AG1306" s="190"/>
      <c r="AH1306" s="190"/>
      <c r="AI1306" s="190"/>
      <c r="AJ1306" s="190"/>
      <c r="AK1306" s="190"/>
      <c r="AL1306" s="190"/>
      <c r="AM1306" s="190"/>
    </row>
    <row r="1307" spans="2:39">
      <c r="B1307" s="162"/>
      <c r="C1307" s="162"/>
      <c r="D1307" s="191"/>
      <c r="E1307" s="191"/>
      <c r="F1307" s="191"/>
      <c r="G1307" s="191"/>
      <c r="H1307" s="191"/>
      <c r="I1307" s="191"/>
      <c r="J1307" s="191"/>
      <c r="K1307" s="191"/>
      <c r="L1307" s="191"/>
      <c r="M1307" s="191"/>
      <c r="N1307" s="191"/>
      <c r="O1307" s="191"/>
      <c r="P1307" s="191"/>
      <c r="Q1307" s="191"/>
      <c r="R1307" s="191"/>
      <c r="S1307" s="191"/>
      <c r="T1307" s="191"/>
      <c r="U1307" s="191"/>
      <c r="V1307" s="191"/>
      <c r="W1307" s="191"/>
      <c r="X1307" s="191"/>
      <c r="Y1307" s="191"/>
      <c r="Z1307" s="191"/>
      <c r="AA1307" s="191"/>
      <c r="AB1307" s="191"/>
      <c r="AC1307" s="190"/>
      <c r="AD1307" s="190"/>
      <c r="AE1307" s="190"/>
      <c r="AF1307" s="190"/>
      <c r="AG1307" s="190"/>
      <c r="AH1307" s="190"/>
      <c r="AI1307" s="190"/>
      <c r="AJ1307" s="190"/>
      <c r="AK1307" s="190"/>
      <c r="AL1307" s="190"/>
      <c r="AM1307" s="190"/>
    </row>
    <row r="1308" spans="2:39">
      <c r="B1308" s="162"/>
      <c r="C1308" s="162"/>
      <c r="D1308" s="191"/>
      <c r="E1308" s="191"/>
      <c r="F1308" s="191"/>
      <c r="G1308" s="191"/>
      <c r="H1308" s="191"/>
      <c r="I1308" s="191"/>
      <c r="J1308" s="191"/>
      <c r="K1308" s="191"/>
      <c r="L1308" s="191"/>
      <c r="M1308" s="191"/>
      <c r="N1308" s="191"/>
      <c r="O1308" s="191"/>
      <c r="P1308" s="191"/>
      <c r="Q1308" s="191"/>
      <c r="R1308" s="191"/>
      <c r="S1308" s="191"/>
      <c r="T1308" s="191"/>
      <c r="U1308" s="191"/>
      <c r="V1308" s="191"/>
      <c r="W1308" s="191"/>
      <c r="X1308" s="191"/>
      <c r="Y1308" s="191"/>
      <c r="Z1308" s="191"/>
      <c r="AA1308" s="191"/>
      <c r="AB1308" s="191"/>
      <c r="AC1308" s="190"/>
      <c r="AD1308" s="190"/>
      <c r="AE1308" s="190"/>
      <c r="AF1308" s="190"/>
      <c r="AG1308" s="190"/>
      <c r="AH1308" s="190"/>
      <c r="AI1308" s="190"/>
      <c r="AJ1308" s="190"/>
      <c r="AK1308" s="190"/>
      <c r="AL1308" s="190"/>
      <c r="AM1308" s="190"/>
    </row>
    <row r="1309" spans="2:39">
      <c r="B1309" s="162"/>
      <c r="C1309" s="162"/>
      <c r="D1309" s="191"/>
      <c r="E1309" s="191"/>
      <c r="F1309" s="191"/>
      <c r="G1309" s="191"/>
      <c r="H1309" s="191"/>
      <c r="I1309" s="191"/>
      <c r="J1309" s="191"/>
      <c r="K1309" s="191"/>
      <c r="L1309" s="191"/>
      <c r="M1309" s="191"/>
      <c r="N1309" s="191"/>
      <c r="O1309" s="191"/>
      <c r="P1309" s="191"/>
      <c r="Q1309" s="191"/>
      <c r="R1309" s="191"/>
      <c r="S1309" s="191"/>
      <c r="T1309" s="191"/>
      <c r="U1309" s="191"/>
      <c r="V1309" s="191"/>
      <c r="W1309" s="191"/>
      <c r="X1309" s="191"/>
      <c r="Y1309" s="191"/>
      <c r="Z1309" s="191"/>
      <c r="AA1309" s="191"/>
      <c r="AB1309" s="191"/>
      <c r="AC1309" s="190"/>
      <c r="AD1309" s="190"/>
      <c r="AE1309" s="190"/>
      <c r="AF1309" s="190"/>
      <c r="AG1309" s="190"/>
      <c r="AH1309" s="190"/>
      <c r="AI1309" s="190"/>
      <c r="AJ1309" s="190"/>
      <c r="AK1309" s="190"/>
      <c r="AL1309" s="190"/>
      <c r="AM1309" s="190"/>
    </row>
    <row r="1310" spans="2:39">
      <c r="B1310" s="162"/>
      <c r="C1310" s="162"/>
      <c r="D1310" s="191"/>
      <c r="E1310" s="191"/>
      <c r="F1310" s="191"/>
      <c r="G1310" s="191"/>
      <c r="H1310" s="191"/>
      <c r="I1310" s="191"/>
      <c r="J1310" s="191"/>
      <c r="K1310" s="191"/>
      <c r="L1310" s="191"/>
      <c r="M1310" s="191"/>
      <c r="N1310" s="191"/>
      <c r="O1310" s="191"/>
      <c r="P1310" s="191"/>
      <c r="Q1310" s="191"/>
      <c r="R1310" s="191"/>
      <c r="S1310" s="191"/>
      <c r="T1310" s="191"/>
      <c r="U1310" s="191"/>
      <c r="V1310" s="191"/>
      <c r="W1310" s="191"/>
      <c r="X1310" s="191"/>
      <c r="Y1310" s="191"/>
      <c r="Z1310" s="191"/>
      <c r="AA1310" s="191"/>
      <c r="AB1310" s="191"/>
      <c r="AC1310" s="190"/>
      <c r="AD1310" s="190"/>
      <c r="AE1310" s="190"/>
      <c r="AF1310" s="190"/>
      <c r="AG1310" s="190"/>
      <c r="AH1310" s="190"/>
      <c r="AI1310" s="190"/>
      <c r="AJ1310" s="190"/>
      <c r="AK1310" s="190"/>
      <c r="AL1310" s="190"/>
      <c r="AM1310" s="190"/>
    </row>
    <row r="1311" spans="2:39">
      <c r="B1311" s="162"/>
      <c r="C1311" s="162"/>
      <c r="D1311" s="191"/>
      <c r="E1311" s="191"/>
      <c r="F1311" s="191"/>
      <c r="G1311" s="191"/>
      <c r="H1311" s="191"/>
      <c r="I1311" s="191"/>
      <c r="J1311" s="191"/>
      <c r="K1311" s="191"/>
      <c r="L1311" s="191"/>
      <c r="M1311" s="191"/>
      <c r="N1311" s="191"/>
      <c r="O1311" s="191"/>
      <c r="P1311" s="191"/>
      <c r="Q1311" s="191"/>
      <c r="R1311" s="191"/>
      <c r="S1311" s="191"/>
      <c r="T1311" s="191"/>
      <c r="U1311" s="191"/>
      <c r="V1311" s="191"/>
      <c r="W1311" s="191"/>
      <c r="X1311" s="191"/>
      <c r="Y1311" s="191"/>
      <c r="Z1311" s="191"/>
      <c r="AA1311" s="191"/>
      <c r="AB1311" s="191"/>
      <c r="AC1311" s="190"/>
      <c r="AD1311" s="190"/>
      <c r="AE1311" s="190"/>
      <c r="AF1311" s="190"/>
      <c r="AG1311" s="190"/>
      <c r="AH1311" s="190"/>
      <c r="AI1311" s="190"/>
      <c r="AJ1311" s="190"/>
      <c r="AK1311" s="190"/>
      <c r="AL1311" s="190"/>
      <c r="AM1311" s="190"/>
    </row>
    <row r="1312" spans="2:39">
      <c r="B1312" s="162"/>
      <c r="C1312" s="162"/>
      <c r="D1312" s="191"/>
      <c r="E1312" s="191"/>
      <c r="F1312" s="191"/>
      <c r="G1312" s="191"/>
      <c r="H1312" s="191"/>
      <c r="I1312" s="191"/>
      <c r="J1312" s="191"/>
      <c r="K1312" s="191"/>
      <c r="L1312" s="191"/>
      <c r="M1312" s="191"/>
      <c r="N1312" s="191"/>
      <c r="O1312" s="191"/>
      <c r="P1312" s="191"/>
      <c r="Q1312" s="191"/>
      <c r="R1312" s="191"/>
      <c r="S1312" s="191"/>
      <c r="T1312" s="191"/>
      <c r="U1312" s="191"/>
      <c r="V1312" s="191"/>
      <c r="W1312" s="191"/>
      <c r="X1312" s="191"/>
      <c r="Y1312" s="191"/>
      <c r="Z1312" s="191"/>
      <c r="AA1312" s="191"/>
      <c r="AB1312" s="191"/>
      <c r="AC1312" s="190"/>
      <c r="AD1312" s="190"/>
      <c r="AE1312" s="190"/>
      <c r="AF1312" s="190"/>
      <c r="AG1312" s="190"/>
      <c r="AH1312" s="190"/>
      <c r="AI1312" s="190"/>
      <c r="AJ1312" s="190"/>
      <c r="AK1312" s="190"/>
      <c r="AL1312" s="190"/>
      <c r="AM1312" s="190"/>
    </row>
    <row r="1313" spans="2:39">
      <c r="B1313" s="162"/>
      <c r="C1313" s="162"/>
      <c r="D1313" s="191"/>
      <c r="E1313" s="191"/>
      <c r="F1313" s="191"/>
      <c r="G1313" s="191"/>
      <c r="H1313" s="191"/>
      <c r="I1313" s="191"/>
      <c r="J1313" s="191"/>
      <c r="K1313" s="191"/>
      <c r="L1313" s="191"/>
      <c r="M1313" s="191"/>
      <c r="N1313" s="191"/>
      <c r="O1313" s="191"/>
      <c r="P1313" s="191"/>
      <c r="Q1313" s="191"/>
      <c r="R1313" s="191"/>
      <c r="S1313" s="191"/>
      <c r="T1313" s="191"/>
      <c r="U1313" s="191"/>
      <c r="V1313" s="191"/>
      <c r="W1313" s="191"/>
      <c r="X1313" s="191"/>
      <c r="Y1313" s="191"/>
      <c r="Z1313" s="191"/>
      <c r="AA1313" s="191"/>
      <c r="AB1313" s="191"/>
      <c r="AC1313" s="190"/>
      <c r="AD1313" s="190"/>
      <c r="AE1313" s="190"/>
      <c r="AF1313" s="190"/>
      <c r="AG1313" s="190"/>
      <c r="AH1313" s="190"/>
      <c r="AI1313" s="190"/>
      <c r="AJ1313" s="190"/>
      <c r="AK1313" s="190"/>
      <c r="AL1313" s="190"/>
      <c r="AM1313" s="190"/>
    </row>
    <row r="1314" spans="2:39">
      <c r="B1314" s="162"/>
      <c r="C1314" s="162"/>
      <c r="D1314" s="191"/>
      <c r="E1314" s="191"/>
      <c r="F1314" s="191"/>
      <c r="G1314" s="191"/>
      <c r="H1314" s="191"/>
      <c r="I1314" s="191"/>
      <c r="J1314" s="191"/>
      <c r="K1314" s="191"/>
      <c r="L1314" s="191"/>
      <c r="M1314" s="191"/>
      <c r="N1314" s="191"/>
      <c r="O1314" s="191"/>
      <c r="P1314" s="191"/>
      <c r="Q1314" s="191"/>
      <c r="R1314" s="191"/>
      <c r="S1314" s="191"/>
      <c r="T1314" s="191"/>
      <c r="U1314" s="191"/>
      <c r="V1314" s="191"/>
      <c r="W1314" s="191"/>
      <c r="X1314" s="191"/>
      <c r="Y1314" s="191"/>
      <c r="Z1314" s="191"/>
      <c r="AA1314" s="191"/>
      <c r="AB1314" s="191"/>
      <c r="AC1314" s="190"/>
      <c r="AD1314" s="190"/>
      <c r="AE1314" s="190"/>
      <c r="AF1314" s="190"/>
      <c r="AG1314" s="190"/>
      <c r="AH1314" s="190"/>
      <c r="AI1314" s="190"/>
      <c r="AJ1314" s="190"/>
      <c r="AK1314" s="190"/>
      <c r="AL1314" s="190"/>
      <c r="AM1314" s="190"/>
    </row>
    <row r="1315" spans="2:39">
      <c r="B1315" s="162"/>
      <c r="C1315" s="162"/>
      <c r="D1315" s="191"/>
      <c r="E1315" s="191"/>
      <c r="F1315" s="191"/>
      <c r="G1315" s="191"/>
      <c r="H1315" s="191"/>
      <c r="I1315" s="191"/>
      <c r="J1315" s="191"/>
      <c r="K1315" s="191"/>
      <c r="L1315" s="191"/>
      <c r="M1315" s="191"/>
      <c r="N1315" s="191"/>
      <c r="O1315" s="191"/>
      <c r="P1315" s="191"/>
      <c r="Q1315" s="191"/>
      <c r="R1315" s="191"/>
      <c r="S1315" s="191"/>
      <c r="T1315" s="191"/>
      <c r="U1315" s="191"/>
      <c r="V1315" s="191"/>
      <c r="W1315" s="191"/>
      <c r="X1315" s="191"/>
      <c r="Y1315" s="191"/>
      <c r="Z1315" s="191"/>
      <c r="AA1315" s="191"/>
      <c r="AB1315" s="191"/>
      <c r="AC1315" s="190"/>
      <c r="AD1315" s="190"/>
      <c r="AE1315" s="190"/>
      <c r="AF1315" s="190"/>
      <c r="AG1315" s="190"/>
      <c r="AH1315" s="190"/>
      <c r="AI1315" s="190"/>
      <c r="AJ1315" s="190"/>
      <c r="AK1315" s="190"/>
      <c r="AL1315" s="190"/>
      <c r="AM1315" s="190"/>
    </row>
    <row r="1316" spans="2:39">
      <c r="B1316" s="162"/>
      <c r="C1316" s="162"/>
      <c r="D1316" s="191"/>
      <c r="E1316" s="191"/>
      <c r="F1316" s="191"/>
      <c r="G1316" s="191"/>
      <c r="H1316" s="191"/>
      <c r="I1316" s="191"/>
      <c r="J1316" s="191"/>
      <c r="K1316" s="191"/>
      <c r="L1316" s="191"/>
      <c r="M1316" s="191"/>
      <c r="N1316" s="191"/>
      <c r="O1316" s="191"/>
      <c r="P1316" s="191"/>
      <c r="Q1316" s="191"/>
      <c r="R1316" s="191"/>
      <c r="S1316" s="191"/>
      <c r="T1316" s="191"/>
      <c r="U1316" s="191"/>
      <c r="V1316" s="191"/>
      <c r="W1316" s="191"/>
      <c r="X1316" s="191"/>
      <c r="Y1316" s="191"/>
      <c r="Z1316" s="191"/>
      <c r="AA1316" s="191"/>
      <c r="AB1316" s="191"/>
      <c r="AC1316" s="190"/>
      <c r="AD1316" s="190"/>
      <c r="AE1316" s="190"/>
      <c r="AF1316" s="190"/>
      <c r="AG1316" s="190"/>
      <c r="AH1316" s="190"/>
      <c r="AI1316" s="190"/>
      <c r="AJ1316" s="190"/>
      <c r="AK1316" s="190"/>
      <c r="AL1316" s="190"/>
      <c r="AM1316" s="190"/>
    </row>
    <row r="1317" spans="2:39">
      <c r="B1317" s="162"/>
      <c r="C1317" s="162"/>
      <c r="D1317" s="191"/>
      <c r="E1317" s="191"/>
      <c r="F1317" s="191"/>
      <c r="G1317" s="191"/>
      <c r="H1317" s="191"/>
      <c r="I1317" s="191"/>
      <c r="J1317" s="191"/>
      <c r="K1317" s="191"/>
      <c r="L1317" s="191"/>
      <c r="M1317" s="191"/>
      <c r="N1317" s="191"/>
      <c r="O1317" s="191"/>
      <c r="P1317" s="191"/>
      <c r="Q1317" s="191"/>
      <c r="R1317" s="191"/>
      <c r="S1317" s="191"/>
      <c r="T1317" s="191"/>
      <c r="U1317" s="191"/>
      <c r="V1317" s="191"/>
      <c r="W1317" s="191"/>
      <c r="X1317" s="191"/>
      <c r="Y1317" s="191"/>
      <c r="Z1317" s="191"/>
      <c r="AA1317" s="191"/>
      <c r="AB1317" s="191"/>
      <c r="AC1317" s="190"/>
      <c r="AD1317" s="190"/>
      <c r="AE1317" s="190"/>
      <c r="AF1317" s="190"/>
      <c r="AG1317" s="190"/>
      <c r="AH1317" s="190"/>
      <c r="AI1317" s="190"/>
      <c r="AJ1317" s="190"/>
      <c r="AK1317" s="190"/>
      <c r="AL1317" s="190"/>
      <c r="AM1317" s="190"/>
    </row>
    <row r="1318" spans="2:39">
      <c r="B1318" s="162"/>
      <c r="C1318" s="162"/>
      <c r="D1318" s="191"/>
      <c r="E1318" s="191"/>
      <c r="F1318" s="191"/>
      <c r="G1318" s="191"/>
      <c r="H1318" s="191"/>
      <c r="I1318" s="191"/>
      <c r="J1318" s="191"/>
      <c r="K1318" s="191"/>
      <c r="L1318" s="191"/>
      <c r="M1318" s="191"/>
      <c r="N1318" s="191"/>
      <c r="O1318" s="191"/>
      <c r="P1318" s="191"/>
      <c r="Q1318" s="191"/>
      <c r="R1318" s="191"/>
      <c r="S1318" s="191"/>
      <c r="T1318" s="191"/>
      <c r="U1318" s="191"/>
      <c r="V1318" s="191"/>
      <c r="W1318" s="191"/>
      <c r="X1318" s="191"/>
      <c r="Y1318" s="191"/>
      <c r="Z1318" s="191"/>
      <c r="AA1318" s="191"/>
      <c r="AB1318" s="191"/>
      <c r="AC1318" s="190"/>
      <c r="AD1318" s="190"/>
      <c r="AE1318" s="190"/>
      <c r="AF1318" s="190"/>
      <c r="AG1318" s="190"/>
      <c r="AH1318" s="190"/>
      <c r="AI1318" s="190"/>
      <c r="AJ1318" s="190"/>
      <c r="AK1318" s="190"/>
      <c r="AL1318" s="190"/>
      <c r="AM1318" s="190"/>
    </row>
    <row r="1319" spans="2:39">
      <c r="B1319" s="162"/>
      <c r="C1319" s="162"/>
      <c r="D1319" s="191"/>
      <c r="E1319" s="191"/>
      <c r="F1319" s="191"/>
      <c r="G1319" s="191"/>
      <c r="H1319" s="191"/>
      <c r="I1319" s="191"/>
      <c r="J1319" s="191"/>
      <c r="K1319" s="191"/>
      <c r="L1319" s="191"/>
      <c r="M1319" s="191"/>
      <c r="N1319" s="191"/>
      <c r="O1319" s="191"/>
      <c r="P1319" s="191"/>
      <c r="Q1319" s="191"/>
      <c r="R1319" s="191"/>
      <c r="S1319" s="191"/>
      <c r="T1319" s="191"/>
      <c r="U1319" s="191"/>
      <c r="V1319" s="191"/>
      <c r="W1319" s="191"/>
      <c r="X1319" s="191"/>
      <c r="Y1319" s="191"/>
      <c r="Z1319" s="191"/>
      <c r="AA1319" s="191"/>
      <c r="AB1319" s="191"/>
      <c r="AC1319" s="190"/>
      <c r="AD1319" s="190"/>
      <c r="AE1319" s="190"/>
      <c r="AF1319" s="190"/>
      <c r="AG1319" s="190"/>
      <c r="AH1319" s="190"/>
      <c r="AI1319" s="190"/>
      <c r="AJ1319" s="190"/>
      <c r="AK1319" s="190"/>
      <c r="AL1319" s="190"/>
      <c r="AM1319" s="190"/>
    </row>
    <row r="1320" spans="2:39">
      <c r="B1320" s="162"/>
      <c r="C1320" s="162"/>
      <c r="D1320" s="191"/>
      <c r="E1320" s="191"/>
      <c r="F1320" s="191"/>
      <c r="G1320" s="191"/>
      <c r="H1320" s="191"/>
      <c r="I1320" s="191"/>
      <c r="J1320" s="191"/>
      <c r="K1320" s="191"/>
      <c r="L1320" s="191"/>
      <c r="M1320" s="191"/>
      <c r="N1320" s="191"/>
      <c r="O1320" s="191"/>
      <c r="P1320" s="191"/>
      <c r="Q1320" s="191"/>
      <c r="R1320" s="191"/>
      <c r="S1320" s="191"/>
      <c r="T1320" s="191"/>
      <c r="U1320" s="191"/>
      <c r="V1320" s="191"/>
      <c r="W1320" s="191"/>
      <c r="X1320" s="191"/>
      <c r="Y1320" s="191"/>
      <c r="Z1320" s="191"/>
      <c r="AA1320" s="191"/>
      <c r="AB1320" s="191"/>
      <c r="AC1320" s="190"/>
      <c r="AD1320" s="190"/>
      <c r="AE1320" s="190"/>
      <c r="AF1320" s="190"/>
      <c r="AG1320" s="190"/>
      <c r="AH1320" s="190"/>
      <c r="AI1320" s="190"/>
      <c r="AJ1320" s="190"/>
      <c r="AK1320" s="190"/>
      <c r="AL1320" s="190"/>
      <c r="AM1320" s="190"/>
    </row>
    <row r="1321" spans="2:39">
      <c r="B1321" s="162"/>
      <c r="C1321" s="162"/>
      <c r="D1321" s="191"/>
      <c r="E1321" s="191"/>
      <c r="F1321" s="191"/>
      <c r="G1321" s="191"/>
      <c r="H1321" s="191"/>
      <c r="I1321" s="191"/>
      <c r="J1321" s="191"/>
      <c r="K1321" s="191"/>
      <c r="L1321" s="191"/>
      <c r="M1321" s="191"/>
      <c r="N1321" s="191"/>
      <c r="O1321" s="191"/>
      <c r="P1321" s="191"/>
      <c r="Q1321" s="191"/>
      <c r="R1321" s="191"/>
      <c r="S1321" s="191"/>
      <c r="T1321" s="191"/>
      <c r="U1321" s="191"/>
      <c r="V1321" s="191"/>
      <c r="W1321" s="191"/>
      <c r="X1321" s="191"/>
      <c r="Y1321" s="191"/>
      <c r="Z1321" s="191"/>
      <c r="AA1321" s="191"/>
      <c r="AB1321" s="191"/>
      <c r="AC1321" s="190"/>
      <c r="AD1321" s="190"/>
      <c r="AE1321" s="190"/>
      <c r="AF1321" s="190"/>
      <c r="AG1321" s="190"/>
      <c r="AH1321" s="190"/>
      <c r="AI1321" s="190"/>
      <c r="AJ1321" s="190"/>
      <c r="AK1321" s="190"/>
      <c r="AL1321" s="190"/>
      <c r="AM1321" s="190"/>
    </row>
    <row r="1322" spans="2:39">
      <c r="B1322" s="162"/>
      <c r="C1322" s="162"/>
      <c r="D1322" s="191"/>
      <c r="E1322" s="191"/>
      <c r="F1322" s="191"/>
      <c r="G1322" s="191"/>
      <c r="H1322" s="191"/>
      <c r="I1322" s="191"/>
      <c r="J1322" s="191"/>
      <c r="K1322" s="191"/>
      <c r="L1322" s="191"/>
      <c r="M1322" s="191"/>
      <c r="N1322" s="191"/>
      <c r="O1322" s="191"/>
      <c r="P1322" s="191"/>
      <c r="Q1322" s="191"/>
      <c r="R1322" s="191"/>
      <c r="S1322" s="191"/>
      <c r="T1322" s="191"/>
      <c r="U1322" s="191"/>
      <c r="V1322" s="191"/>
      <c r="W1322" s="191"/>
      <c r="X1322" s="191"/>
      <c r="Y1322" s="191"/>
      <c r="Z1322" s="191"/>
      <c r="AA1322" s="191"/>
      <c r="AB1322" s="191"/>
      <c r="AC1322" s="190"/>
      <c r="AD1322" s="190"/>
      <c r="AE1322" s="190"/>
      <c r="AF1322" s="190"/>
      <c r="AG1322" s="190"/>
      <c r="AH1322" s="190"/>
      <c r="AI1322" s="190"/>
      <c r="AJ1322" s="190"/>
      <c r="AK1322" s="190"/>
      <c r="AL1322" s="190"/>
      <c r="AM1322" s="190"/>
    </row>
    <row r="1323" spans="2:39">
      <c r="B1323" s="162"/>
      <c r="C1323" s="162"/>
      <c r="D1323" s="191"/>
      <c r="E1323" s="191"/>
      <c r="F1323" s="191"/>
      <c r="G1323" s="191"/>
      <c r="H1323" s="191"/>
      <c r="I1323" s="191"/>
      <c r="J1323" s="191"/>
      <c r="K1323" s="191"/>
      <c r="L1323" s="191"/>
      <c r="M1323" s="191"/>
      <c r="N1323" s="191"/>
      <c r="O1323" s="191"/>
      <c r="P1323" s="191"/>
      <c r="Q1323" s="191"/>
      <c r="R1323" s="191"/>
      <c r="S1323" s="191"/>
      <c r="T1323" s="191"/>
      <c r="U1323" s="191"/>
      <c r="V1323" s="191"/>
      <c r="W1323" s="191"/>
      <c r="X1323" s="191"/>
      <c r="Y1323" s="191"/>
      <c r="Z1323" s="191"/>
      <c r="AA1323" s="191"/>
      <c r="AB1323" s="191"/>
      <c r="AC1323" s="190"/>
      <c r="AD1323" s="190"/>
      <c r="AE1323" s="190"/>
      <c r="AF1323" s="190"/>
      <c r="AG1323" s="190"/>
      <c r="AH1323" s="190"/>
      <c r="AI1323" s="190"/>
      <c r="AJ1323" s="190"/>
      <c r="AK1323" s="190"/>
      <c r="AL1323" s="190"/>
      <c r="AM1323" s="190"/>
    </row>
    <row r="1324" spans="2:39">
      <c r="B1324" s="162"/>
      <c r="C1324" s="162"/>
      <c r="D1324" s="191"/>
      <c r="E1324" s="191"/>
      <c r="F1324" s="191"/>
      <c r="G1324" s="191"/>
      <c r="H1324" s="191"/>
      <c r="I1324" s="191"/>
      <c r="J1324" s="191"/>
      <c r="K1324" s="191"/>
      <c r="L1324" s="191"/>
      <c r="M1324" s="191"/>
      <c r="N1324" s="191"/>
      <c r="O1324" s="191"/>
      <c r="P1324" s="191"/>
      <c r="Q1324" s="191"/>
      <c r="R1324" s="191"/>
      <c r="S1324" s="191"/>
      <c r="T1324" s="191"/>
      <c r="U1324" s="191"/>
      <c r="V1324" s="191"/>
      <c r="W1324" s="191"/>
      <c r="X1324" s="191"/>
      <c r="Y1324" s="191"/>
      <c r="Z1324" s="191"/>
      <c r="AA1324" s="191"/>
      <c r="AB1324" s="191"/>
      <c r="AC1324" s="190"/>
      <c r="AD1324" s="190"/>
      <c r="AE1324" s="190"/>
      <c r="AF1324" s="190"/>
      <c r="AG1324" s="190"/>
      <c r="AH1324" s="190"/>
      <c r="AI1324" s="190"/>
      <c r="AJ1324" s="190"/>
      <c r="AK1324" s="190"/>
      <c r="AL1324" s="190"/>
      <c r="AM1324" s="190"/>
    </row>
    <row r="1325" spans="2:39">
      <c r="B1325" s="162"/>
      <c r="C1325" s="162"/>
      <c r="D1325" s="191"/>
      <c r="E1325" s="191"/>
      <c r="F1325" s="191"/>
      <c r="G1325" s="191"/>
      <c r="H1325" s="191"/>
      <c r="I1325" s="191"/>
      <c r="J1325" s="191"/>
      <c r="K1325" s="191"/>
      <c r="L1325" s="191"/>
      <c r="M1325" s="191"/>
      <c r="N1325" s="191"/>
      <c r="O1325" s="191"/>
      <c r="P1325" s="191"/>
      <c r="Q1325" s="191"/>
      <c r="R1325" s="191"/>
      <c r="S1325" s="191"/>
      <c r="T1325" s="191"/>
      <c r="U1325" s="191"/>
      <c r="V1325" s="191"/>
      <c r="W1325" s="191"/>
      <c r="X1325" s="191"/>
      <c r="Y1325" s="191"/>
      <c r="Z1325" s="191"/>
      <c r="AA1325" s="191"/>
      <c r="AB1325" s="191"/>
      <c r="AC1325" s="190"/>
      <c r="AD1325" s="190"/>
      <c r="AE1325" s="190"/>
      <c r="AF1325" s="190"/>
      <c r="AG1325" s="190"/>
      <c r="AH1325" s="190"/>
      <c r="AI1325" s="190"/>
      <c r="AJ1325" s="190"/>
      <c r="AK1325" s="190"/>
      <c r="AL1325" s="190"/>
      <c r="AM1325" s="190"/>
    </row>
    <row r="1326" spans="2:39">
      <c r="B1326" s="162"/>
      <c r="C1326" s="162"/>
      <c r="D1326" s="191"/>
      <c r="E1326" s="191"/>
      <c r="F1326" s="191"/>
      <c r="G1326" s="191"/>
      <c r="H1326" s="191"/>
      <c r="I1326" s="191"/>
      <c r="J1326" s="191"/>
      <c r="K1326" s="191"/>
      <c r="L1326" s="191"/>
      <c r="M1326" s="191"/>
      <c r="N1326" s="191"/>
      <c r="O1326" s="191"/>
      <c r="P1326" s="191"/>
      <c r="Q1326" s="191"/>
      <c r="R1326" s="191"/>
      <c r="S1326" s="191"/>
      <c r="T1326" s="191"/>
      <c r="U1326" s="191"/>
      <c r="V1326" s="191"/>
      <c r="W1326" s="191"/>
      <c r="X1326" s="191"/>
      <c r="Y1326" s="191"/>
      <c r="Z1326" s="191"/>
      <c r="AA1326" s="191"/>
      <c r="AB1326" s="191"/>
      <c r="AC1326" s="190"/>
      <c r="AD1326" s="190"/>
      <c r="AE1326" s="190"/>
      <c r="AF1326" s="190"/>
      <c r="AG1326" s="190"/>
      <c r="AH1326" s="190"/>
      <c r="AI1326" s="190"/>
      <c r="AJ1326" s="190"/>
      <c r="AK1326" s="190"/>
      <c r="AL1326" s="190"/>
      <c r="AM1326" s="190"/>
    </row>
    <row r="1327" spans="2:39">
      <c r="B1327" s="162"/>
      <c r="C1327" s="162"/>
      <c r="D1327" s="191"/>
      <c r="E1327" s="191"/>
      <c r="F1327" s="191"/>
      <c r="G1327" s="191"/>
      <c r="H1327" s="191"/>
      <c r="I1327" s="191"/>
      <c r="J1327" s="191"/>
      <c r="K1327" s="191"/>
      <c r="L1327" s="191"/>
      <c r="M1327" s="191"/>
      <c r="N1327" s="191"/>
      <c r="O1327" s="191"/>
      <c r="P1327" s="191"/>
      <c r="Q1327" s="191"/>
      <c r="R1327" s="191"/>
      <c r="S1327" s="191"/>
      <c r="T1327" s="191"/>
      <c r="U1327" s="191"/>
      <c r="V1327" s="191"/>
      <c r="W1327" s="191"/>
      <c r="X1327" s="191"/>
      <c r="Y1327" s="191"/>
      <c r="Z1327" s="191"/>
      <c r="AA1327" s="191"/>
      <c r="AB1327" s="191"/>
      <c r="AC1327" s="190"/>
      <c r="AD1327" s="190"/>
      <c r="AE1327" s="190"/>
      <c r="AF1327" s="190"/>
      <c r="AG1327" s="190"/>
      <c r="AH1327" s="190"/>
      <c r="AI1327" s="190"/>
      <c r="AJ1327" s="190"/>
      <c r="AK1327" s="190"/>
      <c r="AL1327" s="190"/>
      <c r="AM1327" s="190"/>
    </row>
    <row r="1328" spans="2:39">
      <c r="B1328" s="162"/>
      <c r="C1328" s="162"/>
      <c r="D1328" s="191"/>
      <c r="E1328" s="191"/>
      <c r="F1328" s="191"/>
      <c r="G1328" s="191"/>
      <c r="H1328" s="191"/>
      <c r="I1328" s="191"/>
      <c r="J1328" s="191"/>
      <c r="K1328" s="191"/>
      <c r="L1328" s="191"/>
      <c r="M1328" s="191"/>
      <c r="N1328" s="191"/>
      <c r="O1328" s="191"/>
      <c r="P1328" s="191"/>
      <c r="Q1328" s="191"/>
      <c r="R1328" s="191"/>
      <c r="S1328" s="191"/>
      <c r="T1328" s="191"/>
      <c r="U1328" s="191"/>
      <c r="V1328" s="191"/>
      <c r="W1328" s="191"/>
      <c r="X1328" s="191"/>
      <c r="Y1328" s="191"/>
      <c r="Z1328" s="191"/>
      <c r="AA1328" s="191"/>
      <c r="AB1328" s="191"/>
      <c r="AC1328" s="190"/>
      <c r="AD1328" s="190"/>
      <c r="AE1328" s="190"/>
      <c r="AF1328" s="190"/>
      <c r="AG1328" s="190"/>
      <c r="AH1328" s="190"/>
      <c r="AI1328" s="190"/>
      <c r="AJ1328" s="190"/>
      <c r="AK1328" s="190"/>
      <c r="AL1328" s="190"/>
      <c r="AM1328" s="190"/>
    </row>
    <row r="1329" spans="2:39">
      <c r="B1329" s="162"/>
      <c r="C1329" s="162"/>
      <c r="D1329" s="191"/>
      <c r="E1329" s="191"/>
      <c r="F1329" s="191"/>
      <c r="G1329" s="191"/>
      <c r="H1329" s="191"/>
      <c r="I1329" s="191"/>
      <c r="J1329" s="191"/>
      <c r="K1329" s="191"/>
      <c r="L1329" s="191"/>
      <c r="M1329" s="191"/>
      <c r="N1329" s="191"/>
      <c r="O1329" s="191"/>
      <c r="P1329" s="191"/>
      <c r="Q1329" s="191"/>
      <c r="R1329" s="191"/>
      <c r="S1329" s="191"/>
      <c r="T1329" s="191"/>
      <c r="U1329" s="191"/>
      <c r="V1329" s="191"/>
      <c r="W1329" s="191"/>
      <c r="X1329" s="191"/>
      <c r="Y1329" s="191"/>
      <c r="Z1329" s="191"/>
      <c r="AA1329" s="191"/>
      <c r="AB1329" s="191"/>
      <c r="AC1329" s="190"/>
      <c r="AD1329" s="190"/>
      <c r="AE1329" s="190"/>
      <c r="AF1329" s="190"/>
      <c r="AG1329" s="190"/>
      <c r="AH1329" s="190"/>
      <c r="AI1329" s="190"/>
      <c r="AJ1329" s="190"/>
      <c r="AK1329" s="190"/>
      <c r="AL1329" s="190"/>
      <c r="AM1329" s="190"/>
    </row>
    <row r="1330" spans="2:39">
      <c r="B1330" s="162"/>
      <c r="C1330" s="162"/>
      <c r="D1330" s="191"/>
      <c r="E1330" s="191"/>
      <c r="F1330" s="191"/>
      <c r="G1330" s="191"/>
      <c r="H1330" s="191"/>
      <c r="I1330" s="191"/>
      <c r="J1330" s="191"/>
      <c r="K1330" s="191"/>
      <c r="L1330" s="191"/>
      <c r="M1330" s="191"/>
      <c r="N1330" s="191"/>
      <c r="O1330" s="191"/>
      <c r="P1330" s="191"/>
      <c r="Q1330" s="191"/>
      <c r="R1330" s="191"/>
      <c r="S1330" s="191"/>
      <c r="T1330" s="191"/>
      <c r="U1330" s="191"/>
      <c r="V1330" s="191"/>
      <c r="W1330" s="191"/>
      <c r="X1330" s="191"/>
      <c r="Y1330" s="191"/>
      <c r="Z1330" s="191"/>
      <c r="AA1330" s="191"/>
      <c r="AB1330" s="191"/>
      <c r="AC1330" s="190"/>
      <c r="AD1330" s="190"/>
      <c r="AE1330" s="190"/>
      <c r="AF1330" s="190"/>
      <c r="AG1330" s="190"/>
      <c r="AH1330" s="190"/>
      <c r="AI1330" s="190"/>
      <c r="AJ1330" s="190"/>
      <c r="AK1330" s="190"/>
      <c r="AL1330" s="190"/>
      <c r="AM1330" s="190"/>
    </row>
    <row r="1331" spans="2:39">
      <c r="B1331" s="162"/>
      <c r="C1331" s="162"/>
      <c r="D1331" s="191"/>
      <c r="E1331" s="191"/>
      <c r="F1331" s="191"/>
      <c r="G1331" s="191"/>
      <c r="H1331" s="191"/>
      <c r="I1331" s="191"/>
      <c r="J1331" s="191"/>
      <c r="K1331" s="191"/>
      <c r="L1331" s="191"/>
      <c r="M1331" s="191"/>
      <c r="N1331" s="191"/>
      <c r="O1331" s="191"/>
      <c r="P1331" s="191"/>
      <c r="Q1331" s="191"/>
      <c r="R1331" s="191"/>
      <c r="S1331" s="191"/>
      <c r="T1331" s="191"/>
      <c r="U1331" s="191"/>
      <c r="V1331" s="191"/>
      <c r="W1331" s="191"/>
      <c r="X1331" s="191"/>
      <c r="Y1331" s="191"/>
      <c r="Z1331" s="191"/>
      <c r="AA1331" s="191"/>
      <c r="AB1331" s="191"/>
      <c r="AC1331" s="190"/>
      <c r="AD1331" s="190"/>
      <c r="AE1331" s="190"/>
      <c r="AF1331" s="190"/>
      <c r="AG1331" s="190"/>
      <c r="AH1331" s="190"/>
      <c r="AI1331" s="190"/>
      <c r="AJ1331" s="190"/>
      <c r="AK1331" s="190"/>
      <c r="AL1331" s="190"/>
      <c r="AM1331" s="190"/>
    </row>
    <row r="1332" spans="2:39">
      <c r="B1332" s="162"/>
      <c r="C1332" s="162"/>
      <c r="D1332" s="191"/>
      <c r="E1332" s="191"/>
      <c r="F1332" s="191"/>
      <c r="G1332" s="191"/>
      <c r="H1332" s="191"/>
      <c r="I1332" s="191"/>
      <c r="J1332" s="191"/>
      <c r="K1332" s="191"/>
      <c r="L1332" s="191"/>
      <c r="M1332" s="191"/>
      <c r="N1332" s="191"/>
      <c r="O1332" s="191"/>
      <c r="P1332" s="191"/>
      <c r="Q1332" s="191"/>
      <c r="R1332" s="191"/>
      <c r="S1332" s="191"/>
      <c r="T1332" s="191"/>
      <c r="U1332" s="191"/>
      <c r="V1332" s="191"/>
      <c r="W1332" s="191"/>
      <c r="X1332" s="191"/>
      <c r="Y1332" s="191"/>
      <c r="Z1332" s="191"/>
      <c r="AA1332" s="191"/>
      <c r="AB1332" s="191"/>
      <c r="AC1332" s="190"/>
      <c r="AD1332" s="190"/>
      <c r="AE1332" s="190"/>
      <c r="AF1332" s="190"/>
      <c r="AG1332" s="190"/>
      <c r="AH1332" s="190"/>
      <c r="AI1332" s="190"/>
      <c r="AJ1332" s="190"/>
      <c r="AK1332" s="190"/>
      <c r="AL1332" s="190"/>
      <c r="AM1332" s="190"/>
    </row>
    <row r="1333" spans="2:39">
      <c r="B1333" s="162"/>
      <c r="C1333" s="162"/>
      <c r="D1333" s="191"/>
      <c r="E1333" s="191"/>
      <c r="F1333" s="191"/>
      <c r="G1333" s="191"/>
      <c r="H1333" s="191"/>
      <c r="I1333" s="191"/>
      <c r="J1333" s="191"/>
      <c r="K1333" s="191"/>
      <c r="L1333" s="191"/>
      <c r="M1333" s="191"/>
      <c r="N1333" s="191"/>
      <c r="O1333" s="191"/>
      <c r="P1333" s="191"/>
      <c r="Q1333" s="191"/>
      <c r="R1333" s="191"/>
      <c r="S1333" s="191"/>
      <c r="T1333" s="191"/>
      <c r="U1333" s="191"/>
      <c r="V1333" s="191"/>
      <c r="W1333" s="191"/>
      <c r="X1333" s="191"/>
      <c r="Y1333" s="191"/>
      <c r="Z1333" s="191"/>
      <c r="AA1333" s="191"/>
      <c r="AB1333" s="191"/>
      <c r="AC1333" s="190"/>
      <c r="AD1333" s="190"/>
      <c r="AE1333" s="190"/>
      <c r="AF1333" s="190"/>
      <c r="AG1333" s="190"/>
      <c r="AH1333" s="190"/>
      <c r="AI1333" s="190"/>
      <c r="AJ1333" s="190"/>
      <c r="AK1333" s="190"/>
      <c r="AL1333" s="190"/>
      <c r="AM1333" s="190"/>
    </row>
    <row r="1334" spans="2:39">
      <c r="B1334" s="162"/>
      <c r="C1334" s="162"/>
      <c r="D1334" s="191"/>
      <c r="E1334" s="191"/>
      <c r="F1334" s="191"/>
      <c r="G1334" s="191"/>
      <c r="H1334" s="191"/>
      <c r="I1334" s="191"/>
      <c r="J1334" s="191"/>
      <c r="K1334" s="191"/>
      <c r="L1334" s="191"/>
      <c r="M1334" s="191"/>
      <c r="N1334" s="191"/>
      <c r="O1334" s="191"/>
      <c r="P1334" s="191"/>
      <c r="Q1334" s="191"/>
      <c r="R1334" s="191"/>
      <c r="S1334" s="191"/>
      <c r="T1334" s="191"/>
      <c r="U1334" s="191"/>
      <c r="V1334" s="191"/>
      <c r="W1334" s="191"/>
      <c r="X1334" s="191"/>
      <c r="Y1334" s="191"/>
      <c r="Z1334" s="191"/>
      <c r="AA1334" s="191"/>
      <c r="AB1334" s="191"/>
      <c r="AC1334" s="190"/>
      <c r="AD1334" s="190"/>
      <c r="AE1334" s="190"/>
      <c r="AF1334" s="190"/>
      <c r="AG1334" s="190"/>
      <c r="AH1334" s="190"/>
      <c r="AI1334" s="190"/>
      <c r="AJ1334" s="190"/>
      <c r="AK1334" s="190"/>
      <c r="AL1334" s="190"/>
      <c r="AM1334" s="190"/>
    </row>
    <row r="1335" spans="2:39">
      <c r="B1335" s="162"/>
      <c r="C1335" s="162"/>
      <c r="D1335" s="191"/>
      <c r="E1335" s="191"/>
      <c r="F1335" s="191"/>
      <c r="G1335" s="191"/>
      <c r="H1335" s="191"/>
      <c r="I1335" s="191"/>
      <c r="J1335" s="191"/>
      <c r="K1335" s="191"/>
      <c r="L1335" s="191"/>
      <c r="M1335" s="191"/>
      <c r="N1335" s="191"/>
      <c r="O1335" s="191"/>
      <c r="P1335" s="191"/>
      <c r="Q1335" s="191"/>
      <c r="R1335" s="191"/>
      <c r="S1335" s="191"/>
      <c r="T1335" s="191"/>
      <c r="U1335" s="191"/>
      <c r="V1335" s="191"/>
      <c r="W1335" s="191"/>
      <c r="X1335" s="191"/>
      <c r="Y1335" s="191"/>
      <c r="Z1335" s="191"/>
      <c r="AA1335" s="191"/>
      <c r="AB1335" s="191"/>
      <c r="AC1335" s="190"/>
      <c r="AD1335" s="190"/>
      <c r="AE1335" s="190"/>
      <c r="AF1335" s="190"/>
      <c r="AG1335" s="190"/>
      <c r="AH1335" s="190"/>
      <c r="AI1335" s="190"/>
      <c r="AJ1335" s="190"/>
      <c r="AK1335" s="190"/>
      <c r="AL1335" s="190"/>
      <c r="AM1335" s="190"/>
    </row>
    <row r="1336" spans="2:39">
      <c r="B1336" s="162"/>
      <c r="C1336" s="162"/>
      <c r="D1336" s="191"/>
      <c r="E1336" s="191"/>
      <c r="F1336" s="191"/>
      <c r="G1336" s="191"/>
      <c r="H1336" s="191"/>
      <c r="I1336" s="191"/>
      <c r="J1336" s="191"/>
      <c r="K1336" s="191"/>
      <c r="L1336" s="191"/>
      <c r="M1336" s="191"/>
      <c r="N1336" s="191"/>
      <c r="O1336" s="191"/>
      <c r="P1336" s="191"/>
      <c r="Q1336" s="191"/>
      <c r="R1336" s="191"/>
      <c r="S1336" s="191"/>
      <c r="T1336" s="191"/>
      <c r="U1336" s="191"/>
      <c r="V1336" s="191"/>
      <c r="W1336" s="191"/>
      <c r="X1336" s="191"/>
      <c r="Y1336" s="191"/>
      <c r="Z1336" s="191"/>
      <c r="AA1336" s="191"/>
      <c r="AB1336" s="191"/>
      <c r="AC1336" s="190"/>
      <c r="AD1336" s="190"/>
      <c r="AE1336" s="190"/>
      <c r="AF1336" s="190"/>
      <c r="AG1336" s="190"/>
      <c r="AH1336" s="190"/>
      <c r="AI1336" s="190"/>
      <c r="AJ1336" s="190"/>
      <c r="AK1336" s="190"/>
      <c r="AL1336" s="190"/>
      <c r="AM1336" s="190"/>
    </row>
    <row r="1337" spans="2:39">
      <c r="B1337" s="162"/>
      <c r="C1337" s="162"/>
      <c r="D1337" s="191"/>
      <c r="E1337" s="191"/>
      <c r="F1337" s="191"/>
      <c r="G1337" s="191"/>
      <c r="H1337" s="191"/>
      <c r="I1337" s="191"/>
      <c r="J1337" s="191"/>
      <c r="K1337" s="191"/>
      <c r="L1337" s="191"/>
      <c r="M1337" s="191"/>
      <c r="N1337" s="191"/>
      <c r="O1337" s="191"/>
      <c r="P1337" s="191"/>
      <c r="Q1337" s="191"/>
      <c r="R1337" s="191"/>
      <c r="S1337" s="191"/>
      <c r="T1337" s="191"/>
      <c r="U1337" s="191"/>
      <c r="V1337" s="191"/>
      <c r="W1337" s="191"/>
      <c r="X1337" s="191"/>
      <c r="Y1337" s="191"/>
      <c r="Z1337" s="191"/>
      <c r="AA1337" s="191"/>
      <c r="AB1337" s="191"/>
      <c r="AC1337" s="190"/>
      <c r="AD1337" s="190"/>
      <c r="AE1337" s="190"/>
      <c r="AF1337" s="190"/>
      <c r="AG1337" s="190"/>
      <c r="AH1337" s="190"/>
      <c r="AI1337" s="190"/>
      <c r="AJ1337" s="190"/>
      <c r="AK1337" s="190"/>
      <c r="AL1337" s="190"/>
      <c r="AM1337" s="190"/>
    </row>
    <row r="1338" spans="2:39">
      <c r="B1338" s="162"/>
      <c r="C1338" s="162"/>
      <c r="D1338" s="191"/>
      <c r="E1338" s="191"/>
      <c r="F1338" s="191"/>
      <c r="G1338" s="191"/>
      <c r="H1338" s="191"/>
      <c r="I1338" s="191"/>
      <c r="J1338" s="191"/>
      <c r="K1338" s="191"/>
      <c r="L1338" s="191"/>
      <c r="M1338" s="191"/>
      <c r="N1338" s="191"/>
      <c r="O1338" s="191"/>
      <c r="P1338" s="191"/>
      <c r="Q1338" s="191"/>
      <c r="R1338" s="191"/>
      <c r="S1338" s="191"/>
      <c r="T1338" s="191"/>
      <c r="U1338" s="191"/>
      <c r="V1338" s="191"/>
      <c r="W1338" s="191"/>
      <c r="X1338" s="191"/>
      <c r="Y1338" s="191"/>
      <c r="Z1338" s="191"/>
      <c r="AA1338" s="191"/>
      <c r="AB1338" s="191"/>
      <c r="AC1338" s="190"/>
      <c r="AD1338" s="190"/>
      <c r="AE1338" s="190"/>
      <c r="AF1338" s="190"/>
      <c r="AG1338" s="190"/>
      <c r="AH1338" s="190"/>
      <c r="AI1338" s="190"/>
      <c r="AJ1338" s="190"/>
      <c r="AK1338" s="190"/>
      <c r="AL1338" s="190"/>
      <c r="AM1338" s="190"/>
    </row>
    <row r="1339" spans="2:39">
      <c r="B1339" s="162"/>
      <c r="C1339" s="162"/>
      <c r="D1339" s="191"/>
      <c r="E1339" s="191"/>
      <c r="F1339" s="191"/>
      <c r="G1339" s="191"/>
      <c r="H1339" s="191"/>
      <c r="I1339" s="191"/>
      <c r="J1339" s="191"/>
      <c r="K1339" s="191"/>
      <c r="L1339" s="191"/>
      <c r="M1339" s="191"/>
      <c r="N1339" s="191"/>
      <c r="O1339" s="191"/>
      <c r="P1339" s="191"/>
      <c r="Q1339" s="191"/>
      <c r="R1339" s="191"/>
      <c r="S1339" s="191"/>
      <c r="T1339" s="191"/>
      <c r="U1339" s="191"/>
      <c r="V1339" s="191"/>
      <c r="W1339" s="191"/>
      <c r="X1339" s="191"/>
      <c r="Y1339" s="191"/>
      <c r="Z1339" s="191"/>
      <c r="AA1339" s="191"/>
      <c r="AB1339" s="191"/>
      <c r="AC1339" s="190"/>
      <c r="AD1339" s="190"/>
      <c r="AE1339" s="190"/>
      <c r="AF1339" s="190"/>
      <c r="AG1339" s="190"/>
      <c r="AH1339" s="190"/>
      <c r="AI1339" s="190"/>
      <c r="AJ1339" s="190"/>
      <c r="AK1339" s="190"/>
      <c r="AL1339" s="190"/>
      <c r="AM1339" s="190"/>
    </row>
    <row r="1340" spans="2:39">
      <c r="B1340" s="162"/>
      <c r="C1340" s="162"/>
      <c r="D1340" s="191"/>
      <c r="E1340" s="191"/>
      <c r="F1340" s="191"/>
      <c r="G1340" s="191"/>
      <c r="H1340" s="191"/>
      <c r="I1340" s="191"/>
      <c r="J1340" s="191"/>
      <c r="K1340" s="191"/>
      <c r="L1340" s="191"/>
      <c r="M1340" s="191"/>
      <c r="N1340" s="191"/>
      <c r="O1340" s="191"/>
      <c r="P1340" s="191"/>
      <c r="Q1340" s="191"/>
      <c r="R1340" s="191"/>
      <c r="S1340" s="191"/>
      <c r="T1340" s="191"/>
      <c r="U1340" s="191"/>
      <c r="V1340" s="191"/>
      <c r="W1340" s="191"/>
      <c r="X1340" s="191"/>
      <c r="Y1340" s="191"/>
      <c r="Z1340" s="191"/>
      <c r="AA1340" s="191"/>
      <c r="AB1340" s="191"/>
      <c r="AC1340" s="190"/>
      <c r="AD1340" s="190"/>
      <c r="AE1340" s="190"/>
      <c r="AF1340" s="190"/>
      <c r="AG1340" s="190"/>
      <c r="AH1340" s="190"/>
      <c r="AI1340" s="190"/>
      <c r="AJ1340" s="190"/>
      <c r="AK1340" s="190"/>
      <c r="AL1340" s="190"/>
      <c r="AM1340" s="190"/>
    </row>
    <row r="1341" spans="2:39">
      <c r="B1341" s="162"/>
      <c r="C1341" s="162"/>
      <c r="D1341" s="191"/>
      <c r="E1341" s="191"/>
      <c r="F1341" s="191"/>
      <c r="G1341" s="191"/>
      <c r="H1341" s="191"/>
      <c r="I1341" s="191"/>
      <c r="J1341" s="191"/>
      <c r="K1341" s="191"/>
      <c r="L1341" s="191"/>
      <c r="M1341" s="191"/>
      <c r="N1341" s="191"/>
      <c r="O1341" s="191"/>
      <c r="P1341" s="191"/>
      <c r="Q1341" s="191"/>
      <c r="R1341" s="191"/>
      <c r="S1341" s="191"/>
      <c r="T1341" s="191"/>
      <c r="U1341" s="191"/>
      <c r="V1341" s="191"/>
      <c r="W1341" s="191"/>
      <c r="X1341" s="191"/>
      <c r="Y1341" s="191"/>
      <c r="Z1341" s="191"/>
      <c r="AA1341" s="191"/>
      <c r="AB1341" s="191"/>
      <c r="AC1341" s="190"/>
      <c r="AD1341" s="190"/>
      <c r="AE1341" s="190"/>
      <c r="AF1341" s="190"/>
      <c r="AG1341" s="190"/>
      <c r="AH1341" s="190"/>
      <c r="AI1341" s="190"/>
      <c r="AJ1341" s="190"/>
      <c r="AK1341" s="190"/>
      <c r="AL1341" s="190"/>
      <c r="AM1341" s="190"/>
    </row>
    <row r="1342" spans="2:39">
      <c r="B1342" s="162"/>
      <c r="C1342" s="162"/>
      <c r="D1342" s="191"/>
      <c r="E1342" s="191"/>
      <c r="F1342" s="191"/>
      <c r="G1342" s="191"/>
      <c r="H1342" s="191"/>
      <c r="I1342" s="191"/>
      <c r="J1342" s="191"/>
      <c r="K1342" s="191"/>
      <c r="L1342" s="191"/>
      <c r="M1342" s="191"/>
      <c r="N1342" s="191"/>
      <c r="O1342" s="191"/>
      <c r="P1342" s="191"/>
      <c r="Q1342" s="191"/>
      <c r="R1342" s="191"/>
      <c r="S1342" s="191"/>
      <c r="T1342" s="191"/>
      <c r="U1342" s="191"/>
      <c r="V1342" s="191"/>
      <c r="W1342" s="191"/>
      <c r="X1342" s="191"/>
      <c r="Y1342" s="191"/>
      <c r="Z1342" s="191"/>
      <c r="AA1342" s="191"/>
      <c r="AB1342" s="191"/>
      <c r="AC1342" s="190"/>
      <c r="AD1342" s="190"/>
      <c r="AE1342" s="190"/>
      <c r="AF1342" s="190"/>
      <c r="AG1342" s="190"/>
      <c r="AH1342" s="190"/>
      <c r="AI1342" s="190"/>
      <c r="AJ1342" s="190"/>
      <c r="AK1342" s="190"/>
      <c r="AL1342" s="190"/>
      <c r="AM1342" s="190"/>
    </row>
    <row r="1343" spans="2:39">
      <c r="B1343" s="162"/>
      <c r="C1343" s="162"/>
      <c r="D1343" s="191"/>
      <c r="E1343" s="191"/>
      <c r="F1343" s="191"/>
      <c r="G1343" s="191"/>
      <c r="H1343" s="191"/>
      <c r="I1343" s="191"/>
      <c r="J1343" s="191"/>
      <c r="K1343" s="191"/>
      <c r="L1343" s="191"/>
      <c r="M1343" s="191"/>
      <c r="N1343" s="191"/>
      <c r="O1343" s="191"/>
      <c r="P1343" s="191"/>
      <c r="Q1343" s="191"/>
      <c r="R1343" s="191"/>
      <c r="S1343" s="191"/>
      <c r="T1343" s="191"/>
      <c r="U1343" s="191"/>
      <c r="V1343" s="191"/>
      <c r="W1343" s="191"/>
      <c r="X1343" s="191"/>
      <c r="Y1343" s="191"/>
      <c r="Z1343" s="191"/>
      <c r="AA1343" s="191"/>
      <c r="AB1343" s="191"/>
      <c r="AC1343" s="190"/>
      <c r="AD1343" s="190"/>
      <c r="AE1343" s="190"/>
      <c r="AF1343" s="190"/>
      <c r="AG1343" s="190"/>
      <c r="AH1343" s="190"/>
      <c r="AI1343" s="190"/>
      <c r="AJ1343" s="190"/>
      <c r="AK1343" s="190"/>
      <c r="AL1343" s="190"/>
      <c r="AM1343" s="190"/>
    </row>
    <row r="1344" spans="2:39">
      <c r="B1344" s="162"/>
      <c r="C1344" s="162"/>
      <c r="D1344" s="191"/>
      <c r="E1344" s="191"/>
      <c r="F1344" s="191"/>
      <c r="G1344" s="191"/>
      <c r="H1344" s="191"/>
      <c r="I1344" s="191"/>
      <c r="J1344" s="191"/>
      <c r="K1344" s="191"/>
      <c r="L1344" s="191"/>
      <c r="M1344" s="191"/>
      <c r="N1344" s="191"/>
      <c r="O1344" s="191"/>
      <c r="P1344" s="191"/>
      <c r="Q1344" s="191"/>
      <c r="R1344" s="191"/>
      <c r="S1344" s="191"/>
      <c r="T1344" s="191"/>
      <c r="U1344" s="191"/>
      <c r="V1344" s="191"/>
      <c r="W1344" s="191"/>
      <c r="X1344" s="191"/>
      <c r="Y1344" s="191"/>
      <c r="Z1344" s="191"/>
      <c r="AA1344" s="191"/>
      <c r="AB1344" s="191"/>
      <c r="AC1344" s="190"/>
      <c r="AD1344" s="190"/>
      <c r="AE1344" s="190"/>
      <c r="AF1344" s="190"/>
      <c r="AG1344" s="190"/>
      <c r="AH1344" s="190"/>
      <c r="AI1344" s="190"/>
      <c r="AJ1344" s="190"/>
      <c r="AK1344" s="190"/>
      <c r="AL1344" s="190"/>
      <c r="AM1344" s="190"/>
    </row>
    <row r="1345" spans="2:39">
      <c r="B1345" s="162"/>
      <c r="C1345" s="162"/>
      <c r="D1345" s="191"/>
      <c r="E1345" s="191"/>
      <c r="F1345" s="191"/>
      <c r="G1345" s="191"/>
      <c r="H1345" s="191"/>
      <c r="I1345" s="191"/>
      <c r="J1345" s="191"/>
      <c r="K1345" s="191"/>
      <c r="L1345" s="191"/>
      <c r="M1345" s="191"/>
      <c r="N1345" s="191"/>
      <c r="O1345" s="191"/>
      <c r="P1345" s="191"/>
      <c r="Q1345" s="191"/>
      <c r="R1345" s="191"/>
      <c r="S1345" s="191"/>
      <c r="T1345" s="191"/>
      <c r="U1345" s="191"/>
      <c r="V1345" s="191"/>
      <c r="W1345" s="191"/>
      <c r="X1345" s="191"/>
      <c r="Y1345" s="191"/>
      <c r="Z1345" s="191"/>
      <c r="AA1345" s="191"/>
      <c r="AB1345" s="191"/>
      <c r="AC1345" s="190"/>
      <c r="AD1345" s="190"/>
      <c r="AE1345" s="190"/>
      <c r="AF1345" s="190"/>
      <c r="AG1345" s="190"/>
      <c r="AH1345" s="190"/>
      <c r="AI1345" s="190"/>
      <c r="AJ1345" s="190"/>
      <c r="AK1345" s="190"/>
      <c r="AL1345" s="190"/>
      <c r="AM1345" s="190"/>
    </row>
    <row r="1346" spans="2:39">
      <c r="B1346" s="162"/>
      <c r="C1346" s="162"/>
      <c r="D1346" s="191"/>
      <c r="E1346" s="191"/>
      <c r="F1346" s="191"/>
      <c r="G1346" s="191"/>
      <c r="H1346" s="191"/>
      <c r="I1346" s="191"/>
      <c r="J1346" s="191"/>
      <c r="K1346" s="191"/>
      <c r="L1346" s="191"/>
      <c r="M1346" s="191"/>
      <c r="N1346" s="191"/>
      <c r="O1346" s="191"/>
      <c r="P1346" s="191"/>
      <c r="Q1346" s="191"/>
      <c r="R1346" s="191"/>
      <c r="S1346" s="191"/>
      <c r="T1346" s="191"/>
      <c r="U1346" s="191"/>
      <c r="V1346" s="191"/>
      <c r="W1346" s="191"/>
      <c r="X1346" s="191"/>
      <c r="Y1346" s="191"/>
      <c r="Z1346" s="191"/>
      <c r="AA1346" s="191"/>
      <c r="AB1346" s="191"/>
      <c r="AC1346" s="190"/>
      <c r="AD1346" s="190"/>
      <c r="AE1346" s="190"/>
      <c r="AF1346" s="190"/>
      <c r="AG1346" s="190"/>
      <c r="AH1346" s="190"/>
      <c r="AI1346" s="190"/>
      <c r="AJ1346" s="190"/>
      <c r="AK1346" s="190"/>
      <c r="AL1346" s="190"/>
      <c r="AM1346" s="190"/>
    </row>
    <row r="1347" spans="2:39">
      <c r="B1347" s="162"/>
      <c r="C1347" s="162"/>
      <c r="D1347" s="191"/>
      <c r="E1347" s="191"/>
      <c r="F1347" s="191"/>
      <c r="G1347" s="191"/>
      <c r="H1347" s="191"/>
      <c r="I1347" s="191"/>
      <c r="J1347" s="191"/>
      <c r="K1347" s="191"/>
      <c r="L1347" s="191"/>
      <c r="M1347" s="191"/>
      <c r="N1347" s="191"/>
      <c r="O1347" s="191"/>
      <c r="P1347" s="191"/>
      <c r="Q1347" s="191"/>
      <c r="R1347" s="191"/>
      <c r="S1347" s="191"/>
      <c r="T1347" s="191"/>
      <c r="U1347" s="191"/>
      <c r="V1347" s="191"/>
      <c r="W1347" s="191"/>
      <c r="X1347" s="191"/>
      <c r="Y1347" s="191"/>
      <c r="Z1347" s="191"/>
      <c r="AA1347" s="191"/>
      <c r="AB1347" s="191"/>
      <c r="AC1347" s="190"/>
      <c r="AD1347" s="190"/>
      <c r="AE1347" s="190"/>
      <c r="AF1347" s="190"/>
      <c r="AG1347" s="190"/>
      <c r="AH1347" s="190"/>
      <c r="AI1347" s="190"/>
      <c r="AJ1347" s="190"/>
      <c r="AK1347" s="190"/>
      <c r="AL1347" s="190"/>
      <c r="AM1347" s="190"/>
    </row>
    <row r="1348" spans="2:39">
      <c r="B1348" s="162"/>
      <c r="C1348" s="162"/>
      <c r="D1348" s="191"/>
      <c r="E1348" s="191"/>
      <c r="F1348" s="191"/>
      <c r="G1348" s="191"/>
      <c r="H1348" s="191"/>
      <c r="I1348" s="191"/>
      <c r="J1348" s="191"/>
      <c r="K1348" s="191"/>
      <c r="L1348" s="191"/>
      <c r="M1348" s="191"/>
      <c r="N1348" s="191"/>
      <c r="O1348" s="191"/>
      <c r="P1348" s="191"/>
      <c r="Q1348" s="191"/>
      <c r="R1348" s="191"/>
      <c r="S1348" s="191"/>
      <c r="T1348" s="191"/>
      <c r="U1348" s="191"/>
      <c r="V1348" s="191"/>
      <c r="W1348" s="191"/>
      <c r="X1348" s="191"/>
      <c r="Y1348" s="191"/>
      <c r="Z1348" s="191"/>
      <c r="AA1348" s="191"/>
      <c r="AB1348" s="191"/>
      <c r="AC1348" s="190"/>
      <c r="AD1348" s="190"/>
      <c r="AE1348" s="190"/>
      <c r="AF1348" s="190"/>
      <c r="AG1348" s="190"/>
      <c r="AH1348" s="190"/>
      <c r="AI1348" s="190"/>
      <c r="AJ1348" s="190"/>
      <c r="AK1348" s="190"/>
      <c r="AL1348" s="190"/>
      <c r="AM1348" s="190"/>
    </row>
    <row r="1349" spans="2:39">
      <c r="B1349" s="162"/>
      <c r="C1349" s="162"/>
      <c r="D1349" s="191"/>
      <c r="E1349" s="191"/>
      <c r="F1349" s="191"/>
      <c r="G1349" s="191"/>
      <c r="H1349" s="191"/>
      <c r="I1349" s="191"/>
      <c r="J1349" s="191"/>
      <c r="K1349" s="191"/>
      <c r="L1349" s="191"/>
      <c r="M1349" s="191"/>
      <c r="N1349" s="191"/>
      <c r="O1349" s="191"/>
      <c r="P1349" s="191"/>
      <c r="Q1349" s="191"/>
      <c r="R1349" s="191"/>
      <c r="S1349" s="191"/>
      <c r="T1349" s="191"/>
      <c r="U1349" s="191"/>
      <c r="V1349" s="191"/>
      <c r="W1349" s="191"/>
      <c r="X1349" s="191"/>
      <c r="Y1349" s="191"/>
      <c r="Z1349" s="191"/>
      <c r="AA1349" s="191"/>
      <c r="AB1349" s="191"/>
      <c r="AC1349" s="190"/>
      <c r="AD1349" s="190"/>
      <c r="AE1349" s="190"/>
      <c r="AF1349" s="190"/>
      <c r="AG1349" s="190"/>
      <c r="AH1349" s="190"/>
      <c r="AI1349" s="190"/>
      <c r="AJ1349" s="190"/>
      <c r="AK1349" s="190"/>
      <c r="AL1349" s="190"/>
      <c r="AM1349" s="190"/>
    </row>
    <row r="1350" spans="2:39">
      <c r="B1350" s="162"/>
      <c r="C1350" s="162"/>
      <c r="D1350" s="191"/>
      <c r="E1350" s="191"/>
      <c r="F1350" s="191"/>
      <c r="G1350" s="191"/>
      <c r="H1350" s="191"/>
      <c r="I1350" s="191"/>
      <c r="J1350" s="191"/>
      <c r="K1350" s="191"/>
      <c r="L1350" s="191"/>
      <c r="M1350" s="191"/>
      <c r="N1350" s="191"/>
      <c r="O1350" s="191"/>
      <c r="P1350" s="191"/>
      <c r="Q1350" s="191"/>
      <c r="R1350" s="191"/>
      <c r="S1350" s="191"/>
      <c r="T1350" s="191"/>
      <c r="U1350" s="191"/>
      <c r="V1350" s="191"/>
      <c r="W1350" s="191"/>
      <c r="X1350" s="191"/>
      <c r="Y1350" s="191"/>
      <c r="Z1350" s="191"/>
      <c r="AA1350" s="191"/>
      <c r="AB1350" s="191"/>
      <c r="AC1350" s="190"/>
      <c r="AD1350" s="190"/>
      <c r="AE1350" s="190"/>
      <c r="AF1350" s="190"/>
      <c r="AG1350" s="190"/>
      <c r="AH1350" s="190"/>
      <c r="AI1350" s="190"/>
      <c r="AJ1350" s="190"/>
      <c r="AK1350" s="190"/>
      <c r="AL1350" s="190"/>
      <c r="AM1350" s="190"/>
    </row>
    <row r="1351" spans="2:39">
      <c r="B1351" s="162"/>
      <c r="C1351" s="162"/>
      <c r="D1351" s="191"/>
      <c r="E1351" s="191"/>
      <c r="F1351" s="191"/>
      <c r="G1351" s="191"/>
      <c r="H1351" s="191"/>
      <c r="I1351" s="191"/>
      <c r="J1351" s="191"/>
      <c r="K1351" s="191"/>
      <c r="L1351" s="191"/>
      <c r="M1351" s="191"/>
      <c r="N1351" s="191"/>
      <c r="O1351" s="191"/>
      <c r="P1351" s="191"/>
      <c r="Q1351" s="191"/>
      <c r="R1351" s="191"/>
      <c r="S1351" s="191"/>
      <c r="T1351" s="191"/>
      <c r="U1351" s="191"/>
      <c r="V1351" s="191"/>
      <c r="W1351" s="191"/>
      <c r="X1351" s="191"/>
      <c r="Y1351" s="191"/>
      <c r="Z1351" s="191"/>
      <c r="AA1351" s="191"/>
      <c r="AB1351" s="191"/>
      <c r="AC1351" s="190"/>
      <c r="AD1351" s="190"/>
      <c r="AE1351" s="190"/>
      <c r="AF1351" s="190"/>
      <c r="AG1351" s="190"/>
      <c r="AH1351" s="190"/>
      <c r="AI1351" s="190"/>
      <c r="AJ1351" s="190"/>
      <c r="AK1351" s="190"/>
      <c r="AL1351" s="190"/>
      <c r="AM1351" s="190"/>
    </row>
    <row r="1352" spans="2:39">
      <c r="B1352" s="162"/>
      <c r="C1352" s="162"/>
      <c r="D1352" s="191"/>
      <c r="E1352" s="191"/>
      <c r="F1352" s="191"/>
      <c r="G1352" s="191"/>
      <c r="H1352" s="191"/>
      <c r="I1352" s="191"/>
      <c r="J1352" s="191"/>
      <c r="K1352" s="191"/>
      <c r="L1352" s="191"/>
      <c r="M1352" s="191"/>
      <c r="N1352" s="191"/>
      <c r="O1352" s="191"/>
      <c r="P1352" s="191"/>
      <c r="Q1352" s="191"/>
      <c r="R1352" s="191"/>
      <c r="S1352" s="191"/>
      <c r="T1352" s="191"/>
      <c r="U1352" s="191"/>
      <c r="V1352" s="191"/>
      <c r="W1352" s="191"/>
      <c r="X1352" s="191"/>
      <c r="Y1352" s="191"/>
      <c r="Z1352" s="191"/>
      <c r="AA1352" s="191"/>
      <c r="AB1352" s="191"/>
      <c r="AC1352" s="190"/>
      <c r="AD1352" s="190"/>
      <c r="AE1352" s="190"/>
      <c r="AF1352" s="190"/>
      <c r="AG1352" s="190"/>
      <c r="AH1352" s="190"/>
      <c r="AI1352" s="190"/>
      <c r="AJ1352" s="190"/>
      <c r="AK1352" s="190"/>
      <c r="AL1352" s="190"/>
      <c r="AM1352" s="190"/>
    </row>
    <row r="1353" spans="2:39">
      <c r="B1353" s="162"/>
      <c r="C1353" s="162"/>
      <c r="D1353" s="191"/>
      <c r="E1353" s="191"/>
      <c r="F1353" s="191"/>
      <c r="G1353" s="191"/>
      <c r="H1353" s="191"/>
      <c r="I1353" s="191"/>
      <c r="J1353" s="191"/>
      <c r="K1353" s="191"/>
      <c r="L1353" s="191"/>
      <c r="M1353" s="191"/>
      <c r="N1353" s="191"/>
      <c r="O1353" s="191"/>
      <c r="P1353" s="191"/>
      <c r="Q1353" s="191"/>
      <c r="R1353" s="191"/>
      <c r="S1353" s="191"/>
      <c r="T1353" s="191"/>
      <c r="U1353" s="191"/>
      <c r="V1353" s="191"/>
      <c r="W1353" s="191"/>
      <c r="X1353" s="191"/>
      <c r="Y1353" s="191"/>
      <c r="Z1353" s="191"/>
      <c r="AA1353" s="191"/>
      <c r="AB1353" s="191"/>
      <c r="AC1353" s="190"/>
      <c r="AD1353" s="190"/>
      <c r="AE1353" s="190"/>
      <c r="AF1353" s="190"/>
      <c r="AG1353" s="190"/>
      <c r="AH1353" s="190"/>
      <c r="AI1353" s="190"/>
      <c r="AJ1353" s="190"/>
      <c r="AK1353" s="190"/>
      <c r="AL1353" s="190"/>
      <c r="AM1353" s="190"/>
    </row>
    <row r="1354" spans="2:39">
      <c r="B1354" s="162"/>
      <c r="C1354" s="162"/>
      <c r="D1354" s="191"/>
      <c r="E1354" s="191"/>
      <c r="F1354" s="191"/>
      <c r="G1354" s="191"/>
      <c r="H1354" s="191"/>
      <c r="I1354" s="191"/>
      <c r="J1354" s="191"/>
      <c r="K1354" s="191"/>
      <c r="L1354" s="191"/>
      <c r="M1354" s="191"/>
      <c r="N1354" s="191"/>
      <c r="O1354" s="191"/>
      <c r="P1354" s="191"/>
      <c r="Q1354" s="191"/>
      <c r="R1354" s="191"/>
      <c r="S1354" s="191"/>
      <c r="T1354" s="191"/>
      <c r="U1354" s="191"/>
      <c r="V1354" s="191"/>
      <c r="W1354" s="191"/>
      <c r="X1354" s="191"/>
      <c r="Y1354" s="191"/>
      <c r="Z1354" s="191"/>
      <c r="AA1354" s="191"/>
      <c r="AB1354" s="191"/>
      <c r="AC1354" s="190"/>
      <c r="AD1354" s="190"/>
      <c r="AE1354" s="190"/>
      <c r="AF1354" s="190"/>
      <c r="AG1354" s="190"/>
      <c r="AH1354" s="190"/>
      <c r="AI1354" s="190"/>
      <c r="AJ1354" s="190"/>
      <c r="AK1354" s="190"/>
      <c r="AL1354" s="190"/>
      <c r="AM1354" s="190"/>
    </row>
    <row r="1355" spans="2:39">
      <c r="B1355" s="162"/>
      <c r="C1355" s="162"/>
      <c r="D1355" s="191"/>
      <c r="E1355" s="191"/>
      <c r="F1355" s="191"/>
      <c r="G1355" s="191"/>
      <c r="H1355" s="191"/>
      <c r="I1355" s="191"/>
      <c r="J1355" s="191"/>
      <c r="K1355" s="191"/>
      <c r="L1355" s="191"/>
      <c r="M1355" s="191"/>
      <c r="N1355" s="191"/>
      <c r="O1355" s="191"/>
      <c r="P1355" s="191"/>
      <c r="Q1355" s="191"/>
      <c r="R1355" s="191"/>
      <c r="S1355" s="191"/>
      <c r="T1355" s="191"/>
      <c r="U1355" s="191"/>
      <c r="V1355" s="191"/>
      <c r="W1355" s="191"/>
      <c r="X1355" s="191"/>
      <c r="Y1355" s="191"/>
      <c r="Z1355" s="191"/>
      <c r="AA1355" s="191"/>
      <c r="AB1355" s="191"/>
      <c r="AC1355" s="190"/>
      <c r="AD1355" s="190"/>
      <c r="AE1355" s="190"/>
      <c r="AF1355" s="190"/>
      <c r="AG1355" s="190"/>
      <c r="AH1355" s="190"/>
      <c r="AI1355" s="190"/>
      <c r="AJ1355" s="190"/>
      <c r="AK1355" s="190"/>
      <c r="AL1355" s="190"/>
      <c r="AM1355" s="190"/>
    </row>
    <row r="1356" spans="2:39">
      <c r="B1356" s="162"/>
      <c r="C1356" s="162"/>
      <c r="D1356" s="191"/>
      <c r="E1356" s="191"/>
      <c r="F1356" s="191"/>
      <c r="G1356" s="191"/>
      <c r="H1356" s="191"/>
      <c r="I1356" s="191"/>
      <c r="J1356" s="191"/>
      <c r="K1356" s="191"/>
      <c r="L1356" s="191"/>
      <c r="M1356" s="191"/>
      <c r="N1356" s="191"/>
      <c r="O1356" s="191"/>
      <c r="P1356" s="191"/>
      <c r="Q1356" s="191"/>
      <c r="R1356" s="191"/>
      <c r="S1356" s="191"/>
      <c r="T1356" s="191"/>
      <c r="U1356" s="191"/>
      <c r="V1356" s="191"/>
      <c r="W1356" s="191"/>
      <c r="X1356" s="191"/>
      <c r="Y1356" s="191"/>
      <c r="Z1356" s="191"/>
      <c r="AA1356" s="191"/>
      <c r="AB1356" s="191"/>
      <c r="AC1356" s="190"/>
      <c r="AD1356" s="190"/>
      <c r="AE1356" s="190"/>
      <c r="AF1356" s="190"/>
      <c r="AG1356" s="190"/>
      <c r="AH1356" s="190"/>
      <c r="AI1356" s="190"/>
      <c r="AJ1356" s="190"/>
      <c r="AK1356" s="190"/>
      <c r="AL1356" s="190"/>
      <c r="AM1356" s="190"/>
    </row>
    <row r="1357" spans="2:39">
      <c r="B1357" s="162"/>
      <c r="C1357" s="162"/>
      <c r="D1357" s="191"/>
      <c r="E1357" s="191"/>
      <c r="F1357" s="191"/>
      <c r="G1357" s="191"/>
      <c r="H1357" s="191"/>
      <c r="I1357" s="191"/>
      <c r="J1357" s="191"/>
      <c r="K1357" s="191"/>
      <c r="L1357" s="191"/>
      <c r="M1357" s="191"/>
      <c r="N1357" s="191"/>
      <c r="O1357" s="191"/>
      <c r="P1357" s="191"/>
      <c r="Q1357" s="191"/>
      <c r="R1357" s="191"/>
      <c r="S1357" s="191"/>
      <c r="T1357" s="191"/>
      <c r="U1357" s="191"/>
      <c r="V1357" s="191"/>
      <c r="W1357" s="191"/>
      <c r="X1357" s="191"/>
      <c r="Y1357" s="191"/>
      <c r="Z1357" s="191"/>
      <c r="AA1357" s="191"/>
      <c r="AB1357" s="191"/>
      <c r="AC1357" s="190"/>
      <c r="AD1357" s="190"/>
      <c r="AE1357" s="190"/>
      <c r="AF1357" s="190"/>
      <c r="AG1357" s="190"/>
      <c r="AH1357" s="190"/>
      <c r="AI1357" s="190"/>
      <c r="AJ1357" s="190"/>
      <c r="AK1357" s="190"/>
      <c r="AL1357" s="190"/>
      <c r="AM1357" s="190"/>
    </row>
    <row r="1358" spans="2:39">
      <c r="B1358" s="162"/>
      <c r="C1358" s="162"/>
      <c r="D1358" s="191"/>
      <c r="E1358" s="191"/>
      <c r="F1358" s="191"/>
      <c r="G1358" s="191"/>
      <c r="H1358" s="191"/>
      <c r="I1358" s="191"/>
      <c r="J1358" s="191"/>
      <c r="K1358" s="191"/>
      <c r="L1358" s="191"/>
      <c r="M1358" s="191"/>
      <c r="N1358" s="191"/>
      <c r="O1358" s="191"/>
      <c r="P1358" s="191"/>
      <c r="Q1358" s="191"/>
      <c r="R1358" s="191"/>
      <c r="S1358" s="191"/>
      <c r="T1358" s="191"/>
      <c r="U1358" s="191"/>
      <c r="V1358" s="191"/>
      <c r="W1358" s="191"/>
      <c r="X1358" s="191"/>
      <c r="Y1358" s="191"/>
      <c r="Z1358" s="191"/>
      <c r="AA1358" s="191"/>
      <c r="AB1358" s="191"/>
      <c r="AC1358" s="190"/>
      <c r="AD1358" s="190"/>
      <c r="AE1358" s="190"/>
      <c r="AF1358" s="190"/>
      <c r="AG1358" s="190"/>
      <c r="AH1358" s="190"/>
      <c r="AI1358" s="190"/>
      <c r="AJ1358" s="190"/>
      <c r="AK1358" s="190"/>
      <c r="AL1358" s="190"/>
      <c r="AM1358" s="190"/>
    </row>
    <row r="1359" spans="2:39">
      <c r="B1359" s="162"/>
      <c r="C1359" s="162"/>
      <c r="D1359" s="191"/>
      <c r="E1359" s="191"/>
      <c r="F1359" s="191"/>
      <c r="G1359" s="191"/>
      <c r="H1359" s="191"/>
      <c r="I1359" s="191"/>
      <c r="J1359" s="191"/>
      <c r="K1359" s="191"/>
      <c r="L1359" s="191"/>
      <c r="M1359" s="191"/>
      <c r="N1359" s="191"/>
      <c r="O1359" s="191"/>
      <c r="P1359" s="191"/>
      <c r="Q1359" s="191"/>
      <c r="R1359" s="191"/>
      <c r="S1359" s="191"/>
      <c r="T1359" s="191"/>
      <c r="U1359" s="191"/>
      <c r="V1359" s="191"/>
      <c r="W1359" s="191"/>
      <c r="X1359" s="191"/>
      <c r="Y1359" s="191"/>
      <c r="Z1359" s="191"/>
      <c r="AA1359" s="191"/>
      <c r="AB1359" s="191"/>
      <c r="AC1359" s="190"/>
      <c r="AD1359" s="190"/>
      <c r="AE1359" s="190"/>
      <c r="AF1359" s="190"/>
      <c r="AG1359" s="190"/>
      <c r="AH1359" s="190"/>
      <c r="AI1359" s="190"/>
      <c r="AJ1359" s="190"/>
      <c r="AK1359" s="190"/>
      <c r="AL1359" s="190"/>
      <c r="AM1359" s="190"/>
    </row>
    <row r="1360" spans="2:39">
      <c r="B1360" s="162"/>
      <c r="C1360" s="162"/>
      <c r="D1360" s="191"/>
      <c r="E1360" s="191"/>
      <c r="F1360" s="191"/>
      <c r="G1360" s="191"/>
      <c r="H1360" s="191"/>
      <c r="I1360" s="191"/>
      <c r="J1360" s="191"/>
      <c r="K1360" s="191"/>
      <c r="L1360" s="191"/>
      <c r="M1360" s="191"/>
      <c r="N1360" s="191"/>
      <c r="O1360" s="191"/>
      <c r="P1360" s="191"/>
      <c r="Q1360" s="191"/>
      <c r="R1360" s="191"/>
      <c r="S1360" s="191"/>
      <c r="T1360" s="191"/>
      <c r="U1360" s="191"/>
      <c r="V1360" s="191"/>
      <c r="W1360" s="191"/>
      <c r="X1360" s="191"/>
      <c r="Y1360" s="191"/>
      <c r="Z1360" s="191"/>
      <c r="AA1360" s="191"/>
      <c r="AB1360" s="191"/>
      <c r="AC1360" s="190"/>
      <c r="AD1360" s="190"/>
      <c r="AE1360" s="190"/>
      <c r="AF1360" s="190"/>
      <c r="AG1360" s="190"/>
      <c r="AH1360" s="190"/>
      <c r="AI1360" s="190"/>
      <c r="AJ1360" s="190"/>
      <c r="AK1360" s="190"/>
      <c r="AL1360" s="190"/>
      <c r="AM1360" s="190"/>
    </row>
    <row r="1361" spans="2:39">
      <c r="B1361" s="162"/>
      <c r="C1361" s="162"/>
      <c r="D1361" s="191"/>
      <c r="E1361" s="191"/>
      <c r="F1361" s="191"/>
      <c r="G1361" s="191"/>
      <c r="H1361" s="191"/>
      <c r="I1361" s="191"/>
      <c r="J1361" s="191"/>
      <c r="K1361" s="191"/>
      <c r="L1361" s="191"/>
      <c r="M1361" s="191"/>
      <c r="N1361" s="191"/>
      <c r="O1361" s="191"/>
      <c r="P1361" s="191"/>
      <c r="Q1361" s="191"/>
      <c r="R1361" s="191"/>
      <c r="S1361" s="191"/>
      <c r="T1361" s="191"/>
      <c r="U1361" s="191"/>
      <c r="V1361" s="191"/>
      <c r="W1361" s="191"/>
      <c r="X1361" s="191"/>
      <c r="Y1361" s="191"/>
      <c r="Z1361" s="191"/>
      <c r="AA1361" s="191"/>
      <c r="AB1361" s="191"/>
      <c r="AC1361" s="190"/>
      <c r="AD1361" s="190"/>
      <c r="AE1361" s="190"/>
      <c r="AF1361" s="190"/>
      <c r="AG1361" s="190"/>
      <c r="AH1361" s="190"/>
      <c r="AI1361" s="190"/>
      <c r="AJ1361" s="190"/>
      <c r="AK1361" s="190"/>
      <c r="AL1361" s="190"/>
      <c r="AM1361" s="190"/>
    </row>
    <row r="1362" spans="2:39">
      <c r="B1362" s="162"/>
      <c r="C1362" s="162"/>
      <c r="D1362" s="191"/>
      <c r="E1362" s="191"/>
      <c r="F1362" s="191"/>
      <c r="G1362" s="191"/>
      <c r="H1362" s="191"/>
      <c r="I1362" s="191"/>
      <c r="J1362" s="191"/>
      <c r="K1362" s="191"/>
      <c r="L1362" s="191"/>
      <c r="M1362" s="191"/>
      <c r="N1362" s="191"/>
      <c r="O1362" s="191"/>
      <c r="P1362" s="191"/>
      <c r="Q1362" s="191"/>
      <c r="R1362" s="191"/>
      <c r="S1362" s="191"/>
      <c r="T1362" s="191"/>
      <c r="U1362" s="191"/>
      <c r="V1362" s="191"/>
      <c r="W1362" s="191"/>
      <c r="X1362" s="191"/>
      <c r="Y1362" s="191"/>
      <c r="Z1362" s="191"/>
      <c r="AA1362" s="191"/>
      <c r="AB1362" s="191"/>
      <c r="AC1362" s="190"/>
      <c r="AD1362" s="190"/>
      <c r="AE1362" s="190"/>
      <c r="AF1362" s="190"/>
      <c r="AG1362" s="190"/>
      <c r="AH1362" s="190"/>
      <c r="AI1362" s="190"/>
      <c r="AJ1362" s="190"/>
      <c r="AK1362" s="190"/>
      <c r="AL1362" s="190"/>
      <c r="AM1362" s="190"/>
    </row>
    <row r="1363" spans="2:39">
      <c r="B1363" s="162"/>
      <c r="C1363" s="162"/>
      <c r="D1363" s="191"/>
      <c r="E1363" s="191"/>
      <c r="F1363" s="191"/>
      <c r="G1363" s="191"/>
      <c r="H1363" s="191"/>
      <c r="I1363" s="191"/>
      <c r="J1363" s="191"/>
      <c r="K1363" s="191"/>
      <c r="L1363" s="191"/>
      <c r="M1363" s="191"/>
      <c r="N1363" s="191"/>
      <c r="O1363" s="191"/>
      <c r="P1363" s="191"/>
      <c r="Q1363" s="191"/>
      <c r="R1363" s="191"/>
      <c r="S1363" s="191"/>
      <c r="T1363" s="191"/>
      <c r="U1363" s="191"/>
      <c r="V1363" s="191"/>
      <c r="W1363" s="191"/>
      <c r="X1363" s="191"/>
      <c r="Y1363" s="191"/>
      <c r="Z1363" s="191"/>
      <c r="AA1363" s="191"/>
      <c r="AB1363" s="191"/>
      <c r="AC1363" s="190"/>
      <c r="AD1363" s="190"/>
      <c r="AE1363" s="190"/>
      <c r="AF1363" s="190"/>
      <c r="AG1363" s="190"/>
      <c r="AH1363" s="190"/>
      <c r="AI1363" s="190"/>
      <c r="AJ1363" s="190"/>
      <c r="AK1363" s="190"/>
      <c r="AL1363" s="190"/>
      <c r="AM1363" s="190"/>
    </row>
    <row r="1364" spans="2:39">
      <c r="B1364" s="162"/>
      <c r="C1364" s="162"/>
      <c r="D1364" s="191"/>
      <c r="E1364" s="191"/>
      <c r="F1364" s="191"/>
      <c r="G1364" s="191"/>
      <c r="H1364" s="191"/>
      <c r="I1364" s="191"/>
      <c r="J1364" s="191"/>
      <c r="K1364" s="191"/>
      <c r="L1364" s="191"/>
      <c r="M1364" s="191"/>
      <c r="N1364" s="191"/>
      <c r="O1364" s="191"/>
      <c r="P1364" s="191"/>
      <c r="Q1364" s="191"/>
      <c r="R1364" s="191"/>
      <c r="S1364" s="191"/>
      <c r="T1364" s="191"/>
      <c r="U1364" s="191"/>
      <c r="V1364" s="191"/>
      <c r="W1364" s="191"/>
      <c r="X1364" s="191"/>
      <c r="Y1364" s="191"/>
      <c r="Z1364" s="191"/>
      <c r="AA1364" s="191"/>
      <c r="AB1364" s="191"/>
      <c r="AC1364" s="190"/>
      <c r="AD1364" s="190"/>
      <c r="AE1364" s="190"/>
      <c r="AF1364" s="190"/>
      <c r="AG1364" s="190"/>
      <c r="AH1364" s="190"/>
      <c r="AI1364" s="190"/>
      <c r="AJ1364" s="190"/>
      <c r="AK1364" s="190"/>
      <c r="AL1364" s="190"/>
      <c r="AM1364" s="190"/>
    </row>
    <row r="1365" spans="2:39">
      <c r="B1365" s="162"/>
      <c r="C1365" s="162"/>
      <c r="D1365" s="191"/>
      <c r="E1365" s="191"/>
      <c r="F1365" s="191"/>
      <c r="G1365" s="191"/>
      <c r="H1365" s="191"/>
      <c r="I1365" s="191"/>
      <c r="J1365" s="191"/>
      <c r="K1365" s="191"/>
      <c r="L1365" s="191"/>
      <c r="M1365" s="191"/>
      <c r="N1365" s="191"/>
      <c r="O1365" s="191"/>
      <c r="P1365" s="191"/>
      <c r="Q1365" s="191"/>
      <c r="R1365" s="191"/>
      <c r="S1365" s="191"/>
      <c r="T1365" s="191"/>
      <c r="U1365" s="191"/>
      <c r="V1365" s="191"/>
      <c r="W1365" s="191"/>
      <c r="X1365" s="191"/>
      <c r="Y1365" s="191"/>
      <c r="Z1365" s="191"/>
      <c r="AA1365" s="191"/>
      <c r="AB1365" s="191"/>
      <c r="AC1365" s="190"/>
      <c r="AD1365" s="190"/>
      <c r="AE1365" s="190"/>
      <c r="AF1365" s="190"/>
      <c r="AG1365" s="190"/>
      <c r="AH1365" s="190"/>
      <c r="AI1365" s="190"/>
      <c r="AJ1365" s="190"/>
      <c r="AK1365" s="190"/>
      <c r="AL1365" s="190"/>
      <c r="AM1365" s="190"/>
    </row>
    <row r="1366" spans="2:39">
      <c r="B1366" s="162"/>
      <c r="C1366" s="162"/>
      <c r="D1366" s="191"/>
      <c r="E1366" s="191"/>
      <c r="F1366" s="191"/>
      <c r="G1366" s="191"/>
      <c r="H1366" s="191"/>
      <c r="I1366" s="191"/>
      <c r="J1366" s="191"/>
      <c r="K1366" s="191"/>
      <c r="L1366" s="191"/>
      <c r="M1366" s="191"/>
      <c r="N1366" s="191"/>
      <c r="O1366" s="191"/>
      <c r="P1366" s="191"/>
      <c r="Q1366" s="191"/>
      <c r="R1366" s="191"/>
      <c r="S1366" s="191"/>
      <c r="T1366" s="191"/>
      <c r="U1366" s="191"/>
      <c r="V1366" s="191"/>
      <c r="W1366" s="191"/>
      <c r="X1366" s="191"/>
      <c r="Y1366" s="191"/>
      <c r="Z1366" s="191"/>
      <c r="AA1366" s="191"/>
      <c r="AB1366" s="191"/>
      <c r="AC1366" s="190"/>
      <c r="AD1366" s="190"/>
      <c r="AE1366" s="190"/>
      <c r="AF1366" s="190"/>
      <c r="AG1366" s="190"/>
      <c r="AH1366" s="190"/>
      <c r="AI1366" s="190"/>
      <c r="AJ1366" s="190"/>
      <c r="AK1366" s="190"/>
      <c r="AL1366" s="190"/>
      <c r="AM1366" s="190"/>
    </row>
    <row r="1367" spans="2:39">
      <c r="B1367" s="162"/>
      <c r="C1367" s="162"/>
      <c r="D1367" s="191"/>
      <c r="E1367" s="191"/>
      <c r="F1367" s="191"/>
      <c r="G1367" s="191"/>
      <c r="H1367" s="191"/>
      <c r="I1367" s="191"/>
      <c r="J1367" s="191"/>
      <c r="K1367" s="191"/>
      <c r="L1367" s="191"/>
      <c r="M1367" s="191"/>
      <c r="N1367" s="191"/>
      <c r="O1367" s="191"/>
      <c r="P1367" s="191"/>
      <c r="Q1367" s="191"/>
      <c r="R1367" s="191"/>
      <c r="S1367" s="191"/>
      <c r="T1367" s="191"/>
      <c r="U1367" s="191"/>
      <c r="V1367" s="191"/>
      <c r="W1367" s="191"/>
      <c r="X1367" s="191"/>
      <c r="Y1367" s="191"/>
      <c r="Z1367" s="191"/>
      <c r="AA1367" s="191"/>
      <c r="AB1367" s="191"/>
      <c r="AC1367" s="190"/>
      <c r="AD1367" s="190"/>
      <c r="AE1367" s="190"/>
      <c r="AF1367" s="190"/>
      <c r="AG1367" s="190"/>
      <c r="AH1367" s="190"/>
      <c r="AI1367" s="190"/>
      <c r="AJ1367" s="190"/>
      <c r="AK1367" s="190"/>
      <c r="AL1367" s="190"/>
      <c r="AM1367" s="190"/>
    </row>
    <row r="1368" spans="2:39">
      <c r="B1368" s="162"/>
      <c r="C1368" s="162"/>
      <c r="D1368" s="191"/>
      <c r="E1368" s="191"/>
      <c r="F1368" s="191"/>
      <c r="G1368" s="191"/>
      <c r="H1368" s="191"/>
      <c r="I1368" s="191"/>
      <c r="J1368" s="191"/>
      <c r="K1368" s="191"/>
      <c r="L1368" s="191"/>
      <c r="M1368" s="191"/>
      <c r="N1368" s="191"/>
      <c r="O1368" s="191"/>
      <c r="P1368" s="191"/>
      <c r="Q1368" s="191"/>
      <c r="R1368" s="191"/>
      <c r="S1368" s="191"/>
      <c r="T1368" s="191"/>
      <c r="U1368" s="191"/>
      <c r="V1368" s="191"/>
      <c r="W1368" s="191"/>
      <c r="X1368" s="191"/>
      <c r="Y1368" s="191"/>
      <c r="Z1368" s="191"/>
      <c r="AA1368" s="191"/>
      <c r="AB1368" s="191"/>
      <c r="AC1368" s="190"/>
      <c r="AD1368" s="190"/>
      <c r="AE1368" s="190"/>
      <c r="AF1368" s="190"/>
      <c r="AG1368" s="190"/>
      <c r="AH1368" s="190"/>
      <c r="AI1368" s="190"/>
      <c r="AJ1368" s="190"/>
      <c r="AK1368" s="190"/>
      <c r="AL1368" s="190"/>
      <c r="AM1368" s="190"/>
    </row>
    <row r="1369" spans="2:39">
      <c r="B1369" s="162"/>
      <c r="C1369" s="162"/>
      <c r="D1369" s="191"/>
      <c r="E1369" s="191"/>
      <c r="F1369" s="191"/>
      <c r="G1369" s="191"/>
      <c r="H1369" s="191"/>
      <c r="I1369" s="191"/>
      <c r="J1369" s="191"/>
      <c r="K1369" s="191"/>
      <c r="L1369" s="191"/>
      <c r="M1369" s="191"/>
      <c r="N1369" s="191"/>
      <c r="O1369" s="191"/>
      <c r="P1369" s="191"/>
      <c r="Q1369" s="191"/>
      <c r="R1369" s="191"/>
      <c r="S1369" s="191"/>
      <c r="T1369" s="191"/>
      <c r="U1369" s="191"/>
      <c r="V1369" s="191"/>
      <c r="W1369" s="191"/>
      <c r="X1369" s="191"/>
      <c r="Y1369" s="191"/>
      <c r="Z1369" s="191"/>
      <c r="AA1369" s="191"/>
      <c r="AB1369" s="191"/>
      <c r="AC1369" s="190"/>
      <c r="AD1369" s="190"/>
      <c r="AE1369" s="190"/>
      <c r="AF1369" s="190"/>
      <c r="AG1369" s="190"/>
      <c r="AH1369" s="190"/>
      <c r="AI1369" s="190"/>
      <c r="AJ1369" s="190"/>
      <c r="AK1369" s="190"/>
      <c r="AL1369" s="190"/>
      <c r="AM1369" s="190"/>
    </row>
    <row r="1370" spans="2:39">
      <c r="B1370" s="162"/>
      <c r="C1370" s="162"/>
      <c r="D1370" s="191"/>
      <c r="E1370" s="191"/>
      <c r="F1370" s="191"/>
      <c r="G1370" s="191"/>
      <c r="H1370" s="191"/>
      <c r="I1370" s="191"/>
      <c r="J1370" s="191"/>
      <c r="K1370" s="191"/>
      <c r="L1370" s="191"/>
      <c r="M1370" s="191"/>
      <c r="N1370" s="191"/>
      <c r="O1370" s="191"/>
      <c r="P1370" s="191"/>
      <c r="Q1370" s="191"/>
      <c r="R1370" s="191"/>
      <c r="S1370" s="191"/>
      <c r="T1370" s="191"/>
      <c r="U1370" s="191"/>
      <c r="V1370" s="191"/>
      <c r="W1370" s="191"/>
      <c r="X1370" s="191"/>
      <c r="Y1370" s="191"/>
      <c r="Z1370" s="191"/>
      <c r="AA1370" s="191"/>
      <c r="AB1370" s="191"/>
      <c r="AC1370" s="190"/>
      <c r="AD1370" s="190"/>
      <c r="AE1370" s="190"/>
      <c r="AF1370" s="190"/>
      <c r="AG1370" s="190"/>
      <c r="AH1370" s="190"/>
      <c r="AI1370" s="190"/>
      <c r="AJ1370" s="190"/>
      <c r="AK1370" s="190"/>
      <c r="AL1370" s="190"/>
      <c r="AM1370" s="190"/>
    </row>
    <row r="1371" spans="2:39">
      <c r="B1371" s="162"/>
      <c r="C1371" s="162"/>
      <c r="D1371" s="191"/>
      <c r="E1371" s="191"/>
      <c r="F1371" s="191"/>
      <c r="G1371" s="191"/>
      <c r="H1371" s="191"/>
      <c r="I1371" s="191"/>
      <c r="J1371" s="191"/>
      <c r="K1371" s="191"/>
      <c r="L1371" s="191"/>
      <c r="M1371" s="191"/>
      <c r="N1371" s="191"/>
      <c r="O1371" s="191"/>
      <c r="P1371" s="191"/>
      <c r="Q1371" s="191"/>
      <c r="R1371" s="191"/>
      <c r="S1371" s="191"/>
      <c r="T1371" s="191"/>
      <c r="U1371" s="191"/>
      <c r="V1371" s="191"/>
      <c r="W1371" s="191"/>
      <c r="X1371" s="191"/>
      <c r="Y1371" s="191"/>
      <c r="Z1371" s="191"/>
      <c r="AA1371" s="191"/>
      <c r="AB1371" s="191"/>
      <c r="AC1371" s="190"/>
      <c r="AD1371" s="190"/>
      <c r="AE1371" s="190"/>
      <c r="AF1371" s="190"/>
      <c r="AG1371" s="190"/>
      <c r="AH1371" s="190"/>
      <c r="AI1371" s="190"/>
      <c r="AJ1371" s="190"/>
      <c r="AK1371" s="190"/>
      <c r="AL1371" s="190"/>
      <c r="AM1371" s="190"/>
    </row>
    <row r="1372" spans="2:39">
      <c r="B1372" s="162"/>
      <c r="C1372" s="162"/>
      <c r="D1372" s="191"/>
      <c r="E1372" s="191"/>
      <c r="F1372" s="191"/>
      <c r="G1372" s="191"/>
      <c r="H1372" s="191"/>
      <c r="I1372" s="191"/>
      <c r="J1372" s="191"/>
      <c r="K1372" s="191"/>
      <c r="L1372" s="191"/>
      <c r="M1372" s="191"/>
      <c r="N1372" s="191"/>
      <c r="O1372" s="191"/>
      <c r="P1372" s="191"/>
      <c r="Q1372" s="191"/>
      <c r="R1372" s="191"/>
      <c r="S1372" s="191"/>
      <c r="T1372" s="191"/>
      <c r="U1372" s="191"/>
      <c r="V1372" s="191"/>
      <c r="W1372" s="191"/>
      <c r="X1372" s="191"/>
      <c r="Y1372" s="191"/>
      <c r="Z1372" s="191"/>
      <c r="AA1372" s="191"/>
      <c r="AB1372" s="191"/>
      <c r="AC1372" s="190"/>
      <c r="AD1372" s="190"/>
      <c r="AE1372" s="190"/>
      <c r="AF1372" s="190"/>
      <c r="AG1372" s="190"/>
      <c r="AH1372" s="190"/>
      <c r="AI1372" s="190"/>
      <c r="AJ1372" s="190"/>
      <c r="AK1372" s="190"/>
      <c r="AL1372" s="190"/>
      <c r="AM1372" s="190"/>
    </row>
    <row r="1373" spans="2:39">
      <c r="B1373" s="162"/>
      <c r="C1373" s="162"/>
      <c r="D1373" s="191"/>
      <c r="E1373" s="191"/>
      <c r="F1373" s="191"/>
      <c r="G1373" s="191"/>
      <c r="H1373" s="191"/>
      <c r="I1373" s="191"/>
      <c r="J1373" s="191"/>
      <c r="K1373" s="191"/>
      <c r="L1373" s="191"/>
      <c r="M1373" s="191"/>
      <c r="N1373" s="191"/>
      <c r="O1373" s="191"/>
      <c r="P1373" s="191"/>
      <c r="Q1373" s="191"/>
      <c r="R1373" s="191"/>
      <c r="S1373" s="191"/>
      <c r="T1373" s="191"/>
      <c r="U1373" s="191"/>
      <c r="V1373" s="191"/>
      <c r="W1373" s="191"/>
      <c r="X1373" s="191"/>
      <c r="Y1373" s="191"/>
      <c r="Z1373" s="191"/>
      <c r="AA1373" s="191"/>
      <c r="AB1373" s="191"/>
      <c r="AC1373" s="190"/>
      <c r="AD1373" s="190"/>
      <c r="AE1373" s="190"/>
      <c r="AF1373" s="190"/>
      <c r="AG1373" s="190"/>
      <c r="AH1373" s="190"/>
      <c r="AI1373" s="190"/>
      <c r="AJ1373" s="190"/>
      <c r="AK1373" s="190"/>
      <c r="AL1373" s="190"/>
      <c r="AM1373" s="190"/>
    </row>
    <row r="1374" spans="2:39">
      <c r="B1374" s="162"/>
      <c r="C1374" s="162"/>
      <c r="D1374" s="191"/>
      <c r="E1374" s="191"/>
      <c r="F1374" s="191"/>
      <c r="G1374" s="191"/>
      <c r="H1374" s="191"/>
      <c r="I1374" s="191"/>
      <c r="J1374" s="191"/>
      <c r="K1374" s="191"/>
      <c r="L1374" s="191"/>
      <c r="M1374" s="191"/>
      <c r="N1374" s="191"/>
      <c r="O1374" s="191"/>
      <c r="P1374" s="191"/>
      <c r="Q1374" s="191"/>
      <c r="R1374" s="191"/>
      <c r="S1374" s="191"/>
      <c r="T1374" s="191"/>
      <c r="U1374" s="191"/>
      <c r="V1374" s="191"/>
      <c r="W1374" s="191"/>
      <c r="X1374" s="191"/>
      <c r="Y1374" s="191"/>
      <c r="Z1374" s="191"/>
      <c r="AA1374" s="191"/>
      <c r="AB1374" s="191"/>
      <c r="AC1374" s="190"/>
      <c r="AD1374" s="190"/>
      <c r="AE1374" s="190"/>
      <c r="AF1374" s="190"/>
      <c r="AG1374" s="190"/>
      <c r="AH1374" s="190"/>
      <c r="AI1374" s="190"/>
      <c r="AJ1374" s="190"/>
      <c r="AK1374" s="190"/>
      <c r="AL1374" s="190"/>
      <c r="AM1374" s="190"/>
    </row>
    <row r="1375" spans="2:39">
      <c r="B1375" s="162"/>
      <c r="C1375" s="162"/>
      <c r="D1375" s="191"/>
      <c r="E1375" s="191"/>
      <c r="F1375" s="191"/>
      <c r="G1375" s="191"/>
      <c r="H1375" s="191"/>
      <c r="I1375" s="191"/>
      <c r="J1375" s="191"/>
      <c r="K1375" s="191"/>
      <c r="L1375" s="191"/>
      <c r="M1375" s="191"/>
      <c r="N1375" s="191"/>
      <c r="O1375" s="191"/>
      <c r="P1375" s="191"/>
      <c r="Q1375" s="191"/>
      <c r="R1375" s="191"/>
      <c r="S1375" s="191"/>
      <c r="T1375" s="191"/>
      <c r="U1375" s="191"/>
      <c r="V1375" s="191"/>
      <c r="W1375" s="191"/>
      <c r="X1375" s="191"/>
      <c r="Y1375" s="191"/>
      <c r="Z1375" s="191"/>
      <c r="AA1375" s="191"/>
      <c r="AB1375" s="191"/>
      <c r="AC1375" s="190"/>
      <c r="AD1375" s="190"/>
      <c r="AE1375" s="190"/>
      <c r="AF1375" s="190"/>
      <c r="AG1375" s="190"/>
      <c r="AH1375" s="190"/>
      <c r="AI1375" s="190"/>
      <c r="AJ1375" s="190"/>
      <c r="AK1375" s="190"/>
      <c r="AL1375" s="190"/>
      <c r="AM1375" s="190"/>
    </row>
    <row r="1376" spans="2:39">
      <c r="B1376" s="162"/>
      <c r="C1376" s="162"/>
      <c r="D1376" s="191"/>
      <c r="E1376" s="191"/>
      <c r="F1376" s="191"/>
      <c r="G1376" s="191"/>
      <c r="H1376" s="191"/>
      <c r="I1376" s="191"/>
      <c r="J1376" s="191"/>
      <c r="K1376" s="191"/>
      <c r="L1376" s="191"/>
      <c r="M1376" s="191"/>
      <c r="N1376" s="191"/>
      <c r="O1376" s="191"/>
      <c r="P1376" s="191"/>
      <c r="Q1376" s="191"/>
      <c r="R1376" s="191"/>
      <c r="S1376" s="191"/>
      <c r="T1376" s="191"/>
      <c r="U1376" s="191"/>
      <c r="V1376" s="191"/>
      <c r="W1376" s="191"/>
      <c r="X1376" s="191"/>
      <c r="Y1376" s="191"/>
      <c r="Z1376" s="191"/>
      <c r="AA1376" s="191"/>
      <c r="AB1376" s="191"/>
      <c r="AC1376" s="190"/>
      <c r="AD1376" s="190"/>
      <c r="AE1376" s="190"/>
      <c r="AF1376" s="190"/>
      <c r="AG1376" s="190"/>
      <c r="AH1376" s="190"/>
      <c r="AI1376" s="190"/>
      <c r="AJ1376" s="190"/>
      <c r="AK1376" s="190"/>
      <c r="AL1376" s="190"/>
      <c r="AM1376" s="190"/>
    </row>
    <row r="1377" spans="2:39">
      <c r="B1377" s="162"/>
      <c r="C1377" s="162"/>
      <c r="D1377" s="191"/>
      <c r="E1377" s="191"/>
      <c r="F1377" s="191"/>
      <c r="G1377" s="191"/>
      <c r="H1377" s="191"/>
      <c r="I1377" s="191"/>
      <c r="J1377" s="191"/>
      <c r="K1377" s="191"/>
      <c r="L1377" s="191"/>
      <c r="M1377" s="191"/>
      <c r="N1377" s="191"/>
      <c r="O1377" s="191"/>
      <c r="P1377" s="191"/>
      <c r="Q1377" s="191"/>
      <c r="R1377" s="191"/>
      <c r="S1377" s="191"/>
      <c r="T1377" s="191"/>
      <c r="U1377" s="191"/>
      <c r="V1377" s="191"/>
      <c r="W1377" s="191"/>
      <c r="X1377" s="191"/>
      <c r="Y1377" s="191"/>
      <c r="Z1377" s="191"/>
      <c r="AA1377" s="191"/>
      <c r="AB1377" s="191"/>
      <c r="AC1377" s="190"/>
      <c r="AD1377" s="190"/>
      <c r="AE1377" s="190"/>
      <c r="AF1377" s="190"/>
      <c r="AG1377" s="190"/>
      <c r="AH1377" s="190"/>
      <c r="AI1377" s="190"/>
      <c r="AJ1377" s="190"/>
      <c r="AK1377" s="190"/>
      <c r="AL1377" s="190"/>
      <c r="AM1377" s="190"/>
    </row>
    <row r="1378" spans="2:39">
      <c r="B1378" s="162"/>
      <c r="C1378" s="162"/>
      <c r="D1378" s="191"/>
      <c r="E1378" s="191"/>
      <c r="F1378" s="191"/>
      <c r="G1378" s="191"/>
      <c r="H1378" s="191"/>
      <c r="I1378" s="191"/>
      <c r="J1378" s="191"/>
      <c r="K1378" s="191"/>
      <c r="L1378" s="191"/>
      <c r="M1378" s="191"/>
      <c r="N1378" s="191"/>
      <c r="O1378" s="191"/>
      <c r="P1378" s="191"/>
      <c r="Q1378" s="191"/>
      <c r="R1378" s="191"/>
      <c r="S1378" s="191"/>
      <c r="T1378" s="191"/>
      <c r="U1378" s="191"/>
      <c r="V1378" s="191"/>
      <c r="W1378" s="191"/>
      <c r="X1378" s="191"/>
      <c r="Y1378" s="191"/>
      <c r="Z1378" s="191"/>
      <c r="AA1378" s="191"/>
      <c r="AB1378" s="191"/>
      <c r="AC1378" s="190"/>
      <c r="AD1378" s="190"/>
      <c r="AE1378" s="190"/>
      <c r="AF1378" s="190"/>
      <c r="AG1378" s="190"/>
      <c r="AH1378" s="190"/>
      <c r="AI1378" s="190"/>
      <c r="AJ1378" s="190"/>
      <c r="AK1378" s="190"/>
      <c r="AL1378" s="190"/>
      <c r="AM1378" s="190"/>
    </row>
    <row r="1379" spans="2:39">
      <c r="B1379" s="162"/>
      <c r="C1379" s="162"/>
      <c r="D1379" s="191"/>
      <c r="E1379" s="191"/>
      <c r="F1379" s="191"/>
      <c r="G1379" s="191"/>
      <c r="H1379" s="191"/>
      <c r="I1379" s="191"/>
      <c r="J1379" s="191"/>
      <c r="K1379" s="191"/>
      <c r="L1379" s="191"/>
      <c r="M1379" s="191"/>
      <c r="N1379" s="191"/>
      <c r="O1379" s="191"/>
      <c r="P1379" s="191"/>
      <c r="Q1379" s="191"/>
      <c r="R1379" s="191"/>
      <c r="S1379" s="191"/>
      <c r="T1379" s="191"/>
      <c r="U1379" s="191"/>
      <c r="V1379" s="191"/>
      <c r="W1379" s="191"/>
      <c r="X1379" s="191"/>
      <c r="Y1379" s="191"/>
      <c r="Z1379" s="191"/>
      <c r="AA1379" s="191"/>
      <c r="AB1379" s="191"/>
      <c r="AC1379" s="190"/>
      <c r="AD1379" s="190"/>
      <c r="AE1379" s="190"/>
      <c r="AF1379" s="190"/>
      <c r="AG1379" s="190"/>
      <c r="AH1379" s="190"/>
      <c r="AI1379" s="190"/>
      <c r="AJ1379" s="190"/>
      <c r="AK1379" s="190"/>
      <c r="AL1379" s="190"/>
      <c r="AM1379" s="190"/>
    </row>
    <row r="1380" spans="2:39">
      <c r="B1380" s="162"/>
      <c r="C1380" s="162"/>
      <c r="D1380" s="191"/>
      <c r="E1380" s="191"/>
      <c r="F1380" s="191"/>
      <c r="G1380" s="191"/>
      <c r="H1380" s="191"/>
      <c r="I1380" s="191"/>
      <c r="J1380" s="191"/>
      <c r="K1380" s="191"/>
      <c r="L1380" s="191"/>
      <c r="M1380" s="191"/>
      <c r="N1380" s="191"/>
      <c r="O1380" s="191"/>
      <c r="P1380" s="191"/>
      <c r="Q1380" s="191"/>
      <c r="R1380" s="191"/>
      <c r="S1380" s="191"/>
      <c r="T1380" s="191"/>
      <c r="U1380" s="191"/>
      <c r="V1380" s="191"/>
      <c r="W1380" s="191"/>
      <c r="X1380" s="191"/>
      <c r="Y1380" s="191"/>
      <c r="Z1380" s="191"/>
      <c r="AA1380" s="191"/>
      <c r="AB1380" s="191"/>
      <c r="AC1380" s="190"/>
      <c r="AD1380" s="190"/>
      <c r="AE1380" s="190"/>
      <c r="AF1380" s="190"/>
      <c r="AG1380" s="190"/>
      <c r="AH1380" s="190"/>
      <c r="AI1380" s="190"/>
      <c r="AJ1380" s="190"/>
      <c r="AK1380" s="190"/>
      <c r="AL1380" s="190"/>
      <c r="AM1380" s="190"/>
    </row>
    <row r="1381" spans="2:39">
      <c r="B1381" s="162"/>
      <c r="C1381" s="162"/>
      <c r="D1381" s="191"/>
      <c r="E1381" s="191"/>
      <c r="F1381" s="191"/>
      <c r="G1381" s="191"/>
      <c r="H1381" s="191"/>
      <c r="I1381" s="191"/>
      <c r="J1381" s="191"/>
      <c r="K1381" s="191"/>
      <c r="L1381" s="191"/>
      <c r="M1381" s="191"/>
      <c r="N1381" s="191"/>
      <c r="O1381" s="191"/>
      <c r="P1381" s="191"/>
      <c r="Q1381" s="191"/>
      <c r="R1381" s="191"/>
      <c r="S1381" s="191"/>
      <c r="T1381" s="191"/>
      <c r="U1381" s="191"/>
      <c r="V1381" s="191"/>
      <c r="W1381" s="191"/>
      <c r="X1381" s="191"/>
      <c r="Y1381" s="191"/>
      <c r="Z1381" s="191"/>
      <c r="AA1381" s="191"/>
      <c r="AB1381" s="191"/>
      <c r="AC1381" s="190"/>
      <c r="AD1381" s="190"/>
      <c r="AE1381" s="190"/>
      <c r="AF1381" s="190"/>
      <c r="AG1381" s="190"/>
      <c r="AH1381" s="190"/>
      <c r="AI1381" s="190"/>
      <c r="AJ1381" s="190"/>
      <c r="AK1381" s="190"/>
      <c r="AL1381" s="190"/>
      <c r="AM1381" s="190"/>
    </row>
    <row r="1382" spans="2:39">
      <c r="B1382" s="162"/>
      <c r="C1382" s="162"/>
      <c r="D1382" s="191"/>
      <c r="E1382" s="191"/>
      <c r="F1382" s="191"/>
      <c r="G1382" s="191"/>
      <c r="H1382" s="191"/>
      <c r="I1382" s="191"/>
      <c r="J1382" s="191"/>
      <c r="K1382" s="191"/>
      <c r="L1382" s="191"/>
      <c r="M1382" s="191"/>
      <c r="N1382" s="191"/>
      <c r="O1382" s="191"/>
      <c r="P1382" s="191"/>
      <c r="Q1382" s="191"/>
      <c r="R1382" s="191"/>
      <c r="S1382" s="191"/>
      <c r="T1382" s="191"/>
      <c r="U1382" s="191"/>
      <c r="V1382" s="191"/>
      <c r="W1382" s="191"/>
      <c r="X1382" s="191"/>
      <c r="Y1382" s="191"/>
      <c r="Z1382" s="191"/>
      <c r="AA1382" s="191"/>
      <c r="AB1382" s="191"/>
      <c r="AC1382" s="190"/>
      <c r="AD1382" s="190"/>
      <c r="AE1382" s="190"/>
      <c r="AF1382" s="190"/>
      <c r="AG1382" s="190"/>
      <c r="AH1382" s="190"/>
      <c r="AI1382" s="190"/>
      <c r="AJ1382" s="190"/>
      <c r="AK1382" s="190"/>
      <c r="AL1382" s="190"/>
      <c r="AM1382" s="190"/>
    </row>
    <row r="1383" spans="2:39">
      <c r="B1383" s="162"/>
      <c r="C1383" s="162"/>
      <c r="D1383" s="191"/>
      <c r="E1383" s="191"/>
      <c r="F1383" s="191"/>
      <c r="G1383" s="191"/>
      <c r="H1383" s="191"/>
      <c r="I1383" s="191"/>
      <c r="J1383" s="191"/>
      <c r="K1383" s="191"/>
      <c r="L1383" s="191"/>
      <c r="M1383" s="191"/>
      <c r="N1383" s="191"/>
      <c r="O1383" s="191"/>
      <c r="P1383" s="191"/>
      <c r="Q1383" s="191"/>
      <c r="R1383" s="191"/>
      <c r="S1383" s="191"/>
      <c r="T1383" s="191"/>
      <c r="U1383" s="191"/>
      <c r="V1383" s="191"/>
      <c r="W1383" s="191"/>
      <c r="X1383" s="191"/>
      <c r="Y1383" s="191"/>
      <c r="Z1383" s="191"/>
      <c r="AA1383" s="191"/>
      <c r="AB1383" s="191"/>
      <c r="AC1383" s="190"/>
      <c r="AD1383" s="190"/>
      <c r="AE1383" s="190"/>
      <c r="AF1383" s="190"/>
      <c r="AG1383" s="190"/>
      <c r="AH1383" s="190"/>
      <c r="AI1383" s="190"/>
      <c r="AJ1383" s="190"/>
      <c r="AK1383" s="190"/>
      <c r="AL1383" s="190"/>
      <c r="AM1383" s="190"/>
    </row>
    <row r="1384" spans="2:39">
      <c r="B1384" s="162"/>
      <c r="C1384" s="162"/>
      <c r="D1384" s="191"/>
      <c r="E1384" s="191"/>
      <c r="F1384" s="191"/>
      <c r="G1384" s="191"/>
      <c r="H1384" s="191"/>
      <c r="I1384" s="191"/>
      <c r="J1384" s="191"/>
      <c r="K1384" s="191"/>
      <c r="L1384" s="191"/>
      <c r="M1384" s="191"/>
      <c r="N1384" s="191"/>
      <c r="O1384" s="191"/>
      <c r="P1384" s="191"/>
      <c r="Q1384" s="191"/>
      <c r="R1384" s="191"/>
      <c r="S1384" s="191"/>
      <c r="T1384" s="191"/>
      <c r="U1384" s="191"/>
      <c r="V1384" s="191"/>
      <c r="W1384" s="191"/>
      <c r="X1384" s="191"/>
      <c r="Y1384" s="191"/>
      <c r="Z1384" s="191"/>
      <c r="AA1384" s="191"/>
      <c r="AB1384" s="191"/>
      <c r="AC1384" s="190"/>
      <c r="AD1384" s="190"/>
      <c r="AE1384" s="190"/>
      <c r="AF1384" s="190"/>
      <c r="AG1384" s="190"/>
      <c r="AH1384" s="190"/>
      <c r="AI1384" s="190"/>
      <c r="AJ1384" s="190"/>
      <c r="AK1384" s="190"/>
      <c r="AL1384" s="190"/>
      <c r="AM1384" s="190"/>
    </row>
    <row r="1385" spans="2:39">
      <c r="B1385" s="162"/>
      <c r="C1385" s="162"/>
      <c r="D1385" s="191"/>
      <c r="E1385" s="191"/>
      <c r="F1385" s="191"/>
      <c r="G1385" s="191"/>
      <c r="H1385" s="191"/>
      <c r="I1385" s="191"/>
      <c r="J1385" s="191"/>
      <c r="K1385" s="191"/>
      <c r="L1385" s="191"/>
      <c r="M1385" s="191"/>
      <c r="N1385" s="191"/>
      <c r="O1385" s="191"/>
      <c r="P1385" s="191"/>
      <c r="Q1385" s="191"/>
      <c r="R1385" s="191"/>
      <c r="S1385" s="191"/>
      <c r="T1385" s="191"/>
      <c r="U1385" s="191"/>
      <c r="V1385" s="191"/>
      <c r="W1385" s="191"/>
      <c r="X1385" s="191"/>
      <c r="Y1385" s="191"/>
      <c r="Z1385" s="191"/>
      <c r="AA1385" s="191"/>
      <c r="AB1385" s="191"/>
      <c r="AC1385" s="190"/>
      <c r="AD1385" s="190"/>
      <c r="AE1385" s="190"/>
      <c r="AF1385" s="190"/>
      <c r="AG1385" s="190"/>
      <c r="AH1385" s="190"/>
      <c r="AI1385" s="190"/>
      <c r="AJ1385" s="190"/>
      <c r="AK1385" s="190"/>
      <c r="AL1385" s="190"/>
      <c r="AM1385" s="190"/>
    </row>
    <row r="1386" spans="2:39">
      <c r="B1386" s="162"/>
      <c r="C1386" s="162"/>
      <c r="D1386" s="191"/>
      <c r="E1386" s="191"/>
      <c r="F1386" s="191"/>
      <c r="G1386" s="191"/>
      <c r="H1386" s="191"/>
      <c r="I1386" s="191"/>
      <c r="J1386" s="191"/>
      <c r="K1386" s="191"/>
      <c r="L1386" s="191"/>
      <c r="M1386" s="191"/>
      <c r="N1386" s="191"/>
      <c r="O1386" s="191"/>
      <c r="P1386" s="191"/>
      <c r="Q1386" s="191"/>
      <c r="R1386" s="191"/>
      <c r="S1386" s="191"/>
      <c r="T1386" s="191"/>
      <c r="U1386" s="191"/>
      <c r="V1386" s="191"/>
      <c r="W1386" s="191"/>
      <c r="X1386" s="191"/>
      <c r="Y1386" s="191"/>
      <c r="Z1386" s="191"/>
      <c r="AA1386" s="191"/>
      <c r="AB1386" s="191"/>
      <c r="AC1386" s="190"/>
      <c r="AD1386" s="190"/>
      <c r="AE1386" s="190"/>
      <c r="AF1386" s="190"/>
      <c r="AG1386" s="190"/>
      <c r="AH1386" s="190"/>
      <c r="AI1386" s="190"/>
      <c r="AJ1386" s="190"/>
      <c r="AK1386" s="190"/>
      <c r="AL1386" s="190"/>
      <c r="AM1386" s="190"/>
    </row>
    <row r="1387" spans="2:39">
      <c r="B1387" s="162"/>
      <c r="C1387" s="162"/>
      <c r="D1387" s="191"/>
      <c r="E1387" s="191"/>
      <c r="F1387" s="191"/>
      <c r="G1387" s="191"/>
      <c r="H1387" s="191"/>
      <c r="I1387" s="191"/>
      <c r="J1387" s="191"/>
      <c r="K1387" s="191"/>
      <c r="L1387" s="191"/>
      <c r="M1387" s="191"/>
      <c r="N1387" s="191"/>
      <c r="O1387" s="191"/>
      <c r="P1387" s="191"/>
      <c r="Q1387" s="191"/>
      <c r="R1387" s="191"/>
      <c r="S1387" s="191"/>
      <c r="T1387" s="191"/>
      <c r="U1387" s="191"/>
      <c r="V1387" s="191"/>
      <c r="W1387" s="191"/>
      <c r="X1387" s="191"/>
      <c r="Y1387" s="191"/>
      <c r="Z1387" s="191"/>
      <c r="AA1387" s="191"/>
      <c r="AB1387" s="191"/>
      <c r="AC1387" s="190"/>
      <c r="AD1387" s="190"/>
      <c r="AE1387" s="190"/>
      <c r="AF1387" s="190"/>
      <c r="AG1387" s="190"/>
      <c r="AH1387" s="190"/>
      <c r="AI1387" s="190"/>
      <c r="AJ1387" s="190"/>
      <c r="AK1387" s="190"/>
      <c r="AL1387" s="190"/>
      <c r="AM1387" s="190"/>
    </row>
    <row r="1388" spans="2:39">
      <c r="B1388" s="162"/>
      <c r="C1388" s="162"/>
      <c r="D1388" s="191"/>
      <c r="E1388" s="191"/>
      <c r="F1388" s="191"/>
      <c r="G1388" s="191"/>
      <c r="H1388" s="191"/>
      <c r="I1388" s="191"/>
      <c r="J1388" s="191"/>
      <c r="K1388" s="191"/>
      <c r="L1388" s="191"/>
      <c r="M1388" s="191"/>
      <c r="N1388" s="191"/>
      <c r="O1388" s="191"/>
      <c r="P1388" s="191"/>
      <c r="Q1388" s="191"/>
      <c r="R1388" s="191"/>
      <c r="S1388" s="191"/>
      <c r="T1388" s="191"/>
      <c r="U1388" s="191"/>
      <c r="V1388" s="191"/>
      <c r="W1388" s="191"/>
      <c r="X1388" s="191"/>
      <c r="Y1388" s="191"/>
      <c r="Z1388" s="191"/>
      <c r="AA1388" s="191"/>
      <c r="AB1388" s="191"/>
      <c r="AC1388" s="190"/>
      <c r="AD1388" s="190"/>
      <c r="AE1388" s="190"/>
      <c r="AF1388" s="190"/>
      <c r="AG1388" s="190"/>
      <c r="AH1388" s="190"/>
      <c r="AI1388" s="190"/>
      <c r="AJ1388" s="190"/>
      <c r="AK1388" s="190"/>
      <c r="AL1388" s="190"/>
      <c r="AM1388" s="190"/>
    </row>
    <row r="1389" spans="2:39">
      <c r="B1389" s="162"/>
      <c r="C1389" s="162"/>
      <c r="D1389" s="191"/>
      <c r="E1389" s="191"/>
      <c r="F1389" s="191"/>
      <c r="G1389" s="191"/>
      <c r="H1389" s="191"/>
      <c r="I1389" s="191"/>
      <c r="J1389" s="191"/>
      <c r="K1389" s="191"/>
      <c r="L1389" s="191"/>
      <c r="M1389" s="191"/>
      <c r="N1389" s="191"/>
      <c r="O1389" s="191"/>
      <c r="P1389" s="191"/>
      <c r="Q1389" s="191"/>
      <c r="R1389" s="191"/>
      <c r="S1389" s="191"/>
      <c r="T1389" s="191"/>
      <c r="U1389" s="191"/>
      <c r="V1389" s="191"/>
      <c r="W1389" s="191"/>
      <c r="X1389" s="191"/>
      <c r="Y1389" s="191"/>
      <c r="Z1389" s="191"/>
      <c r="AA1389" s="191"/>
      <c r="AB1389" s="191"/>
      <c r="AC1389" s="190"/>
      <c r="AD1389" s="190"/>
      <c r="AE1389" s="190"/>
      <c r="AF1389" s="190"/>
      <c r="AG1389" s="190"/>
      <c r="AH1389" s="190"/>
      <c r="AI1389" s="190"/>
      <c r="AJ1389" s="190"/>
      <c r="AK1389" s="190"/>
      <c r="AL1389" s="190"/>
      <c r="AM1389" s="190"/>
    </row>
    <row r="1390" spans="2:39">
      <c r="B1390" s="162"/>
      <c r="C1390" s="162"/>
      <c r="D1390" s="191"/>
      <c r="E1390" s="191"/>
      <c r="F1390" s="191"/>
      <c r="G1390" s="191"/>
      <c r="H1390" s="191"/>
      <c r="I1390" s="191"/>
      <c r="J1390" s="191"/>
      <c r="K1390" s="191"/>
      <c r="L1390" s="191"/>
      <c r="M1390" s="191"/>
      <c r="N1390" s="191"/>
      <c r="O1390" s="191"/>
      <c r="P1390" s="191"/>
      <c r="Q1390" s="191"/>
      <c r="R1390" s="191"/>
      <c r="S1390" s="191"/>
      <c r="T1390" s="191"/>
      <c r="U1390" s="191"/>
      <c r="V1390" s="191"/>
      <c r="W1390" s="191"/>
      <c r="X1390" s="191"/>
      <c r="Y1390" s="191"/>
      <c r="Z1390" s="191"/>
      <c r="AA1390" s="191"/>
      <c r="AB1390" s="191"/>
      <c r="AC1390" s="190"/>
      <c r="AD1390" s="190"/>
      <c r="AE1390" s="190"/>
      <c r="AF1390" s="190"/>
      <c r="AG1390" s="190"/>
      <c r="AH1390" s="190"/>
      <c r="AI1390" s="190"/>
      <c r="AJ1390" s="190"/>
      <c r="AK1390" s="190"/>
      <c r="AL1390" s="190"/>
      <c r="AM1390" s="190"/>
    </row>
    <row r="1391" spans="2:39">
      <c r="B1391" s="162"/>
      <c r="C1391" s="162"/>
      <c r="D1391" s="191"/>
      <c r="E1391" s="191"/>
      <c r="F1391" s="191"/>
      <c r="G1391" s="191"/>
      <c r="H1391" s="191"/>
      <c r="I1391" s="191"/>
      <c r="J1391" s="191"/>
      <c r="K1391" s="191"/>
      <c r="L1391" s="191"/>
      <c r="M1391" s="191"/>
      <c r="N1391" s="191"/>
      <c r="O1391" s="191"/>
      <c r="P1391" s="191"/>
      <c r="Q1391" s="191"/>
      <c r="R1391" s="191"/>
      <c r="S1391" s="191"/>
      <c r="T1391" s="191"/>
      <c r="U1391" s="191"/>
      <c r="V1391" s="191"/>
      <c r="W1391" s="191"/>
      <c r="X1391" s="191"/>
      <c r="Y1391" s="191"/>
      <c r="Z1391" s="191"/>
      <c r="AA1391" s="191"/>
      <c r="AB1391" s="191"/>
      <c r="AC1391" s="190"/>
      <c r="AD1391" s="190"/>
      <c r="AE1391" s="190"/>
      <c r="AF1391" s="190"/>
      <c r="AG1391" s="190"/>
      <c r="AH1391" s="190"/>
      <c r="AI1391" s="190"/>
      <c r="AJ1391" s="190"/>
      <c r="AK1391" s="190"/>
      <c r="AL1391" s="190"/>
      <c r="AM1391" s="190"/>
    </row>
    <row r="1392" spans="2:39">
      <c r="B1392" s="162"/>
      <c r="C1392" s="162"/>
      <c r="D1392" s="191"/>
      <c r="E1392" s="191"/>
      <c r="F1392" s="191"/>
      <c r="G1392" s="191"/>
      <c r="H1392" s="191"/>
      <c r="I1392" s="191"/>
      <c r="J1392" s="191"/>
      <c r="K1392" s="191"/>
      <c r="L1392" s="191"/>
      <c r="M1392" s="191"/>
      <c r="N1392" s="191"/>
      <c r="O1392" s="191"/>
      <c r="P1392" s="191"/>
      <c r="Q1392" s="191"/>
      <c r="R1392" s="191"/>
      <c r="S1392" s="191"/>
      <c r="T1392" s="191"/>
      <c r="U1392" s="191"/>
      <c r="V1392" s="191"/>
      <c r="W1392" s="191"/>
      <c r="X1392" s="191"/>
      <c r="Y1392" s="191"/>
      <c r="Z1392" s="191"/>
      <c r="AA1392" s="191"/>
      <c r="AB1392" s="191"/>
      <c r="AC1392" s="190"/>
      <c r="AD1392" s="190"/>
      <c r="AE1392" s="190"/>
      <c r="AF1392" s="190"/>
      <c r="AG1392" s="190"/>
      <c r="AH1392" s="190"/>
      <c r="AI1392" s="190"/>
      <c r="AJ1392" s="190"/>
      <c r="AK1392" s="190"/>
      <c r="AL1392" s="190"/>
      <c r="AM1392" s="190"/>
    </row>
    <row r="1393" spans="2:39">
      <c r="B1393" s="162"/>
      <c r="C1393" s="162"/>
      <c r="D1393" s="191"/>
      <c r="E1393" s="191"/>
      <c r="F1393" s="191"/>
      <c r="G1393" s="191"/>
      <c r="H1393" s="191"/>
      <c r="I1393" s="191"/>
      <c r="J1393" s="191"/>
      <c r="K1393" s="191"/>
      <c r="L1393" s="191"/>
      <c r="M1393" s="191"/>
      <c r="N1393" s="191"/>
      <c r="O1393" s="191"/>
      <c r="P1393" s="191"/>
      <c r="Q1393" s="191"/>
      <c r="R1393" s="191"/>
      <c r="S1393" s="191"/>
      <c r="T1393" s="191"/>
      <c r="U1393" s="191"/>
      <c r="V1393" s="191"/>
      <c r="W1393" s="191"/>
      <c r="X1393" s="191"/>
      <c r="Y1393" s="191"/>
      <c r="Z1393" s="191"/>
      <c r="AA1393" s="191"/>
      <c r="AB1393" s="191"/>
      <c r="AC1393" s="190"/>
      <c r="AD1393" s="190"/>
      <c r="AE1393" s="190"/>
      <c r="AF1393" s="190"/>
      <c r="AG1393" s="190"/>
      <c r="AH1393" s="190"/>
      <c r="AI1393" s="190"/>
      <c r="AJ1393" s="190"/>
      <c r="AK1393" s="190"/>
      <c r="AL1393" s="190"/>
      <c r="AM1393" s="190"/>
    </row>
    <row r="1394" spans="2:39">
      <c r="B1394" s="162"/>
      <c r="C1394" s="162"/>
      <c r="D1394" s="191"/>
      <c r="E1394" s="191"/>
      <c r="F1394" s="191"/>
      <c r="G1394" s="191"/>
      <c r="H1394" s="191"/>
      <c r="I1394" s="191"/>
      <c r="J1394" s="191"/>
      <c r="K1394" s="191"/>
      <c r="L1394" s="191"/>
      <c r="M1394" s="191"/>
      <c r="N1394" s="191"/>
      <c r="O1394" s="191"/>
      <c r="P1394" s="191"/>
      <c r="Q1394" s="191"/>
      <c r="R1394" s="191"/>
      <c r="S1394" s="191"/>
      <c r="T1394" s="191"/>
      <c r="U1394" s="191"/>
      <c r="V1394" s="191"/>
      <c r="W1394" s="191"/>
      <c r="X1394" s="191"/>
      <c r="Y1394" s="191"/>
      <c r="Z1394" s="191"/>
      <c r="AA1394" s="191"/>
      <c r="AB1394" s="191"/>
      <c r="AC1394" s="190"/>
      <c r="AD1394" s="190"/>
      <c r="AE1394" s="190"/>
      <c r="AF1394" s="190"/>
      <c r="AG1394" s="190"/>
      <c r="AH1394" s="190"/>
      <c r="AI1394" s="190"/>
      <c r="AJ1394" s="190"/>
      <c r="AK1394" s="190"/>
      <c r="AL1394" s="190"/>
      <c r="AM1394" s="190"/>
    </row>
    <row r="1395" spans="2:39">
      <c r="B1395" s="162"/>
      <c r="C1395" s="162"/>
      <c r="D1395" s="191"/>
      <c r="E1395" s="191"/>
      <c r="F1395" s="191"/>
      <c r="G1395" s="191"/>
      <c r="H1395" s="191"/>
      <c r="I1395" s="191"/>
      <c r="J1395" s="191"/>
      <c r="K1395" s="191"/>
      <c r="L1395" s="191"/>
      <c r="M1395" s="191"/>
      <c r="N1395" s="191"/>
      <c r="O1395" s="191"/>
      <c r="P1395" s="191"/>
      <c r="Q1395" s="191"/>
      <c r="R1395" s="191"/>
      <c r="S1395" s="191"/>
      <c r="T1395" s="191"/>
      <c r="U1395" s="191"/>
      <c r="V1395" s="191"/>
      <c r="W1395" s="191"/>
      <c r="X1395" s="191"/>
      <c r="Y1395" s="191"/>
      <c r="Z1395" s="191"/>
      <c r="AA1395" s="191"/>
      <c r="AB1395" s="191"/>
      <c r="AC1395" s="190"/>
      <c r="AD1395" s="190"/>
      <c r="AE1395" s="190"/>
      <c r="AF1395" s="190"/>
      <c r="AG1395" s="190"/>
      <c r="AH1395" s="190"/>
      <c r="AI1395" s="190"/>
      <c r="AJ1395" s="190"/>
      <c r="AK1395" s="190"/>
      <c r="AL1395" s="190"/>
      <c r="AM1395" s="190"/>
    </row>
    <row r="1396" spans="2:39">
      <c r="B1396" s="162"/>
      <c r="C1396" s="162"/>
      <c r="D1396" s="191"/>
      <c r="E1396" s="191"/>
      <c r="F1396" s="191"/>
      <c r="G1396" s="191"/>
      <c r="H1396" s="191"/>
      <c r="I1396" s="191"/>
      <c r="J1396" s="191"/>
      <c r="K1396" s="191"/>
      <c r="L1396" s="191"/>
      <c r="M1396" s="191"/>
      <c r="N1396" s="191"/>
      <c r="O1396" s="191"/>
      <c r="P1396" s="191"/>
      <c r="Q1396" s="191"/>
      <c r="R1396" s="191"/>
      <c r="S1396" s="191"/>
      <c r="T1396" s="191"/>
      <c r="U1396" s="191"/>
      <c r="V1396" s="191"/>
      <c r="W1396" s="191"/>
      <c r="X1396" s="191"/>
      <c r="Y1396" s="191"/>
      <c r="Z1396" s="191"/>
      <c r="AA1396" s="191"/>
      <c r="AB1396" s="191"/>
      <c r="AC1396" s="190"/>
      <c r="AD1396" s="190"/>
      <c r="AE1396" s="190"/>
      <c r="AF1396" s="190"/>
      <c r="AG1396" s="190"/>
      <c r="AH1396" s="190"/>
      <c r="AI1396" s="190"/>
      <c r="AJ1396" s="190"/>
      <c r="AK1396" s="190"/>
      <c r="AL1396" s="190"/>
      <c r="AM1396" s="190"/>
    </row>
    <row r="1397" spans="2:39">
      <c r="B1397" s="162"/>
      <c r="C1397" s="162"/>
      <c r="D1397" s="191"/>
      <c r="E1397" s="191"/>
      <c r="F1397" s="191"/>
      <c r="G1397" s="191"/>
      <c r="H1397" s="191"/>
      <c r="I1397" s="191"/>
      <c r="J1397" s="191"/>
      <c r="K1397" s="191"/>
      <c r="L1397" s="191"/>
      <c r="M1397" s="191"/>
      <c r="N1397" s="191"/>
      <c r="O1397" s="191"/>
      <c r="P1397" s="191"/>
      <c r="Q1397" s="191"/>
      <c r="R1397" s="191"/>
      <c r="S1397" s="191"/>
      <c r="T1397" s="191"/>
      <c r="U1397" s="191"/>
      <c r="V1397" s="191"/>
      <c r="W1397" s="191"/>
      <c r="X1397" s="191"/>
      <c r="Y1397" s="191"/>
      <c r="Z1397" s="191"/>
      <c r="AA1397" s="191"/>
      <c r="AB1397" s="191"/>
      <c r="AC1397" s="190"/>
      <c r="AD1397" s="190"/>
      <c r="AE1397" s="190"/>
      <c r="AF1397" s="190"/>
      <c r="AG1397" s="190"/>
      <c r="AH1397" s="190"/>
      <c r="AI1397" s="190"/>
      <c r="AJ1397" s="190"/>
      <c r="AK1397" s="190"/>
      <c r="AL1397" s="190"/>
      <c r="AM1397" s="190"/>
    </row>
    <row r="1398" spans="2:39">
      <c r="B1398" s="162"/>
      <c r="C1398" s="162"/>
      <c r="D1398" s="191"/>
      <c r="E1398" s="191"/>
      <c r="F1398" s="191"/>
      <c r="G1398" s="191"/>
      <c r="H1398" s="191"/>
      <c r="I1398" s="191"/>
      <c r="J1398" s="191"/>
      <c r="K1398" s="191"/>
      <c r="L1398" s="191"/>
      <c r="M1398" s="191"/>
      <c r="N1398" s="191"/>
      <c r="O1398" s="191"/>
      <c r="P1398" s="191"/>
      <c r="Q1398" s="191"/>
      <c r="R1398" s="191"/>
      <c r="S1398" s="191"/>
      <c r="T1398" s="191"/>
      <c r="U1398" s="191"/>
      <c r="V1398" s="191"/>
      <c r="W1398" s="191"/>
      <c r="X1398" s="191"/>
      <c r="Y1398" s="191"/>
      <c r="Z1398" s="191"/>
      <c r="AA1398" s="191"/>
      <c r="AB1398" s="191"/>
      <c r="AC1398" s="190"/>
      <c r="AD1398" s="190"/>
      <c r="AE1398" s="190"/>
      <c r="AF1398" s="190"/>
      <c r="AG1398" s="190"/>
      <c r="AH1398" s="190"/>
      <c r="AI1398" s="190"/>
      <c r="AJ1398" s="190"/>
      <c r="AK1398" s="190"/>
      <c r="AL1398" s="190"/>
      <c r="AM1398" s="190"/>
    </row>
    <row r="1399" spans="2:39">
      <c r="B1399" s="162"/>
      <c r="C1399" s="162"/>
      <c r="D1399" s="191"/>
      <c r="E1399" s="191"/>
      <c r="F1399" s="191"/>
      <c r="G1399" s="191"/>
      <c r="H1399" s="191"/>
      <c r="I1399" s="191"/>
      <c r="J1399" s="191"/>
      <c r="K1399" s="191"/>
      <c r="L1399" s="191"/>
      <c r="M1399" s="191"/>
      <c r="N1399" s="191"/>
      <c r="O1399" s="191"/>
      <c r="P1399" s="191"/>
      <c r="Q1399" s="191"/>
      <c r="R1399" s="191"/>
      <c r="S1399" s="191"/>
      <c r="T1399" s="191"/>
      <c r="U1399" s="191"/>
      <c r="V1399" s="191"/>
      <c r="W1399" s="191"/>
      <c r="X1399" s="191"/>
      <c r="Y1399" s="191"/>
      <c r="Z1399" s="191"/>
      <c r="AA1399" s="191"/>
      <c r="AB1399" s="191"/>
      <c r="AC1399" s="190"/>
      <c r="AD1399" s="190"/>
      <c r="AE1399" s="190"/>
      <c r="AF1399" s="190"/>
      <c r="AG1399" s="190"/>
      <c r="AH1399" s="190"/>
      <c r="AI1399" s="190"/>
      <c r="AJ1399" s="190"/>
      <c r="AK1399" s="190"/>
      <c r="AL1399" s="190"/>
      <c r="AM1399" s="190"/>
    </row>
    <row r="1400" spans="2:39">
      <c r="B1400" s="162"/>
      <c r="C1400" s="162"/>
      <c r="D1400" s="191"/>
      <c r="E1400" s="191"/>
      <c r="F1400" s="191"/>
      <c r="G1400" s="191"/>
      <c r="H1400" s="191"/>
      <c r="I1400" s="191"/>
      <c r="J1400" s="191"/>
      <c r="K1400" s="191"/>
      <c r="L1400" s="191"/>
      <c r="M1400" s="191"/>
      <c r="N1400" s="191"/>
      <c r="O1400" s="191"/>
      <c r="P1400" s="191"/>
      <c r="Q1400" s="191"/>
      <c r="R1400" s="191"/>
      <c r="S1400" s="191"/>
      <c r="T1400" s="191"/>
      <c r="U1400" s="191"/>
      <c r="V1400" s="191"/>
      <c r="W1400" s="191"/>
      <c r="X1400" s="191"/>
      <c r="Y1400" s="191"/>
      <c r="Z1400" s="191"/>
      <c r="AA1400" s="191"/>
      <c r="AB1400" s="191"/>
      <c r="AC1400" s="190"/>
      <c r="AD1400" s="190"/>
      <c r="AE1400" s="190"/>
      <c r="AF1400" s="190"/>
      <c r="AG1400" s="190"/>
      <c r="AH1400" s="190"/>
      <c r="AI1400" s="190"/>
      <c r="AJ1400" s="190"/>
      <c r="AK1400" s="190"/>
      <c r="AL1400" s="190"/>
      <c r="AM1400" s="190"/>
    </row>
    <row r="1401" spans="2:39">
      <c r="B1401" s="162"/>
      <c r="C1401" s="162"/>
      <c r="D1401" s="191"/>
      <c r="E1401" s="191"/>
      <c r="F1401" s="191"/>
      <c r="G1401" s="191"/>
      <c r="H1401" s="191"/>
      <c r="I1401" s="191"/>
      <c r="J1401" s="191"/>
      <c r="K1401" s="191"/>
      <c r="L1401" s="191"/>
      <c r="M1401" s="191"/>
      <c r="N1401" s="191"/>
      <c r="O1401" s="191"/>
      <c r="P1401" s="191"/>
      <c r="Q1401" s="191"/>
      <c r="R1401" s="191"/>
      <c r="S1401" s="191"/>
      <c r="T1401" s="191"/>
      <c r="U1401" s="191"/>
      <c r="V1401" s="191"/>
      <c r="W1401" s="191"/>
      <c r="X1401" s="191"/>
      <c r="Y1401" s="191"/>
      <c r="Z1401" s="191"/>
      <c r="AA1401" s="191"/>
      <c r="AB1401" s="191"/>
      <c r="AC1401" s="190"/>
      <c r="AD1401" s="190"/>
      <c r="AE1401" s="190"/>
      <c r="AF1401" s="190"/>
      <c r="AG1401" s="190"/>
      <c r="AH1401" s="190"/>
      <c r="AI1401" s="190"/>
      <c r="AJ1401" s="190"/>
      <c r="AK1401" s="190"/>
      <c r="AL1401" s="190"/>
      <c r="AM1401" s="190"/>
    </row>
    <row r="1402" spans="2:39">
      <c r="B1402" s="162"/>
      <c r="C1402" s="162"/>
      <c r="D1402" s="191"/>
      <c r="E1402" s="191"/>
      <c r="F1402" s="191"/>
      <c r="G1402" s="191"/>
      <c r="H1402" s="191"/>
      <c r="I1402" s="191"/>
      <c r="J1402" s="191"/>
      <c r="K1402" s="191"/>
      <c r="L1402" s="191"/>
      <c r="M1402" s="191"/>
      <c r="N1402" s="191"/>
      <c r="O1402" s="191"/>
      <c r="P1402" s="191"/>
      <c r="Q1402" s="191"/>
      <c r="R1402" s="191"/>
      <c r="S1402" s="191"/>
      <c r="T1402" s="191"/>
      <c r="U1402" s="191"/>
      <c r="V1402" s="191"/>
      <c r="W1402" s="191"/>
      <c r="X1402" s="191"/>
      <c r="Y1402" s="191"/>
      <c r="Z1402" s="191"/>
      <c r="AA1402" s="191"/>
      <c r="AB1402" s="191"/>
      <c r="AC1402" s="190"/>
      <c r="AD1402" s="190"/>
      <c r="AE1402" s="190"/>
      <c r="AF1402" s="190"/>
      <c r="AG1402" s="190"/>
      <c r="AH1402" s="190"/>
      <c r="AI1402" s="190"/>
      <c r="AJ1402" s="190"/>
      <c r="AK1402" s="190"/>
      <c r="AL1402" s="190"/>
      <c r="AM1402" s="190"/>
    </row>
    <row r="1403" spans="2:39">
      <c r="B1403" s="162"/>
      <c r="C1403" s="162"/>
      <c r="D1403" s="191"/>
      <c r="E1403" s="191"/>
      <c r="F1403" s="191"/>
      <c r="G1403" s="191"/>
      <c r="H1403" s="191"/>
      <c r="I1403" s="191"/>
      <c r="J1403" s="191"/>
      <c r="K1403" s="191"/>
      <c r="L1403" s="191"/>
      <c r="M1403" s="191"/>
      <c r="N1403" s="191"/>
      <c r="O1403" s="191"/>
      <c r="P1403" s="191"/>
      <c r="Q1403" s="191"/>
      <c r="R1403" s="191"/>
      <c r="S1403" s="191"/>
      <c r="T1403" s="191"/>
      <c r="U1403" s="191"/>
      <c r="V1403" s="191"/>
      <c r="W1403" s="191"/>
      <c r="X1403" s="191"/>
      <c r="Y1403" s="191"/>
      <c r="Z1403" s="191"/>
      <c r="AA1403" s="191"/>
      <c r="AB1403" s="191"/>
      <c r="AC1403" s="190"/>
      <c r="AD1403" s="190"/>
      <c r="AE1403" s="190"/>
      <c r="AF1403" s="190"/>
      <c r="AG1403" s="190"/>
      <c r="AH1403" s="190"/>
      <c r="AI1403" s="190"/>
      <c r="AJ1403" s="190"/>
      <c r="AK1403" s="190"/>
      <c r="AL1403" s="190"/>
      <c r="AM1403" s="190"/>
    </row>
    <row r="1404" spans="2:39">
      <c r="B1404" s="162"/>
      <c r="C1404" s="162"/>
      <c r="D1404" s="191"/>
      <c r="E1404" s="191"/>
      <c r="F1404" s="191"/>
      <c r="G1404" s="191"/>
      <c r="H1404" s="191"/>
      <c r="I1404" s="191"/>
      <c r="J1404" s="191"/>
      <c r="K1404" s="191"/>
      <c r="L1404" s="191"/>
      <c r="M1404" s="191"/>
      <c r="N1404" s="191"/>
      <c r="O1404" s="191"/>
      <c r="P1404" s="191"/>
      <c r="Q1404" s="191"/>
      <c r="R1404" s="191"/>
      <c r="S1404" s="191"/>
      <c r="T1404" s="191"/>
      <c r="U1404" s="191"/>
      <c r="V1404" s="191"/>
      <c r="W1404" s="191"/>
      <c r="X1404" s="191"/>
      <c r="Y1404" s="191"/>
      <c r="Z1404" s="191"/>
      <c r="AA1404" s="191"/>
      <c r="AB1404" s="191"/>
      <c r="AC1404" s="190"/>
      <c r="AD1404" s="190"/>
      <c r="AE1404" s="190"/>
      <c r="AF1404" s="190"/>
      <c r="AG1404" s="190"/>
      <c r="AH1404" s="190"/>
      <c r="AI1404" s="190"/>
      <c r="AJ1404" s="190"/>
      <c r="AK1404" s="190"/>
      <c r="AL1404" s="190"/>
      <c r="AM1404" s="190"/>
    </row>
    <row r="1405" spans="2:39">
      <c r="B1405" s="162"/>
      <c r="C1405" s="162"/>
      <c r="D1405" s="191"/>
      <c r="E1405" s="191"/>
      <c r="F1405" s="191"/>
      <c r="G1405" s="191"/>
      <c r="H1405" s="191"/>
      <c r="I1405" s="191"/>
      <c r="J1405" s="191"/>
      <c r="K1405" s="191"/>
      <c r="L1405" s="191"/>
      <c r="M1405" s="191"/>
      <c r="N1405" s="191"/>
      <c r="O1405" s="191"/>
      <c r="P1405" s="191"/>
      <c r="Q1405" s="191"/>
      <c r="R1405" s="191"/>
      <c r="S1405" s="191"/>
      <c r="T1405" s="191"/>
      <c r="U1405" s="191"/>
      <c r="V1405" s="191"/>
      <c r="W1405" s="191"/>
      <c r="X1405" s="191"/>
      <c r="Y1405" s="191"/>
      <c r="Z1405" s="191"/>
      <c r="AA1405" s="191"/>
      <c r="AB1405" s="191"/>
      <c r="AC1405" s="190"/>
      <c r="AD1405" s="190"/>
      <c r="AE1405" s="190"/>
      <c r="AF1405" s="190"/>
      <c r="AG1405" s="190"/>
      <c r="AH1405" s="190"/>
      <c r="AI1405" s="190"/>
      <c r="AJ1405" s="190"/>
      <c r="AK1405" s="190"/>
      <c r="AL1405" s="190"/>
      <c r="AM1405" s="190"/>
    </row>
    <row r="1406" spans="2:39">
      <c r="B1406" s="162"/>
      <c r="C1406" s="162"/>
      <c r="D1406" s="191"/>
      <c r="E1406" s="191"/>
      <c r="F1406" s="191"/>
      <c r="G1406" s="191"/>
      <c r="H1406" s="191"/>
      <c r="I1406" s="191"/>
      <c r="J1406" s="191"/>
      <c r="K1406" s="191"/>
      <c r="L1406" s="191"/>
      <c r="M1406" s="191"/>
      <c r="N1406" s="191"/>
      <c r="O1406" s="191"/>
      <c r="P1406" s="191"/>
      <c r="Q1406" s="191"/>
      <c r="R1406" s="191"/>
      <c r="S1406" s="191"/>
      <c r="T1406" s="191"/>
      <c r="U1406" s="191"/>
      <c r="V1406" s="191"/>
      <c r="W1406" s="191"/>
      <c r="X1406" s="191"/>
      <c r="Y1406" s="191"/>
      <c r="Z1406" s="191"/>
      <c r="AA1406" s="191"/>
      <c r="AB1406" s="191"/>
      <c r="AC1406" s="190"/>
      <c r="AD1406" s="190"/>
      <c r="AE1406" s="190"/>
      <c r="AF1406" s="190"/>
      <c r="AG1406" s="190"/>
      <c r="AH1406" s="190"/>
      <c r="AI1406" s="190"/>
      <c r="AJ1406" s="190"/>
      <c r="AK1406" s="190"/>
      <c r="AL1406" s="190"/>
      <c r="AM1406" s="190"/>
    </row>
    <row r="1407" spans="2:39">
      <c r="B1407" s="162"/>
      <c r="C1407" s="162"/>
      <c r="D1407" s="191"/>
      <c r="E1407" s="191"/>
      <c r="F1407" s="191"/>
      <c r="G1407" s="191"/>
      <c r="H1407" s="191"/>
      <c r="I1407" s="191"/>
      <c r="J1407" s="191"/>
      <c r="K1407" s="191"/>
      <c r="L1407" s="191"/>
      <c r="M1407" s="191"/>
      <c r="N1407" s="191"/>
      <c r="O1407" s="191"/>
      <c r="P1407" s="191"/>
      <c r="Q1407" s="191"/>
      <c r="R1407" s="191"/>
      <c r="S1407" s="191"/>
      <c r="T1407" s="191"/>
      <c r="U1407" s="191"/>
      <c r="V1407" s="191"/>
      <c r="W1407" s="191"/>
      <c r="X1407" s="191"/>
      <c r="Y1407" s="191"/>
      <c r="Z1407" s="191"/>
      <c r="AA1407" s="191"/>
      <c r="AB1407" s="191"/>
      <c r="AC1407" s="190"/>
      <c r="AD1407" s="190"/>
      <c r="AE1407" s="190"/>
      <c r="AF1407" s="190"/>
      <c r="AG1407" s="190"/>
      <c r="AH1407" s="190"/>
      <c r="AI1407" s="190"/>
      <c r="AJ1407" s="190"/>
      <c r="AK1407" s="190"/>
      <c r="AL1407" s="190"/>
      <c r="AM1407" s="190"/>
    </row>
    <row r="1408" spans="2:39">
      <c r="B1408" s="162"/>
      <c r="C1408" s="162"/>
      <c r="D1408" s="191"/>
      <c r="E1408" s="191"/>
      <c r="F1408" s="191"/>
      <c r="G1408" s="191"/>
      <c r="H1408" s="191"/>
      <c r="I1408" s="191"/>
      <c r="J1408" s="191"/>
      <c r="K1408" s="191"/>
      <c r="L1408" s="191"/>
      <c r="M1408" s="191"/>
      <c r="N1408" s="191"/>
      <c r="O1408" s="191"/>
      <c r="P1408" s="191"/>
      <c r="Q1408" s="191"/>
      <c r="R1408" s="191"/>
      <c r="S1408" s="191"/>
      <c r="T1408" s="191"/>
      <c r="U1408" s="191"/>
      <c r="V1408" s="191"/>
      <c r="W1408" s="191"/>
      <c r="X1408" s="191"/>
      <c r="Y1408" s="191"/>
      <c r="Z1408" s="191"/>
      <c r="AA1408" s="191"/>
      <c r="AB1408" s="191"/>
      <c r="AC1408" s="190"/>
      <c r="AD1408" s="190"/>
      <c r="AE1408" s="190"/>
      <c r="AF1408" s="190"/>
      <c r="AG1408" s="190"/>
      <c r="AH1408" s="190"/>
      <c r="AI1408" s="190"/>
      <c r="AJ1408" s="190"/>
      <c r="AK1408" s="190"/>
      <c r="AL1408" s="190"/>
      <c r="AM1408" s="190"/>
    </row>
    <row r="1409" spans="2:39">
      <c r="B1409" s="162"/>
      <c r="C1409" s="162"/>
      <c r="D1409" s="191"/>
      <c r="E1409" s="191"/>
      <c r="F1409" s="191"/>
      <c r="G1409" s="191"/>
      <c r="H1409" s="191"/>
      <c r="I1409" s="191"/>
      <c r="J1409" s="191"/>
      <c r="K1409" s="191"/>
      <c r="L1409" s="191"/>
      <c r="M1409" s="191"/>
      <c r="N1409" s="191"/>
      <c r="O1409" s="191"/>
      <c r="P1409" s="191"/>
      <c r="Q1409" s="191"/>
      <c r="R1409" s="191"/>
      <c r="S1409" s="191"/>
      <c r="T1409" s="191"/>
      <c r="U1409" s="191"/>
      <c r="V1409" s="191"/>
      <c r="W1409" s="191"/>
      <c r="X1409" s="191"/>
      <c r="Y1409" s="191"/>
      <c r="Z1409" s="191"/>
      <c r="AA1409" s="191"/>
      <c r="AB1409" s="191"/>
      <c r="AC1409" s="190"/>
      <c r="AD1409" s="190"/>
      <c r="AE1409" s="190"/>
      <c r="AF1409" s="190"/>
      <c r="AG1409" s="190"/>
      <c r="AH1409" s="190"/>
      <c r="AI1409" s="190"/>
      <c r="AJ1409" s="190"/>
      <c r="AK1409" s="190"/>
      <c r="AL1409" s="190"/>
      <c r="AM1409" s="190"/>
    </row>
    <row r="1410" spans="2:39">
      <c r="B1410" s="162"/>
      <c r="C1410" s="162"/>
      <c r="D1410" s="191"/>
      <c r="E1410" s="191"/>
      <c r="F1410" s="191"/>
      <c r="G1410" s="191"/>
      <c r="H1410" s="191"/>
      <c r="I1410" s="191"/>
      <c r="J1410" s="191"/>
      <c r="K1410" s="191"/>
      <c r="L1410" s="191"/>
      <c r="M1410" s="191"/>
      <c r="N1410" s="191"/>
      <c r="O1410" s="191"/>
      <c r="P1410" s="191"/>
      <c r="Q1410" s="191"/>
      <c r="R1410" s="191"/>
      <c r="S1410" s="191"/>
      <c r="T1410" s="191"/>
      <c r="U1410" s="191"/>
      <c r="V1410" s="191"/>
      <c r="W1410" s="191"/>
      <c r="X1410" s="191"/>
      <c r="Y1410" s="191"/>
      <c r="Z1410" s="191"/>
      <c r="AA1410" s="191"/>
      <c r="AB1410" s="191"/>
      <c r="AC1410" s="190"/>
      <c r="AD1410" s="190"/>
      <c r="AE1410" s="190"/>
      <c r="AF1410" s="190"/>
      <c r="AG1410" s="190"/>
      <c r="AH1410" s="190"/>
      <c r="AI1410" s="190"/>
      <c r="AJ1410" s="190"/>
      <c r="AK1410" s="190"/>
      <c r="AL1410" s="190"/>
      <c r="AM1410" s="190"/>
    </row>
    <row r="1411" spans="2:39">
      <c r="B1411" s="162"/>
      <c r="C1411" s="162"/>
      <c r="D1411" s="191"/>
      <c r="E1411" s="191"/>
      <c r="F1411" s="191"/>
      <c r="G1411" s="191"/>
      <c r="H1411" s="191"/>
      <c r="I1411" s="191"/>
      <c r="J1411" s="191"/>
      <c r="K1411" s="191"/>
      <c r="L1411" s="191"/>
      <c r="M1411" s="191"/>
      <c r="N1411" s="191"/>
      <c r="O1411" s="191"/>
      <c r="P1411" s="191"/>
      <c r="Q1411" s="191"/>
      <c r="R1411" s="191"/>
      <c r="S1411" s="191"/>
      <c r="T1411" s="191"/>
      <c r="U1411" s="191"/>
      <c r="V1411" s="191"/>
      <c r="W1411" s="191"/>
      <c r="X1411" s="191"/>
      <c r="Y1411" s="191"/>
      <c r="Z1411" s="191"/>
      <c r="AA1411" s="191"/>
      <c r="AB1411" s="191"/>
      <c r="AC1411" s="190"/>
      <c r="AD1411" s="190"/>
      <c r="AE1411" s="190"/>
      <c r="AF1411" s="190"/>
      <c r="AG1411" s="190"/>
      <c r="AH1411" s="190"/>
      <c r="AI1411" s="190"/>
      <c r="AJ1411" s="190"/>
      <c r="AK1411" s="190"/>
      <c r="AL1411" s="190"/>
      <c r="AM1411" s="190"/>
    </row>
    <row r="1412" spans="2:39">
      <c r="B1412" s="162"/>
      <c r="C1412" s="162"/>
      <c r="D1412" s="191"/>
      <c r="E1412" s="191"/>
      <c r="F1412" s="191"/>
      <c r="G1412" s="191"/>
      <c r="H1412" s="191"/>
      <c r="I1412" s="191"/>
      <c r="J1412" s="191"/>
      <c r="K1412" s="191"/>
      <c r="L1412" s="191"/>
      <c r="M1412" s="191"/>
      <c r="N1412" s="191"/>
      <c r="O1412" s="191"/>
      <c r="P1412" s="191"/>
      <c r="Q1412" s="191"/>
      <c r="R1412" s="191"/>
      <c r="S1412" s="191"/>
      <c r="T1412" s="191"/>
      <c r="U1412" s="191"/>
      <c r="V1412" s="191"/>
      <c r="W1412" s="191"/>
      <c r="X1412" s="191"/>
      <c r="Y1412" s="191"/>
      <c r="Z1412" s="191"/>
      <c r="AA1412" s="191"/>
      <c r="AB1412" s="191"/>
      <c r="AC1412" s="190"/>
      <c r="AD1412" s="190"/>
      <c r="AE1412" s="190"/>
      <c r="AF1412" s="190"/>
      <c r="AG1412" s="190"/>
      <c r="AH1412" s="190"/>
      <c r="AI1412" s="190"/>
      <c r="AJ1412" s="190"/>
      <c r="AK1412" s="190"/>
      <c r="AL1412" s="190"/>
      <c r="AM1412" s="190"/>
    </row>
    <row r="1413" spans="2:39">
      <c r="B1413" s="162"/>
      <c r="C1413" s="162"/>
      <c r="D1413" s="191"/>
      <c r="E1413" s="191"/>
      <c r="F1413" s="191"/>
      <c r="G1413" s="191"/>
      <c r="H1413" s="191"/>
      <c r="I1413" s="191"/>
      <c r="J1413" s="191"/>
      <c r="K1413" s="191"/>
      <c r="L1413" s="191"/>
      <c r="M1413" s="191"/>
      <c r="N1413" s="191"/>
      <c r="O1413" s="191"/>
      <c r="P1413" s="191"/>
      <c r="Q1413" s="191"/>
      <c r="R1413" s="191"/>
      <c r="S1413" s="191"/>
      <c r="T1413" s="191"/>
      <c r="U1413" s="191"/>
      <c r="V1413" s="191"/>
      <c r="W1413" s="191"/>
      <c r="X1413" s="191"/>
      <c r="Y1413" s="191"/>
      <c r="Z1413" s="191"/>
      <c r="AA1413" s="191"/>
      <c r="AB1413" s="191"/>
      <c r="AC1413" s="190"/>
      <c r="AD1413" s="190"/>
      <c r="AE1413" s="190"/>
      <c r="AF1413" s="190"/>
      <c r="AG1413" s="190"/>
      <c r="AH1413" s="190"/>
      <c r="AI1413" s="190"/>
      <c r="AJ1413" s="190"/>
      <c r="AK1413" s="190"/>
      <c r="AL1413" s="190"/>
      <c r="AM1413" s="190"/>
    </row>
    <row r="1414" spans="2:39">
      <c r="B1414" s="162"/>
      <c r="C1414" s="162"/>
      <c r="D1414" s="191"/>
      <c r="E1414" s="191"/>
      <c r="F1414" s="191"/>
      <c r="G1414" s="191"/>
      <c r="H1414" s="191"/>
      <c r="I1414" s="191"/>
      <c r="J1414" s="191"/>
      <c r="K1414" s="191"/>
      <c r="L1414" s="191"/>
      <c r="M1414" s="191"/>
      <c r="N1414" s="191"/>
      <c r="O1414" s="191"/>
      <c r="P1414" s="191"/>
      <c r="Q1414" s="191"/>
      <c r="R1414" s="191"/>
      <c r="S1414" s="191"/>
      <c r="T1414" s="191"/>
      <c r="U1414" s="191"/>
      <c r="V1414" s="191"/>
      <c r="W1414" s="191"/>
      <c r="X1414" s="191"/>
      <c r="Y1414" s="191"/>
      <c r="Z1414" s="191"/>
      <c r="AA1414" s="191"/>
      <c r="AB1414" s="191"/>
      <c r="AC1414" s="190"/>
      <c r="AD1414" s="190"/>
      <c r="AE1414" s="190"/>
      <c r="AF1414" s="190"/>
      <c r="AG1414" s="190"/>
      <c r="AH1414" s="190"/>
      <c r="AI1414" s="190"/>
      <c r="AJ1414" s="190"/>
      <c r="AK1414" s="190"/>
      <c r="AL1414" s="190"/>
      <c r="AM1414" s="190"/>
    </row>
    <row r="1415" spans="2:39">
      <c r="B1415" s="162"/>
      <c r="C1415" s="162"/>
      <c r="D1415" s="191"/>
      <c r="E1415" s="191"/>
      <c r="F1415" s="191"/>
      <c r="G1415" s="191"/>
      <c r="H1415" s="191"/>
      <c r="I1415" s="191"/>
      <c r="J1415" s="191"/>
      <c r="K1415" s="191"/>
      <c r="L1415" s="191"/>
      <c r="M1415" s="191"/>
      <c r="N1415" s="191"/>
      <c r="O1415" s="191"/>
      <c r="P1415" s="191"/>
      <c r="Q1415" s="191"/>
      <c r="R1415" s="191"/>
      <c r="S1415" s="191"/>
      <c r="T1415" s="191"/>
      <c r="U1415" s="191"/>
      <c r="V1415" s="191"/>
      <c r="W1415" s="191"/>
      <c r="X1415" s="191"/>
      <c r="Y1415" s="191"/>
      <c r="Z1415" s="191"/>
      <c r="AA1415" s="191"/>
      <c r="AB1415" s="191"/>
      <c r="AC1415" s="190"/>
      <c r="AD1415" s="190"/>
      <c r="AE1415" s="190"/>
      <c r="AF1415" s="190"/>
      <c r="AG1415" s="190"/>
      <c r="AH1415" s="190"/>
      <c r="AI1415" s="190"/>
      <c r="AJ1415" s="190"/>
      <c r="AK1415" s="190"/>
      <c r="AL1415" s="190"/>
      <c r="AM1415" s="190"/>
    </row>
    <row r="1416" spans="2:39">
      <c r="B1416" s="162"/>
      <c r="C1416" s="162"/>
      <c r="D1416" s="191"/>
      <c r="E1416" s="191"/>
      <c r="F1416" s="191"/>
      <c r="G1416" s="191"/>
      <c r="H1416" s="191"/>
      <c r="I1416" s="191"/>
      <c r="J1416" s="191"/>
      <c r="K1416" s="191"/>
      <c r="L1416" s="191"/>
      <c r="M1416" s="191"/>
      <c r="N1416" s="191"/>
      <c r="O1416" s="191"/>
      <c r="P1416" s="191"/>
      <c r="Q1416" s="191"/>
      <c r="R1416" s="191"/>
      <c r="S1416" s="191"/>
      <c r="T1416" s="191"/>
      <c r="U1416" s="191"/>
      <c r="V1416" s="191"/>
      <c r="W1416" s="191"/>
      <c r="X1416" s="191"/>
      <c r="Y1416" s="191"/>
      <c r="Z1416" s="191"/>
      <c r="AA1416" s="191"/>
      <c r="AB1416" s="191"/>
      <c r="AC1416" s="190"/>
      <c r="AD1416" s="190"/>
      <c r="AE1416" s="190"/>
      <c r="AF1416" s="190"/>
      <c r="AG1416" s="190"/>
      <c r="AH1416" s="190"/>
      <c r="AI1416" s="190"/>
      <c r="AJ1416" s="190"/>
      <c r="AK1416" s="190"/>
      <c r="AL1416" s="190"/>
      <c r="AM1416" s="190"/>
    </row>
    <row r="1417" spans="2:39">
      <c r="B1417" s="162"/>
      <c r="C1417" s="162"/>
      <c r="D1417" s="191"/>
      <c r="E1417" s="191"/>
      <c r="F1417" s="191"/>
      <c r="G1417" s="191"/>
      <c r="H1417" s="191"/>
      <c r="I1417" s="191"/>
      <c r="J1417" s="191"/>
      <c r="K1417" s="191"/>
      <c r="L1417" s="191"/>
      <c r="M1417" s="191"/>
      <c r="N1417" s="191"/>
      <c r="O1417" s="191"/>
      <c r="P1417" s="191"/>
      <c r="Q1417" s="191"/>
      <c r="R1417" s="191"/>
      <c r="S1417" s="191"/>
      <c r="T1417" s="191"/>
      <c r="U1417" s="191"/>
      <c r="V1417" s="191"/>
      <c r="W1417" s="191"/>
      <c r="X1417" s="191"/>
      <c r="Y1417" s="191"/>
      <c r="Z1417" s="191"/>
      <c r="AA1417" s="191"/>
      <c r="AB1417" s="191"/>
      <c r="AC1417" s="190"/>
      <c r="AD1417" s="190"/>
      <c r="AE1417" s="190"/>
      <c r="AF1417" s="190"/>
      <c r="AG1417" s="190"/>
      <c r="AH1417" s="190"/>
      <c r="AI1417" s="190"/>
      <c r="AJ1417" s="190"/>
      <c r="AK1417" s="190"/>
      <c r="AL1417" s="190"/>
      <c r="AM1417" s="190"/>
    </row>
    <row r="1418" spans="2:39">
      <c r="B1418" s="162"/>
      <c r="C1418" s="162"/>
      <c r="D1418" s="191"/>
      <c r="E1418" s="191"/>
      <c r="F1418" s="191"/>
      <c r="G1418" s="191"/>
      <c r="H1418" s="191"/>
      <c r="I1418" s="191"/>
      <c r="J1418" s="191"/>
      <c r="K1418" s="191"/>
      <c r="L1418" s="191"/>
      <c r="M1418" s="191"/>
      <c r="N1418" s="191"/>
      <c r="O1418" s="191"/>
      <c r="P1418" s="191"/>
      <c r="Q1418" s="191"/>
      <c r="R1418" s="191"/>
      <c r="S1418" s="191"/>
      <c r="T1418" s="191"/>
      <c r="U1418" s="191"/>
      <c r="V1418" s="191"/>
      <c r="W1418" s="191"/>
      <c r="X1418" s="191"/>
      <c r="Y1418" s="191"/>
      <c r="Z1418" s="191"/>
      <c r="AA1418" s="191"/>
      <c r="AB1418" s="191"/>
      <c r="AC1418" s="190"/>
      <c r="AD1418" s="190"/>
      <c r="AE1418" s="190"/>
      <c r="AF1418" s="190"/>
      <c r="AG1418" s="190"/>
      <c r="AH1418" s="190"/>
      <c r="AI1418" s="190"/>
      <c r="AJ1418" s="190"/>
      <c r="AK1418" s="190"/>
      <c r="AL1418" s="190"/>
      <c r="AM1418" s="190"/>
    </row>
    <row r="1419" spans="2:39">
      <c r="B1419" s="162"/>
      <c r="C1419" s="162"/>
      <c r="D1419" s="191"/>
      <c r="E1419" s="191"/>
      <c r="F1419" s="191"/>
      <c r="G1419" s="191"/>
      <c r="H1419" s="191"/>
      <c r="I1419" s="191"/>
      <c r="J1419" s="191"/>
      <c r="K1419" s="191"/>
      <c r="L1419" s="191"/>
      <c r="M1419" s="191"/>
      <c r="N1419" s="191"/>
      <c r="O1419" s="191"/>
      <c r="P1419" s="191"/>
      <c r="Q1419" s="191"/>
      <c r="R1419" s="191"/>
      <c r="S1419" s="191"/>
      <c r="T1419" s="191"/>
      <c r="U1419" s="191"/>
      <c r="V1419" s="191"/>
      <c r="W1419" s="191"/>
      <c r="X1419" s="191"/>
      <c r="Y1419" s="191"/>
      <c r="Z1419" s="191"/>
      <c r="AA1419" s="191"/>
      <c r="AB1419" s="191"/>
      <c r="AC1419" s="190"/>
      <c r="AD1419" s="190"/>
      <c r="AE1419" s="190"/>
      <c r="AF1419" s="190"/>
      <c r="AG1419" s="190"/>
      <c r="AH1419" s="190"/>
      <c r="AI1419" s="190"/>
      <c r="AJ1419" s="190"/>
      <c r="AK1419" s="190"/>
      <c r="AL1419" s="190"/>
      <c r="AM1419" s="190"/>
    </row>
    <row r="1420" spans="2:39">
      <c r="B1420" s="162"/>
      <c r="C1420" s="162"/>
      <c r="D1420" s="191"/>
      <c r="E1420" s="191"/>
      <c r="F1420" s="191"/>
      <c r="G1420" s="191"/>
      <c r="H1420" s="191"/>
      <c r="I1420" s="191"/>
      <c r="J1420" s="191"/>
      <c r="K1420" s="191"/>
      <c r="L1420" s="191"/>
      <c r="M1420" s="191"/>
      <c r="N1420" s="191"/>
      <c r="O1420" s="191"/>
      <c r="P1420" s="191"/>
      <c r="Q1420" s="191"/>
      <c r="R1420" s="191"/>
      <c r="S1420" s="191"/>
      <c r="T1420" s="191"/>
      <c r="U1420" s="191"/>
      <c r="V1420" s="191"/>
      <c r="W1420" s="191"/>
      <c r="X1420" s="191"/>
      <c r="Y1420" s="191"/>
      <c r="Z1420" s="191"/>
      <c r="AA1420" s="191"/>
      <c r="AB1420" s="191"/>
      <c r="AC1420" s="190"/>
      <c r="AD1420" s="190"/>
      <c r="AE1420" s="190"/>
      <c r="AF1420" s="190"/>
      <c r="AG1420" s="190"/>
      <c r="AH1420" s="190"/>
      <c r="AI1420" s="190"/>
      <c r="AJ1420" s="190"/>
      <c r="AK1420" s="190"/>
      <c r="AL1420" s="190"/>
      <c r="AM1420" s="190"/>
    </row>
    <row r="1421" spans="2:39">
      <c r="B1421" s="162"/>
      <c r="C1421" s="162"/>
      <c r="D1421" s="191"/>
      <c r="E1421" s="191"/>
      <c r="F1421" s="191"/>
      <c r="G1421" s="191"/>
      <c r="H1421" s="191"/>
      <c r="I1421" s="191"/>
      <c r="J1421" s="191"/>
      <c r="K1421" s="191"/>
      <c r="L1421" s="191"/>
      <c r="M1421" s="191"/>
      <c r="N1421" s="191"/>
      <c r="O1421" s="191"/>
      <c r="P1421" s="191"/>
      <c r="Q1421" s="191"/>
      <c r="R1421" s="191"/>
      <c r="S1421" s="191"/>
      <c r="T1421" s="191"/>
      <c r="U1421" s="191"/>
      <c r="V1421" s="191"/>
      <c r="W1421" s="191"/>
      <c r="X1421" s="191"/>
      <c r="Y1421" s="191"/>
      <c r="Z1421" s="191"/>
      <c r="AA1421" s="191"/>
      <c r="AB1421" s="191"/>
      <c r="AC1421" s="190"/>
      <c r="AD1421" s="190"/>
      <c r="AE1421" s="190"/>
      <c r="AF1421" s="190"/>
      <c r="AG1421" s="190"/>
      <c r="AH1421" s="190"/>
      <c r="AI1421" s="190"/>
      <c r="AJ1421" s="190"/>
      <c r="AK1421" s="190"/>
      <c r="AL1421" s="190"/>
      <c r="AM1421" s="190"/>
    </row>
    <row r="1422" spans="2:39">
      <c r="B1422" s="162"/>
      <c r="C1422" s="162"/>
      <c r="D1422" s="191"/>
      <c r="E1422" s="191"/>
      <c r="F1422" s="191"/>
      <c r="G1422" s="191"/>
      <c r="H1422" s="191"/>
      <c r="I1422" s="191"/>
      <c r="J1422" s="191"/>
      <c r="K1422" s="191"/>
      <c r="L1422" s="191"/>
      <c r="M1422" s="191"/>
      <c r="N1422" s="191"/>
      <c r="O1422" s="191"/>
      <c r="P1422" s="191"/>
      <c r="Q1422" s="191"/>
      <c r="R1422" s="191"/>
      <c r="S1422" s="191"/>
      <c r="T1422" s="191"/>
      <c r="U1422" s="191"/>
      <c r="V1422" s="191"/>
      <c r="W1422" s="191"/>
      <c r="X1422" s="191"/>
      <c r="Y1422" s="191"/>
      <c r="Z1422" s="191"/>
      <c r="AA1422" s="191"/>
      <c r="AB1422" s="191"/>
      <c r="AC1422" s="190"/>
      <c r="AD1422" s="190"/>
      <c r="AE1422" s="190"/>
      <c r="AF1422" s="190"/>
      <c r="AG1422" s="190"/>
      <c r="AH1422" s="190"/>
      <c r="AI1422" s="190"/>
      <c r="AJ1422" s="190"/>
      <c r="AK1422" s="190"/>
      <c r="AL1422" s="190"/>
      <c r="AM1422" s="190"/>
    </row>
    <row r="1423" spans="2:39">
      <c r="B1423" s="162"/>
      <c r="C1423" s="162"/>
      <c r="D1423" s="191"/>
      <c r="E1423" s="191"/>
      <c r="F1423" s="191"/>
      <c r="G1423" s="191"/>
      <c r="H1423" s="191"/>
      <c r="I1423" s="191"/>
      <c r="J1423" s="191"/>
      <c r="K1423" s="191"/>
      <c r="L1423" s="191"/>
      <c r="M1423" s="191"/>
      <c r="N1423" s="191"/>
      <c r="O1423" s="191"/>
      <c r="P1423" s="191"/>
      <c r="Q1423" s="191"/>
      <c r="R1423" s="191"/>
      <c r="S1423" s="191"/>
      <c r="T1423" s="191"/>
      <c r="U1423" s="191"/>
      <c r="V1423" s="191"/>
      <c r="W1423" s="191"/>
      <c r="X1423" s="191"/>
      <c r="Y1423" s="191"/>
      <c r="Z1423" s="191"/>
      <c r="AA1423" s="191"/>
      <c r="AB1423" s="191"/>
      <c r="AC1423" s="190"/>
      <c r="AD1423" s="190"/>
      <c r="AE1423" s="190"/>
      <c r="AF1423" s="190"/>
      <c r="AG1423" s="190"/>
      <c r="AH1423" s="190"/>
      <c r="AI1423" s="190"/>
      <c r="AJ1423" s="190"/>
      <c r="AK1423" s="190"/>
      <c r="AL1423" s="190"/>
      <c r="AM1423" s="190"/>
    </row>
    <row r="1424" spans="2:39">
      <c r="B1424" s="162"/>
      <c r="C1424" s="162"/>
      <c r="D1424" s="191"/>
      <c r="E1424" s="191"/>
      <c r="F1424" s="191"/>
      <c r="G1424" s="191"/>
      <c r="H1424" s="191"/>
      <c r="I1424" s="191"/>
      <c r="J1424" s="191"/>
      <c r="K1424" s="191"/>
      <c r="L1424" s="191"/>
      <c r="M1424" s="191"/>
      <c r="N1424" s="191"/>
      <c r="O1424" s="191"/>
      <c r="P1424" s="191"/>
      <c r="Q1424" s="191"/>
      <c r="R1424" s="191"/>
      <c r="S1424" s="191"/>
      <c r="T1424" s="191"/>
      <c r="U1424" s="191"/>
      <c r="V1424" s="191"/>
      <c r="W1424" s="191"/>
      <c r="X1424" s="191"/>
      <c r="Y1424" s="191"/>
      <c r="Z1424" s="191"/>
      <c r="AA1424" s="191"/>
      <c r="AB1424" s="191"/>
      <c r="AC1424" s="190"/>
      <c r="AD1424" s="190"/>
      <c r="AE1424" s="190"/>
      <c r="AF1424" s="190"/>
      <c r="AG1424" s="190"/>
      <c r="AH1424" s="190"/>
      <c r="AI1424" s="190"/>
      <c r="AJ1424" s="190"/>
      <c r="AK1424" s="190"/>
      <c r="AL1424" s="190"/>
      <c r="AM1424" s="190"/>
    </row>
    <row r="1425" spans="2:39">
      <c r="B1425" s="162"/>
      <c r="C1425" s="162"/>
      <c r="D1425" s="191"/>
      <c r="E1425" s="191"/>
      <c r="F1425" s="191"/>
      <c r="G1425" s="191"/>
      <c r="H1425" s="191"/>
      <c r="I1425" s="191"/>
      <c r="J1425" s="191"/>
      <c r="K1425" s="191"/>
      <c r="L1425" s="191"/>
      <c r="M1425" s="191"/>
      <c r="N1425" s="191"/>
      <c r="O1425" s="191"/>
      <c r="P1425" s="191"/>
      <c r="Q1425" s="191"/>
      <c r="R1425" s="191"/>
      <c r="S1425" s="191"/>
      <c r="T1425" s="191"/>
      <c r="U1425" s="191"/>
      <c r="V1425" s="191"/>
      <c r="W1425" s="191"/>
      <c r="X1425" s="191"/>
      <c r="Y1425" s="191"/>
      <c r="Z1425" s="191"/>
      <c r="AA1425" s="191"/>
      <c r="AB1425" s="191"/>
      <c r="AC1425" s="190"/>
      <c r="AD1425" s="190"/>
      <c r="AE1425" s="190"/>
      <c r="AF1425" s="190"/>
      <c r="AG1425" s="190"/>
      <c r="AH1425" s="190"/>
      <c r="AI1425" s="190"/>
      <c r="AJ1425" s="190"/>
      <c r="AK1425" s="190"/>
      <c r="AL1425" s="190"/>
      <c r="AM1425" s="190"/>
    </row>
    <row r="1426" spans="2:39">
      <c r="B1426" s="162"/>
      <c r="C1426" s="162"/>
      <c r="D1426" s="191"/>
      <c r="E1426" s="191"/>
      <c r="F1426" s="191"/>
      <c r="G1426" s="191"/>
      <c r="H1426" s="191"/>
      <c r="I1426" s="191"/>
      <c r="J1426" s="191"/>
      <c r="K1426" s="191"/>
      <c r="L1426" s="191"/>
      <c r="M1426" s="191"/>
      <c r="N1426" s="191"/>
      <c r="O1426" s="191"/>
      <c r="P1426" s="191"/>
      <c r="Q1426" s="191"/>
      <c r="R1426" s="191"/>
      <c r="S1426" s="191"/>
      <c r="T1426" s="191"/>
      <c r="U1426" s="191"/>
      <c r="V1426" s="191"/>
      <c r="W1426" s="191"/>
      <c r="X1426" s="191"/>
      <c r="Y1426" s="191"/>
      <c r="Z1426" s="191"/>
      <c r="AA1426" s="191"/>
      <c r="AB1426" s="191"/>
      <c r="AC1426" s="190"/>
      <c r="AD1426" s="190"/>
      <c r="AE1426" s="190"/>
      <c r="AF1426" s="190"/>
      <c r="AG1426" s="190"/>
      <c r="AH1426" s="190"/>
      <c r="AI1426" s="190"/>
      <c r="AJ1426" s="190"/>
      <c r="AK1426" s="190"/>
      <c r="AL1426" s="190"/>
      <c r="AM1426" s="190"/>
    </row>
    <row r="1427" spans="2:39">
      <c r="B1427" s="162"/>
      <c r="C1427" s="162"/>
      <c r="D1427" s="191"/>
      <c r="E1427" s="191"/>
      <c r="F1427" s="191"/>
      <c r="G1427" s="191"/>
      <c r="H1427" s="191"/>
      <c r="I1427" s="191"/>
      <c r="J1427" s="191"/>
      <c r="K1427" s="191"/>
      <c r="L1427" s="191"/>
      <c r="M1427" s="191"/>
      <c r="N1427" s="191"/>
      <c r="O1427" s="191"/>
      <c r="P1427" s="191"/>
      <c r="Q1427" s="191"/>
      <c r="R1427" s="191"/>
      <c r="S1427" s="191"/>
      <c r="T1427" s="191"/>
      <c r="U1427" s="191"/>
      <c r="V1427" s="191"/>
      <c r="W1427" s="191"/>
      <c r="X1427" s="191"/>
      <c r="Y1427" s="191"/>
      <c r="Z1427" s="191"/>
      <c r="AA1427" s="191"/>
      <c r="AB1427" s="191"/>
      <c r="AC1427" s="190"/>
      <c r="AD1427" s="190"/>
      <c r="AE1427" s="190"/>
      <c r="AF1427" s="190"/>
      <c r="AG1427" s="190"/>
      <c r="AH1427" s="190"/>
      <c r="AI1427" s="190"/>
      <c r="AJ1427" s="190"/>
      <c r="AK1427" s="190"/>
      <c r="AL1427" s="190"/>
      <c r="AM1427" s="190"/>
    </row>
    <row r="1428" spans="2:39">
      <c r="B1428" s="162"/>
      <c r="C1428" s="162"/>
      <c r="D1428" s="191"/>
      <c r="E1428" s="191"/>
      <c r="F1428" s="191"/>
      <c r="G1428" s="191"/>
      <c r="H1428" s="191"/>
      <c r="I1428" s="191"/>
      <c r="J1428" s="191"/>
      <c r="K1428" s="191"/>
      <c r="L1428" s="191"/>
      <c r="M1428" s="191"/>
      <c r="N1428" s="191"/>
      <c r="O1428" s="191"/>
      <c r="P1428" s="191"/>
      <c r="Q1428" s="191"/>
      <c r="R1428" s="191"/>
      <c r="S1428" s="191"/>
      <c r="T1428" s="191"/>
      <c r="U1428" s="191"/>
      <c r="V1428" s="191"/>
      <c r="W1428" s="191"/>
      <c r="X1428" s="191"/>
      <c r="Y1428" s="191"/>
      <c r="Z1428" s="191"/>
      <c r="AA1428" s="191"/>
      <c r="AB1428" s="191"/>
      <c r="AC1428" s="190"/>
      <c r="AD1428" s="190"/>
      <c r="AE1428" s="190"/>
      <c r="AF1428" s="190"/>
      <c r="AG1428" s="190"/>
      <c r="AH1428" s="190"/>
      <c r="AI1428" s="190"/>
      <c r="AJ1428" s="190"/>
      <c r="AK1428" s="190"/>
      <c r="AL1428" s="190"/>
      <c r="AM1428" s="190"/>
    </row>
    <row r="1429" spans="2:39">
      <c r="B1429" s="162"/>
      <c r="C1429" s="162"/>
      <c r="D1429" s="191"/>
      <c r="E1429" s="191"/>
      <c r="F1429" s="191"/>
      <c r="G1429" s="191"/>
      <c r="H1429" s="191"/>
      <c r="I1429" s="191"/>
      <c r="J1429" s="191"/>
      <c r="K1429" s="191"/>
      <c r="L1429" s="191"/>
      <c r="M1429" s="191"/>
      <c r="N1429" s="191"/>
      <c r="O1429" s="191"/>
      <c r="P1429" s="191"/>
      <c r="Q1429" s="191"/>
      <c r="R1429" s="191"/>
      <c r="S1429" s="191"/>
      <c r="T1429" s="191"/>
      <c r="U1429" s="191"/>
      <c r="V1429" s="191"/>
      <c r="W1429" s="191"/>
      <c r="X1429" s="191"/>
      <c r="Y1429" s="191"/>
      <c r="Z1429" s="191"/>
      <c r="AA1429" s="191"/>
      <c r="AB1429" s="191"/>
      <c r="AC1429" s="190"/>
      <c r="AD1429" s="190"/>
      <c r="AE1429" s="190"/>
      <c r="AF1429" s="190"/>
      <c r="AG1429" s="190"/>
      <c r="AH1429" s="190"/>
      <c r="AI1429" s="190"/>
      <c r="AJ1429" s="190"/>
      <c r="AK1429" s="190"/>
      <c r="AL1429" s="190"/>
      <c r="AM1429" s="190"/>
    </row>
    <row r="1430" spans="2:39">
      <c r="B1430" s="162"/>
      <c r="C1430" s="162"/>
      <c r="D1430" s="191"/>
      <c r="E1430" s="191"/>
      <c r="F1430" s="191"/>
      <c r="G1430" s="191"/>
      <c r="H1430" s="191"/>
      <c r="I1430" s="191"/>
      <c r="J1430" s="191"/>
      <c r="K1430" s="191"/>
      <c r="L1430" s="191"/>
      <c r="M1430" s="191"/>
      <c r="N1430" s="191"/>
      <c r="O1430" s="191"/>
      <c r="P1430" s="191"/>
      <c r="Q1430" s="191"/>
      <c r="R1430" s="191"/>
      <c r="S1430" s="191"/>
      <c r="T1430" s="191"/>
      <c r="U1430" s="191"/>
      <c r="V1430" s="191"/>
      <c r="W1430" s="191"/>
      <c r="X1430" s="191"/>
      <c r="Y1430" s="191"/>
      <c r="Z1430" s="191"/>
      <c r="AA1430" s="191"/>
      <c r="AB1430" s="191"/>
      <c r="AC1430" s="190"/>
      <c r="AD1430" s="190"/>
      <c r="AE1430" s="190"/>
      <c r="AF1430" s="190"/>
      <c r="AG1430" s="190"/>
      <c r="AH1430" s="190"/>
      <c r="AI1430" s="190"/>
      <c r="AJ1430" s="190"/>
      <c r="AK1430" s="190"/>
      <c r="AL1430" s="190"/>
      <c r="AM1430" s="190"/>
    </row>
    <row r="1431" spans="2:39">
      <c r="B1431" s="162"/>
      <c r="C1431" s="162"/>
      <c r="D1431" s="191"/>
      <c r="E1431" s="191"/>
      <c r="F1431" s="191"/>
      <c r="G1431" s="191"/>
      <c r="H1431" s="191"/>
      <c r="I1431" s="191"/>
      <c r="J1431" s="191"/>
      <c r="K1431" s="191"/>
      <c r="L1431" s="191"/>
      <c r="M1431" s="191"/>
      <c r="N1431" s="191"/>
      <c r="O1431" s="191"/>
      <c r="P1431" s="191"/>
      <c r="Q1431" s="191"/>
      <c r="R1431" s="191"/>
      <c r="S1431" s="191"/>
      <c r="T1431" s="191"/>
      <c r="U1431" s="191"/>
      <c r="V1431" s="191"/>
      <c r="W1431" s="191"/>
      <c r="X1431" s="191"/>
      <c r="Y1431" s="191"/>
      <c r="Z1431" s="191"/>
      <c r="AA1431" s="191"/>
      <c r="AB1431" s="191"/>
      <c r="AC1431" s="190"/>
      <c r="AD1431" s="190"/>
      <c r="AE1431" s="190"/>
      <c r="AF1431" s="190"/>
      <c r="AG1431" s="190"/>
      <c r="AH1431" s="190"/>
      <c r="AI1431" s="190"/>
      <c r="AJ1431" s="190"/>
      <c r="AK1431" s="190"/>
      <c r="AL1431" s="190"/>
      <c r="AM1431" s="190"/>
    </row>
    <row r="1432" spans="2:39">
      <c r="B1432" s="162"/>
      <c r="C1432" s="162"/>
      <c r="D1432" s="191"/>
      <c r="E1432" s="191"/>
      <c r="F1432" s="191"/>
      <c r="G1432" s="191"/>
      <c r="H1432" s="191"/>
      <c r="I1432" s="191"/>
      <c r="J1432" s="191"/>
      <c r="K1432" s="191"/>
      <c r="L1432" s="191"/>
      <c r="M1432" s="191"/>
      <c r="N1432" s="191"/>
      <c r="O1432" s="191"/>
      <c r="P1432" s="191"/>
      <c r="Q1432" s="191"/>
      <c r="R1432" s="191"/>
      <c r="S1432" s="191"/>
      <c r="T1432" s="191"/>
      <c r="U1432" s="191"/>
      <c r="V1432" s="191"/>
      <c r="W1432" s="191"/>
      <c r="X1432" s="191"/>
      <c r="Y1432" s="191"/>
      <c r="Z1432" s="191"/>
      <c r="AA1432" s="191"/>
      <c r="AB1432" s="191"/>
      <c r="AC1432" s="190"/>
      <c r="AD1432" s="190"/>
      <c r="AE1432" s="190"/>
      <c r="AF1432" s="190"/>
      <c r="AG1432" s="190"/>
      <c r="AH1432" s="190"/>
      <c r="AI1432" s="190"/>
      <c r="AJ1432" s="190"/>
      <c r="AK1432" s="190"/>
      <c r="AL1432" s="190"/>
      <c r="AM1432" s="190"/>
    </row>
    <row r="1433" spans="2:39">
      <c r="B1433" s="162"/>
      <c r="C1433" s="162"/>
      <c r="D1433" s="191"/>
      <c r="E1433" s="191"/>
      <c r="F1433" s="191"/>
      <c r="G1433" s="191"/>
      <c r="H1433" s="191"/>
      <c r="I1433" s="191"/>
      <c r="J1433" s="191"/>
      <c r="K1433" s="191"/>
      <c r="L1433" s="191"/>
      <c r="M1433" s="191"/>
      <c r="N1433" s="191"/>
      <c r="O1433" s="191"/>
      <c r="P1433" s="191"/>
      <c r="Q1433" s="191"/>
      <c r="R1433" s="191"/>
      <c r="S1433" s="191"/>
      <c r="T1433" s="191"/>
      <c r="U1433" s="191"/>
      <c r="V1433" s="191"/>
      <c r="W1433" s="191"/>
      <c r="X1433" s="191"/>
      <c r="Y1433" s="191"/>
      <c r="Z1433" s="191"/>
      <c r="AA1433" s="191"/>
      <c r="AB1433" s="191"/>
      <c r="AC1433" s="190"/>
      <c r="AD1433" s="190"/>
      <c r="AE1433" s="190"/>
      <c r="AF1433" s="190"/>
      <c r="AG1433" s="190"/>
      <c r="AH1433" s="190"/>
      <c r="AI1433" s="190"/>
      <c r="AJ1433" s="190"/>
      <c r="AK1433" s="190"/>
      <c r="AL1433" s="190"/>
      <c r="AM1433" s="190"/>
    </row>
    <row r="1434" spans="2:39">
      <c r="B1434" s="162"/>
      <c r="C1434" s="162"/>
      <c r="D1434" s="191"/>
      <c r="E1434" s="191"/>
      <c r="F1434" s="191"/>
      <c r="G1434" s="191"/>
      <c r="H1434" s="191"/>
      <c r="I1434" s="191"/>
      <c r="J1434" s="191"/>
      <c r="K1434" s="191"/>
      <c r="L1434" s="191"/>
      <c r="M1434" s="191"/>
      <c r="N1434" s="191"/>
      <c r="O1434" s="191"/>
      <c r="P1434" s="191"/>
      <c r="Q1434" s="191"/>
      <c r="R1434" s="191"/>
      <c r="S1434" s="191"/>
      <c r="T1434" s="191"/>
      <c r="U1434" s="191"/>
      <c r="V1434" s="191"/>
      <c r="W1434" s="191"/>
      <c r="X1434" s="191"/>
      <c r="Y1434" s="191"/>
      <c r="Z1434" s="191"/>
      <c r="AA1434" s="191"/>
      <c r="AB1434" s="191"/>
      <c r="AC1434" s="190"/>
      <c r="AD1434" s="190"/>
      <c r="AE1434" s="190"/>
      <c r="AF1434" s="190"/>
      <c r="AG1434" s="190"/>
      <c r="AH1434" s="190"/>
      <c r="AI1434" s="190"/>
      <c r="AJ1434" s="190"/>
      <c r="AK1434" s="190"/>
      <c r="AL1434" s="190"/>
      <c r="AM1434" s="190"/>
    </row>
    <row r="1435" spans="2:39">
      <c r="B1435" s="162"/>
      <c r="C1435" s="162"/>
      <c r="D1435" s="191"/>
      <c r="E1435" s="191"/>
      <c r="F1435" s="191"/>
      <c r="G1435" s="191"/>
      <c r="H1435" s="191"/>
      <c r="I1435" s="191"/>
      <c r="J1435" s="191"/>
      <c r="K1435" s="191"/>
      <c r="L1435" s="191"/>
      <c r="M1435" s="191"/>
      <c r="N1435" s="191"/>
      <c r="O1435" s="191"/>
      <c r="P1435" s="191"/>
      <c r="Q1435" s="191"/>
      <c r="R1435" s="191"/>
      <c r="S1435" s="191"/>
      <c r="T1435" s="191"/>
      <c r="U1435" s="191"/>
      <c r="V1435" s="191"/>
      <c r="W1435" s="191"/>
      <c r="X1435" s="191"/>
      <c r="Y1435" s="191"/>
      <c r="Z1435" s="191"/>
      <c r="AA1435" s="191"/>
      <c r="AB1435" s="191"/>
      <c r="AC1435" s="190"/>
      <c r="AD1435" s="190"/>
      <c r="AE1435" s="190"/>
      <c r="AF1435" s="190"/>
      <c r="AG1435" s="190"/>
      <c r="AH1435" s="190"/>
      <c r="AI1435" s="190"/>
      <c r="AJ1435" s="190"/>
      <c r="AK1435" s="190"/>
      <c r="AL1435" s="190"/>
      <c r="AM1435" s="190"/>
    </row>
    <row r="1436" spans="2:39">
      <c r="B1436" s="162"/>
      <c r="C1436" s="162"/>
      <c r="D1436" s="191"/>
      <c r="E1436" s="191"/>
      <c r="F1436" s="191"/>
      <c r="G1436" s="191"/>
      <c r="H1436" s="191"/>
      <c r="I1436" s="191"/>
      <c r="J1436" s="191"/>
      <c r="K1436" s="191"/>
      <c r="L1436" s="191"/>
      <c r="M1436" s="191"/>
      <c r="N1436" s="191"/>
      <c r="O1436" s="191"/>
      <c r="P1436" s="191"/>
      <c r="Q1436" s="191"/>
      <c r="R1436" s="191"/>
      <c r="S1436" s="191"/>
      <c r="T1436" s="191"/>
      <c r="U1436" s="191"/>
      <c r="V1436" s="191"/>
      <c r="W1436" s="191"/>
      <c r="X1436" s="191"/>
      <c r="Y1436" s="191"/>
      <c r="Z1436" s="191"/>
      <c r="AA1436" s="191"/>
      <c r="AB1436" s="191"/>
      <c r="AC1436" s="190"/>
      <c r="AD1436" s="190"/>
      <c r="AE1436" s="190"/>
      <c r="AF1436" s="190"/>
      <c r="AG1436" s="190"/>
      <c r="AH1436" s="190"/>
      <c r="AI1436" s="190"/>
      <c r="AJ1436" s="190"/>
      <c r="AK1436" s="190"/>
      <c r="AL1436" s="190"/>
      <c r="AM1436" s="190"/>
    </row>
    <row r="1437" spans="2:39">
      <c r="B1437" s="162"/>
      <c r="C1437" s="162"/>
      <c r="D1437" s="191"/>
      <c r="E1437" s="191"/>
      <c r="F1437" s="191"/>
      <c r="G1437" s="191"/>
      <c r="H1437" s="191"/>
      <c r="I1437" s="191"/>
      <c r="J1437" s="191"/>
      <c r="K1437" s="191"/>
      <c r="L1437" s="191"/>
      <c r="M1437" s="191"/>
      <c r="N1437" s="191"/>
      <c r="O1437" s="191"/>
      <c r="P1437" s="191"/>
      <c r="Q1437" s="191"/>
      <c r="R1437" s="191"/>
      <c r="S1437" s="191"/>
      <c r="T1437" s="191"/>
      <c r="U1437" s="191"/>
      <c r="V1437" s="191"/>
      <c r="W1437" s="191"/>
      <c r="X1437" s="191"/>
      <c r="Y1437" s="191"/>
      <c r="Z1437" s="191"/>
      <c r="AA1437" s="191"/>
      <c r="AB1437" s="191"/>
      <c r="AC1437" s="190"/>
      <c r="AD1437" s="190"/>
      <c r="AE1437" s="190"/>
      <c r="AF1437" s="190"/>
      <c r="AG1437" s="190"/>
      <c r="AH1437" s="190"/>
      <c r="AI1437" s="190"/>
      <c r="AJ1437" s="190"/>
      <c r="AK1437" s="190"/>
      <c r="AL1437" s="190"/>
      <c r="AM1437" s="190"/>
    </row>
    <row r="1438" spans="2:39">
      <c r="B1438" s="162"/>
      <c r="C1438" s="162"/>
      <c r="D1438" s="191"/>
      <c r="E1438" s="191"/>
      <c r="F1438" s="191"/>
      <c r="G1438" s="191"/>
      <c r="H1438" s="191"/>
      <c r="I1438" s="191"/>
      <c r="J1438" s="191"/>
      <c r="K1438" s="191"/>
      <c r="L1438" s="191"/>
      <c r="M1438" s="191"/>
      <c r="N1438" s="191"/>
      <c r="O1438" s="191"/>
      <c r="P1438" s="191"/>
      <c r="Q1438" s="191"/>
      <c r="R1438" s="191"/>
      <c r="S1438" s="191"/>
      <c r="T1438" s="191"/>
      <c r="U1438" s="191"/>
      <c r="V1438" s="191"/>
      <c r="W1438" s="191"/>
      <c r="X1438" s="191"/>
      <c r="Y1438" s="191"/>
      <c r="Z1438" s="191"/>
      <c r="AA1438" s="191"/>
      <c r="AB1438" s="191"/>
      <c r="AC1438" s="190"/>
      <c r="AD1438" s="190"/>
      <c r="AE1438" s="190"/>
      <c r="AF1438" s="190"/>
      <c r="AG1438" s="190"/>
      <c r="AH1438" s="190"/>
      <c r="AI1438" s="190"/>
      <c r="AJ1438" s="190"/>
      <c r="AK1438" s="190"/>
      <c r="AL1438" s="190"/>
      <c r="AM1438" s="190"/>
    </row>
    <row r="1439" spans="2:39">
      <c r="B1439" s="162"/>
      <c r="C1439" s="162"/>
      <c r="D1439" s="191"/>
      <c r="E1439" s="191"/>
      <c r="F1439" s="191"/>
      <c r="G1439" s="191"/>
      <c r="H1439" s="191"/>
      <c r="I1439" s="191"/>
      <c r="J1439" s="191"/>
      <c r="K1439" s="191"/>
      <c r="L1439" s="191"/>
      <c r="M1439" s="191"/>
      <c r="N1439" s="191"/>
      <c r="O1439" s="191"/>
      <c r="P1439" s="191"/>
      <c r="Q1439" s="191"/>
      <c r="R1439" s="191"/>
      <c r="S1439" s="191"/>
      <c r="T1439" s="191"/>
      <c r="U1439" s="191"/>
      <c r="V1439" s="191"/>
      <c r="W1439" s="191"/>
      <c r="X1439" s="191"/>
      <c r="Y1439" s="191"/>
      <c r="Z1439" s="191"/>
      <c r="AA1439" s="191"/>
      <c r="AB1439" s="191"/>
      <c r="AC1439" s="190"/>
      <c r="AD1439" s="190"/>
      <c r="AE1439" s="190"/>
      <c r="AF1439" s="190"/>
      <c r="AG1439" s="190"/>
      <c r="AH1439" s="190"/>
      <c r="AI1439" s="190"/>
      <c r="AJ1439" s="190"/>
      <c r="AK1439" s="190"/>
      <c r="AL1439" s="190"/>
      <c r="AM1439" s="190"/>
    </row>
    <row r="1440" spans="2:39">
      <c r="B1440" s="162"/>
      <c r="C1440" s="162"/>
      <c r="D1440" s="191"/>
      <c r="E1440" s="191"/>
      <c r="F1440" s="191"/>
      <c r="G1440" s="191"/>
      <c r="H1440" s="191"/>
      <c r="I1440" s="191"/>
      <c r="J1440" s="191"/>
      <c r="K1440" s="191"/>
      <c r="L1440" s="191"/>
      <c r="M1440" s="191"/>
      <c r="N1440" s="191"/>
      <c r="O1440" s="191"/>
      <c r="P1440" s="191"/>
      <c r="Q1440" s="191"/>
      <c r="R1440" s="191"/>
      <c r="S1440" s="191"/>
      <c r="T1440" s="191"/>
      <c r="U1440" s="191"/>
      <c r="V1440" s="191"/>
      <c r="W1440" s="191"/>
      <c r="X1440" s="191"/>
      <c r="Y1440" s="191"/>
      <c r="Z1440" s="191"/>
      <c r="AA1440" s="191"/>
      <c r="AB1440" s="191"/>
      <c r="AC1440" s="190"/>
      <c r="AD1440" s="190"/>
      <c r="AE1440" s="190"/>
      <c r="AF1440" s="190"/>
      <c r="AG1440" s="190"/>
      <c r="AH1440" s="190"/>
      <c r="AI1440" s="190"/>
      <c r="AJ1440" s="190"/>
      <c r="AK1440" s="190"/>
      <c r="AL1440" s="190"/>
      <c r="AM1440" s="190"/>
    </row>
    <row r="1441" spans="2:39">
      <c r="B1441" s="162"/>
      <c r="C1441" s="162"/>
      <c r="D1441" s="191"/>
      <c r="E1441" s="191"/>
      <c r="F1441" s="191"/>
      <c r="G1441" s="191"/>
      <c r="H1441" s="191"/>
      <c r="I1441" s="191"/>
      <c r="J1441" s="191"/>
      <c r="K1441" s="191"/>
      <c r="L1441" s="191"/>
      <c r="M1441" s="191"/>
      <c r="N1441" s="191"/>
      <c r="O1441" s="191"/>
      <c r="P1441" s="191"/>
      <c r="Q1441" s="191"/>
      <c r="R1441" s="191"/>
      <c r="S1441" s="191"/>
      <c r="T1441" s="191"/>
      <c r="U1441" s="191"/>
      <c r="V1441" s="191"/>
      <c r="W1441" s="191"/>
      <c r="X1441" s="191"/>
      <c r="Y1441" s="191"/>
      <c r="Z1441" s="191"/>
      <c r="AA1441" s="191"/>
      <c r="AB1441" s="191"/>
      <c r="AC1441" s="190"/>
      <c r="AD1441" s="190"/>
      <c r="AE1441" s="190"/>
      <c r="AF1441" s="190"/>
      <c r="AG1441" s="190"/>
      <c r="AH1441" s="190"/>
      <c r="AI1441" s="190"/>
      <c r="AJ1441" s="190"/>
      <c r="AK1441" s="190"/>
      <c r="AL1441" s="190"/>
      <c r="AM1441" s="190"/>
    </row>
    <row r="1442" spans="2:39">
      <c r="B1442" s="162"/>
      <c r="C1442" s="162"/>
      <c r="D1442" s="191"/>
      <c r="E1442" s="191"/>
      <c r="F1442" s="191"/>
      <c r="G1442" s="191"/>
      <c r="H1442" s="191"/>
      <c r="I1442" s="191"/>
      <c r="J1442" s="191"/>
      <c r="K1442" s="191"/>
      <c r="L1442" s="191"/>
      <c r="M1442" s="191"/>
      <c r="N1442" s="191"/>
      <c r="O1442" s="191"/>
      <c r="P1442" s="191"/>
      <c r="Q1442" s="191"/>
      <c r="R1442" s="191"/>
      <c r="S1442" s="191"/>
      <c r="T1442" s="191"/>
      <c r="U1442" s="191"/>
      <c r="V1442" s="191"/>
      <c r="W1442" s="191"/>
      <c r="X1442" s="191"/>
      <c r="Y1442" s="191"/>
      <c r="Z1442" s="191"/>
      <c r="AA1442" s="191"/>
      <c r="AB1442" s="191"/>
      <c r="AC1442" s="190"/>
      <c r="AD1442" s="190"/>
      <c r="AE1442" s="190"/>
      <c r="AF1442" s="190"/>
      <c r="AG1442" s="190"/>
      <c r="AH1442" s="190"/>
      <c r="AI1442" s="190"/>
      <c r="AJ1442" s="190"/>
      <c r="AK1442" s="190"/>
      <c r="AL1442" s="190"/>
      <c r="AM1442" s="190"/>
    </row>
    <row r="1443" spans="2:39">
      <c r="B1443" s="162"/>
      <c r="C1443" s="162"/>
      <c r="D1443" s="191"/>
      <c r="E1443" s="191"/>
      <c r="F1443" s="191"/>
      <c r="G1443" s="191"/>
      <c r="H1443" s="191"/>
      <c r="I1443" s="191"/>
      <c r="J1443" s="191"/>
      <c r="K1443" s="191"/>
      <c r="L1443" s="191"/>
      <c r="M1443" s="191"/>
      <c r="N1443" s="191"/>
      <c r="O1443" s="191"/>
      <c r="P1443" s="191"/>
      <c r="Q1443" s="191"/>
      <c r="R1443" s="191"/>
      <c r="S1443" s="191"/>
      <c r="T1443" s="191"/>
      <c r="U1443" s="191"/>
      <c r="V1443" s="191"/>
      <c r="W1443" s="191"/>
      <c r="X1443" s="191"/>
      <c r="Y1443" s="191"/>
      <c r="Z1443" s="191"/>
      <c r="AA1443" s="191"/>
      <c r="AB1443" s="191"/>
      <c r="AC1443" s="190"/>
      <c r="AD1443" s="190"/>
      <c r="AE1443" s="190"/>
      <c r="AF1443" s="190"/>
      <c r="AG1443" s="190"/>
      <c r="AH1443" s="190"/>
      <c r="AI1443" s="190"/>
      <c r="AJ1443" s="190"/>
      <c r="AK1443" s="190"/>
      <c r="AL1443" s="190"/>
      <c r="AM1443" s="190"/>
    </row>
    <row r="1444" spans="2:39">
      <c r="B1444" s="162"/>
      <c r="C1444" s="162"/>
      <c r="D1444" s="191"/>
      <c r="E1444" s="191"/>
      <c r="F1444" s="191"/>
      <c r="G1444" s="191"/>
      <c r="H1444" s="191"/>
      <c r="I1444" s="191"/>
      <c r="J1444" s="191"/>
      <c r="K1444" s="191"/>
      <c r="L1444" s="191"/>
      <c r="M1444" s="191"/>
      <c r="N1444" s="191"/>
      <c r="O1444" s="191"/>
      <c r="P1444" s="191"/>
      <c r="Q1444" s="191"/>
      <c r="R1444" s="191"/>
      <c r="S1444" s="191"/>
      <c r="T1444" s="191"/>
      <c r="U1444" s="191"/>
      <c r="V1444" s="191"/>
      <c r="W1444" s="191"/>
      <c r="X1444" s="191"/>
      <c r="Y1444" s="191"/>
      <c r="Z1444" s="191"/>
      <c r="AA1444" s="191"/>
      <c r="AB1444" s="191"/>
      <c r="AC1444" s="190"/>
      <c r="AD1444" s="190"/>
      <c r="AE1444" s="190"/>
      <c r="AF1444" s="190"/>
      <c r="AG1444" s="190"/>
      <c r="AH1444" s="190"/>
      <c r="AI1444" s="190"/>
      <c r="AJ1444" s="190"/>
      <c r="AK1444" s="190"/>
      <c r="AL1444" s="190"/>
      <c r="AM1444" s="190"/>
    </row>
    <row r="1445" spans="2:39">
      <c r="B1445" s="162"/>
      <c r="C1445" s="162"/>
      <c r="D1445" s="191"/>
      <c r="E1445" s="191"/>
      <c r="F1445" s="191"/>
      <c r="G1445" s="191"/>
      <c r="H1445" s="191"/>
      <c r="I1445" s="191"/>
      <c r="J1445" s="191"/>
      <c r="K1445" s="191"/>
      <c r="L1445" s="191"/>
      <c r="M1445" s="191"/>
      <c r="N1445" s="191"/>
      <c r="O1445" s="191"/>
      <c r="P1445" s="191"/>
      <c r="Q1445" s="191"/>
      <c r="R1445" s="191"/>
      <c r="S1445" s="191"/>
      <c r="T1445" s="191"/>
      <c r="U1445" s="191"/>
      <c r="V1445" s="191"/>
      <c r="W1445" s="191"/>
      <c r="X1445" s="191"/>
      <c r="Y1445" s="191"/>
      <c r="Z1445" s="191"/>
      <c r="AA1445" s="191"/>
      <c r="AB1445" s="191"/>
      <c r="AC1445" s="190"/>
      <c r="AD1445" s="190"/>
      <c r="AE1445" s="190"/>
      <c r="AF1445" s="190"/>
      <c r="AG1445" s="190"/>
      <c r="AH1445" s="190"/>
      <c r="AI1445" s="190"/>
      <c r="AJ1445" s="190"/>
      <c r="AK1445" s="190"/>
      <c r="AL1445" s="190"/>
      <c r="AM1445" s="190"/>
    </row>
    <row r="1446" spans="2:39">
      <c r="B1446" s="162"/>
      <c r="C1446" s="162"/>
      <c r="D1446" s="191"/>
      <c r="E1446" s="191"/>
      <c r="F1446" s="191"/>
      <c r="G1446" s="191"/>
      <c r="H1446" s="191"/>
      <c r="I1446" s="191"/>
      <c r="J1446" s="191"/>
      <c r="K1446" s="191"/>
      <c r="L1446" s="191"/>
      <c r="M1446" s="191"/>
      <c r="N1446" s="191"/>
      <c r="O1446" s="191"/>
      <c r="P1446" s="191"/>
      <c r="Q1446" s="191"/>
      <c r="R1446" s="191"/>
      <c r="S1446" s="191"/>
      <c r="T1446" s="191"/>
      <c r="U1446" s="191"/>
      <c r="V1446" s="191"/>
      <c r="W1446" s="191"/>
      <c r="X1446" s="191"/>
      <c r="Y1446" s="191"/>
      <c r="Z1446" s="191"/>
      <c r="AA1446" s="191"/>
      <c r="AB1446" s="191"/>
      <c r="AC1446" s="190"/>
      <c r="AD1446" s="190"/>
      <c r="AE1446" s="190"/>
      <c r="AF1446" s="190"/>
      <c r="AG1446" s="190"/>
      <c r="AH1446" s="190"/>
      <c r="AI1446" s="190"/>
      <c r="AJ1446" s="190"/>
      <c r="AK1446" s="190"/>
      <c r="AL1446" s="190"/>
      <c r="AM1446" s="190"/>
    </row>
    <row r="1447" spans="2:39">
      <c r="B1447" s="162"/>
      <c r="C1447" s="162"/>
      <c r="D1447" s="191"/>
      <c r="E1447" s="191"/>
      <c r="F1447" s="191"/>
      <c r="G1447" s="191"/>
      <c r="H1447" s="191"/>
      <c r="I1447" s="191"/>
      <c r="J1447" s="191"/>
      <c r="K1447" s="191"/>
      <c r="L1447" s="191"/>
      <c r="M1447" s="191"/>
      <c r="N1447" s="191"/>
      <c r="O1447" s="191"/>
      <c r="P1447" s="191"/>
      <c r="Q1447" s="191"/>
      <c r="R1447" s="191"/>
      <c r="S1447" s="191"/>
      <c r="T1447" s="191"/>
      <c r="U1447" s="191"/>
      <c r="V1447" s="191"/>
      <c r="W1447" s="191"/>
      <c r="X1447" s="191"/>
      <c r="Y1447" s="191"/>
      <c r="Z1447" s="191"/>
      <c r="AA1447" s="191"/>
      <c r="AB1447" s="191"/>
      <c r="AC1447" s="190"/>
      <c r="AD1447" s="190"/>
      <c r="AE1447" s="190"/>
      <c r="AF1447" s="190"/>
      <c r="AG1447" s="190"/>
      <c r="AH1447" s="190"/>
      <c r="AI1447" s="190"/>
      <c r="AJ1447" s="190"/>
      <c r="AK1447" s="190"/>
      <c r="AL1447" s="190"/>
      <c r="AM1447" s="190"/>
    </row>
    <row r="1448" spans="2:39">
      <c r="B1448" s="162"/>
      <c r="C1448" s="162"/>
      <c r="D1448" s="191"/>
      <c r="E1448" s="191"/>
      <c r="F1448" s="191"/>
      <c r="G1448" s="191"/>
      <c r="H1448" s="191"/>
      <c r="I1448" s="191"/>
      <c r="J1448" s="191"/>
      <c r="K1448" s="191"/>
      <c r="L1448" s="191"/>
      <c r="M1448" s="191"/>
      <c r="N1448" s="191"/>
      <c r="O1448" s="191"/>
      <c r="P1448" s="191"/>
      <c r="Q1448" s="191"/>
      <c r="R1448" s="191"/>
      <c r="S1448" s="191"/>
      <c r="T1448" s="191"/>
      <c r="U1448" s="191"/>
      <c r="V1448" s="191"/>
      <c r="W1448" s="191"/>
      <c r="X1448" s="191"/>
      <c r="Y1448" s="191"/>
      <c r="Z1448" s="191"/>
      <c r="AA1448" s="191"/>
      <c r="AB1448" s="191"/>
      <c r="AC1448" s="190"/>
      <c r="AD1448" s="190"/>
      <c r="AE1448" s="190"/>
      <c r="AF1448" s="190"/>
      <c r="AG1448" s="190"/>
      <c r="AH1448" s="190"/>
      <c r="AI1448" s="190"/>
      <c r="AJ1448" s="190"/>
      <c r="AK1448" s="190"/>
      <c r="AL1448" s="190"/>
      <c r="AM1448" s="190"/>
    </row>
    <row r="1449" spans="2:39">
      <c r="B1449" s="162"/>
      <c r="C1449" s="162"/>
      <c r="D1449" s="191"/>
      <c r="E1449" s="191"/>
      <c r="F1449" s="191"/>
      <c r="G1449" s="191"/>
      <c r="H1449" s="191"/>
      <c r="I1449" s="191"/>
      <c r="J1449" s="191"/>
      <c r="K1449" s="191"/>
      <c r="L1449" s="191"/>
      <c r="M1449" s="191"/>
      <c r="N1449" s="191"/>
      <c r="O1449" s="191"/>
      <c r="P1449" s="191"/>
      <c r="Q1449" s="191"/>
      <c r="R1449" s="191"/>
      <c r="S1449" s="191"/>
      <c r="T1449" s="191"/>
      <c r="U1449" s="191"/>
      <c r="V1449" s="191"/>
      <c r="W1449" s="191"/>
      <c r="X1449" s="191"/>
      <c r="Y1449" s="191"/>
      <c r="Z1449" s="191"/>
      <c r="AA1449" s="191"/>
      <c r="AB1449" s="191"/>
      <c r="AC1449" s="190"/>
      <c r="AD1449" s="190"/>
      <c r="AE1449" s="190"/>
      <c r="AF1449" s="190"/>
      <c r="AG1449" s="190"/>
      <c r="AH1449" s="190"/>
      <c r="AI1449" s="190"/>
      <c r="AJ1449" s="190"/>
      <c r="AK1449" s="190"/>
      <c r="AL1449" s="190"/>
      <c r="AM1449" s="190"/>
    </row>
    <row r="1450" spans="2:39">
      <c r="B1450" s="162"/>
      <c r="C1450" s="162"/>
      <c r="D1450" s="191"/>
      <c r="E1450" s="191"/>
      <c r="F1450" s="191"/>
      <c r="G1450" s="191"/>
      <c r="H1450" s="191"/>
      <c r="I1450" s="191"/>
      <c r="J1450" s="191"/>
      <c r="K1450" s="191"/>
      <c r="L1450" s="191"/>
      <c r="M1450" s="191"/>
      <c r="N1450" s="191"/>
      <c r="O1450" s="191"/>
      <c r="P1450" s="191"/>
      <c r="Q1450" s="191"/>
      <c r="R1450" s="191"/>
      <c r="S1450" s="191"/>
      <c r="T1450" s="191"/>
      <c r="U1450" s="191"/>
      <c r="V1450" s="191"/>
      <c r="W1450" s="191"/>
      <c r="X1450" s="191"/>
      <c r="Y1450" s="191"/>
      <c r="Z1450" s="191"/>
      <c r="AA1450" s="191"/>
      <c r="AB1450" s="191"/>
      <c r="AC1450" s="190"/>
      <c r="AD1450" s="190"/>
      <c r="AE1450" s="190"/>
      <c r="AF1450" s="190"/>
      <c r="AG1450" s="190"/>
      <c r="AH1450" s="190"/>
      <c r="AI1450" s="190"/>
      <c r="AJ1450" s="190"/>
      <c r="AK1450" s="190"/>
      <c r="AL1450" s="190"/>
      <c r="AM1450" s="190"/>
    </row>
    <row r="1451" spans="2:39">
      <c r="B1451" s="162"/>
      <c r="C1451" s="162"/>
      <c r="D1451" s="191"/>
      <c r="E1451" s="191"/>
      <c r="F1451" s="191"/>
      <c r="G1451" s="191"/>
      <c r="H1451" s="191"/>
      <c r="I1451" s="191"/>
      <c r="J1451" s="191"/>
      <c r="K1451" s="191"/>
      <c r="L1451" s="191"/>
      <c r="M1451" s="191"/>
      <c r="N1451" s="191"/>
      <c r="O1451" s="191"/>
      <c r="P1451" s="191"/>
      <c r="Q1451" s="191"/>
      <c r="R1451" s="191"/>
      <c r="S1451" s="191"/>
      <c r="T1451" s="191"/>
      <c r="U1451" s="191"/>
      <c r="V1451" s="191"/>
      <c r="W1451" s="191"/>
      <c r="X1451" s="191"/>
      <c r="Y1451" s="191"/>
      <c r="Z1451" s="191"/>
      <c r="AA1451" s="191"/>
      <c r="AB1451" s="191"/>
      <c r="AC1451" s="190"/>
      <c r="AD1451" s="190"/>
      <c r="AE1451" s="190"/>
      <c r="AF1451" s="190"/>
      <c r="AG1451" s="190"/>
      <c r="AH1451" s="190"/>
      <c r="AI1451" s="190"/>
      <c r="AJ1451" s="190"/>
      <c r="AK1451" s="190"/>
      <c r="AL1451" s="190"/>
      <c r="AM1451" s="190"/>
    </row>
    <row r="1452" spans="2:39">
      <c r="B1452" s="162"/>
      <c r="C1452" s="162"/>
      <c r="D1452" s="191"/>
      <c r="E1452" s="191"/>
      <c r="F1452" s="191"/>
      <c r="G1452" s="191"/>
      <c r="H1452" s="191"/>
      <c r="I1452" s="191"/>
      <c r="J1452" s="191"/>
      <c r="K1452" s="191"/>
      <c r="L1452" s="191"/>
      <c r="M1452" s="191"/>
      <c r="N1452" s="191"/>
      <c r="O1452" s="191"/>
      <c r="P1452" s="191"/>
      <c r="Q1452" s="191"/>
      <c r="R1452" s="191"/>
      <c r="S1452" s="191"/>
      <c r="T1452" s="191"/>
      <c r="U1452" s="191"/>
      <c r="V1452" s="191"/>
      <c r="W1452" s="191"/>
      <c r="X1452" s="191"/>
      <c r="Y1452" s="191"/>
      <c r="Z1452" s="191"/>
      <c r="AA1452" s="191"/>
      <c r="AB1452" s="191"/>
      <c r="AC1452" s="190"/>
      <c r="AD1452" s="190"/>
      <c r="AE1452" s="190"/>
      <c r="AF1452" s="190"/>
      <c r="AG1452" s="190"/>
      <c r="AH1452" s="190"/>
      <c r="AI1452" s="190"/>
      <c r="AJ1452" s="190"/>
      <c r="AK1452" s="190"/>
      <c r="AL1452" s="190"/>
      <c r="AM1452" s="190"/>
    </row>
    <row r="1453" spans="2:39">
      <c r="B1453" s="162"/>
      <c r="C1453" s="162"/>
      <c r="D1453" s="191"/>
      <c r="E1453" s="191"/>
      <c r="F1453" s="191"/>
      <c r="G1453" s="191"/>
      <c r="H1453" s="191"/>
      <c r="I1453" s="191"/>
      <c r="J1453" s="191"/>
      <c r="K1453" s="191"/>
      <c r="L1453" s="191"/>
      <c r="M1453" s="191"/>
      <c r="N1453" s="191"/>
      <c r="O1453" s="191"/>
      <c r="P1453" s="191"/>
      <c r="Q1453" s="191"/>
      <c r="R1453" s="191"/>
      <c r="S1453" s="191"/>
      <c r="T1453" s="191"/>
      <c r="U1453" s="191"/>
      <c r="V1453" s="191"/>
      <c r="W1453" s="191"/>
      <c r="X1453" s="191"/>
      <c r="Y1453" s="191"/>
      <c r="Z1453" s="191"/>
      <c r="AA1453" s="191"/>
      <c r="AB1453" s="191"/>
      <c r="AC1453" s="190"/>
      <c r="AD1453" s="190"/>
      <c r="AE1453" s="190"/>
      <c r="AF1453" s="190"/>
      <c r="AG1453" s="190"/>
      <c r="AH1453" s="190"/>
      <c r="AI1453" s="190"/>
      <c r="AJ1453" s="190"/>
      <c r="AK1453" s="190"/>
      <c r="AL1453" s="190"/>
      <c r="AM1453" s="190"/>
    </row>
    <row r="1454" spans="2:39">
      <c r="B1454" s="162"/>
      <c r="C1454" s="162"/>
      <c r="D1454" s="191"/>
      <c r="E1454" s="191"/>
      <c r="F1454" s="191"/>
      <c r="G1454" s="191"/>
      <c r="H1454" s="191"/>
      <c r="I1454" s="191"/>
      <c r="J1454" s="191"/>
      <c r="K1454" s="191"/>
      <c r="L1454" s="191"/>
      <c r="M1454" s="191"/>
      <c r="N1454" s="191"/>
      <c r="O1454" s="191"/>
      <c r="P1454" s="191"/>
      <c r="Q1454" s="191"/>
      <c r="R1454" s="191"/>
      <c r="S1454" s="191"/>
      <c r="T1454" s="191"/>
      <c r="U1454" s="191"/>
      <c r="V1454" s="191"/>
      <c r="W1454" s="191"/>
      <c r="X1454" s="191"/>
      <c r="Y1454" s="191"/>
      <c r="Z1454" s="191"/>
      <c r="AA1454" s="191"/>
      <c r="AB1454" s="191"/>
      <c r="AC1454" s="190"/>
      <c r="AD1454" s="190"/>
      <c r="AE1454" s="190"/>
      <c r="AF1454" s="190"/>
      <c r="AG1454" s="190"/>
      <c r="AH1454" s="190"/>
      <c r="AI1454" s="190"/>
      <c r="AJ1454" s="190"/>
      <c r="AK1454" s="190"/>
      <c r="AL1454" s="190"/>
      <c r="AM1454" s="190"/>
    </row>
    <row r="1455" spans="2:39">
      <c r="B1455" s="162"/>
      <c r="C1455" s="162"/>
      <c r="D1455" s="191"/>
      <c r="E1455" s="191"/>
      <c r="F1455" s="191"/>
      <c r="G1455" s="191"/>
      <c r="H1455" s="191"/>
      <c r="I1455" s="191"/>
      <c r="J1455" s="191"/>
      <c r="K1455" s="191"/>
      <c r="L1455" s="191"/>
      <c r="M1455" s="191"/>
      <c r="N1455" s="191"/>
      <c r="O1455" s="191"/>
      <c r="P1455" s="191"/>
      <c r="Q1455" s="191"/>
      <c r="R1455" s="191"/>
      <c r="S1455" s="191"/>
      <c r="T1455" s="191"/>
      <c r="U1455" s="191"/>
      <c r="V1455" s="191"/>
      <c r="W1455" s="191"/>
      <c r="X1455" s="191"/>
      <c r="Y1455" s="191"/>
      <c r="Z1455" s="191"/>
      <c r="AA1455" s="191"/>
      <c r="AB1455" s="191"/>
      <c r="AC1455" s="190"/>
      <c r="AD1455" s="190"/>
      <c r="AE1455" s="190"/>
      <c r="AF1455" s="190"/>
      <c r="AG1455" s="190"/>
      <c r="AH1455" s="190"/>
      <c r="AI1455" s="190"/>
      <c r="AJ1455" s="190"/>
      <c r="AK1455" s="190"/>
      <c r="AL1455" s="190"/>
      <c r="AM1455" s="190"/>
    </row>
    <row r="1456" spans="2:39">
      <c r="B1456" s="162"/>
      <c r="C1456" s="162"/>
      <c r="D1456" s="191"/>
      <c r="E1456" s="191"/>
      <c r="F1456" s="191"/>
      <c r="G1456" s="191"/>
      <c r="H1456" s="191"/>
      <c r="I1456" s="191"/>
      <c r="J1456" s="191"/>
      <c r="K1456" s="191"/>
      <c r="L1456" s="191"/>
      <c r="M1456" s="191"/>
      <c r="N1456" s="191"/>
      <c r="O1456" s="191"/>
      <c r="P1456" s="191"/>
      <c r="Q1456" s="191"/>
      <c r="R1456" s="191"/>
      <c r="S1456" s="191"/>
      <c r="T1456" s="191"/>
      <c r="U1456" s="191"/>
      <c r="V1456" s="191"/>
      <c r="W1456" s="191"/>
      <c r="X1456" s="191"/>
      <c r="Y1456" s="191"/>
      <c r="Z1456" s="191"/>
      <c r="AA1456" s="191"/>
      <c r="AB1456" s="191"/>
      <c r="AC1456" s="190"/>
      <c r="AD1456" s="190"/>
      <c r="AE1456" s="190"/>
      <c r="AF1456" s="190"/>
      <c r="AG1456" s="190"/>
      <c r="AH1456" s="190"/>
      <c r="AI1456" s="190"/>
      <c r="AJ1456" s="190"/>
      <c r="AK1456" s="190"/>
      <c r="AL1456" s="190"/>
      <c r="AM1456" s="190"/>
    </row>
    <row r="1457" spans="2:39">
      <c r="B1457" s="162"/>
      <c r="C1457" s="162"/>
      <c r="D1457" s="191"/>
      <c r="E1457" s="191"/>
      <c r="F1457" s="191"/>
      <c r="G1457" s="191"/>
      <c r="H1457" s="191"/>
      <c r="I1457" s="191"/>
      <c r="J1457" s="191"/>
      <c r="K1457" s="191"/>
      <c r="L1457" s="191"/>
      <c r="M1457" s="191"/>
      <c r="N1457" s="191"/>
      <c r="O1457" s="191"/>
      <c r="P1457" s="191"/>
      <c r="Q1457" s="191"/>
      <c r="R1457" s="191"/>
      <c r="S1457" s="191"/>
      <c r="T1457" s="191"/>
      <c r="U1457" s="191"/>
      <c r="V1457" s="191"/>
      <c r="W1457" s="191"/>
      <c r="X1457" s="191"/>
      <c r="Y1457" s="191"/>
      <c r="Z1457" s="191"/>
      <c r="AA1457" s="191"/>
      <c r="AB1457" s="191"/>
      <c r="AC1457" s="190"/>
      <c r="AD1457" s="190"/>
      <c r="AE1457" s="190"/>
      <c r="AF1457" s="190"/>
      <c r="AG1457" s="190"/>
      <c r="AH1457" s="190"/>
      <c r="AI1457" s="190"/>
      <c r="AJ1457" s="190"/>
      <c r="AK1457" s="190"/>
      <c r="AL1457" s="190"/>
      <c r="AM1457" s="190"/>
    </row>
    <row r="1458" spans="2:39">
      <c r="B1458" s="162"/>
      <c r="C1458" s="162"/>
      <c r="D1458" s="191"/>
      <c r="E1458" s="191"/>
      <c r="F1458" s="191"/>
      <c r="G1458" s="191"/>
      <c r="H1458" s="191"/>
      <c r="I1458" s="191"/>
      <c r="J1458" s="191"/>
      <c r="K1458" s="191"/>
      <c r="L1458" s="191"/>
      <c r="M1458" s="191"/>
      <c r="N1458" s="191"/>
      <c r="O1458" s="191"/>
      <c r="P1458" s="191"/>
      <c r="Q1458" s="191"/>
      <c r="R1458" s="191"/>
      <c r="S1458" s="191"/>
      <c r="T1458" s="191"/>
      <c r="U1458" s="191"/>
      <c r="V1458" s="191"/>
      <c r="W1458" s="191"/>
      <c r="X1458" s="191"/>
      <c r="Y1458" s="191"/>
      <c r="Z1458" s="191"/>
      <c r="AA1458" s="191"/>
      <c r="AB1458" s="191"/>
      <c r="AC1458" s="190"/>
      <c r="AD1458" s="190"/>
      <c r="AE1458" s="190"/>
      <c r="AF1458" s="190"/>
      <c r="AG1458" s="190"/>
      <c r="AH1458" s="190"/>
      <c r="AI1458" s="190"/>
      <c r="AJ1458" s="190"/>
      <c r="AK1458" s="190"/>
      <c r="AL1458" s="190"/>
      <c r="AM1458" s="190"/>
    </row>
    <row r="1459" spans="2:39">
      <c r="B1459" s="162"/>
      <c r="C1459" s="162"/>
      <c r="D1459" s="191"/>
      <c r="E1459" s="191"/>
      <c r="F1459" s="191"/>
      <c r="G1459" s="191"/>
      <c r="H1459" s="191"/>
      <c r="I1459" s="191"/>
      <c r="J1459" s="191"/>
      <c r="K1459" s="191"/>
      <c r="L1459" s="191"/>
      <c r="M1459" s="191"/>
      <c r="N1459" s="191"/>
      <c r="O1459" s="191"/>
      <c r="P1459" s="191"/>
      <c r="Q1459" s="191"/>
      <c r="R1459" s="191"/>
      <c r="S1459" s="191"/>
      <c r="T1459" s="191"/>
      <c r="U1459" s="191"/>
      <c r="V1459" s="191"/>
      <c r="W1459" s="191"/>
      <c r="X1459" s="191"/>
      <c r="Y1459" s="191"/>
      <c r="Z1459" s="191"/>
      <c r="AA1459" s="191"/>
      <c r="AB1459" s="191"/>
      <c r="AC1459" s="190"/>
      <c r="AD1459" s="190"/>
      <c r="AE1459" s="190"/>
      <c r="AF1459" s="190"/>
      <c r="AG1459" s="190"/>
      <c r="AH1459" s="190"/>
      <c r="AI1459" s="190"/>
      <c r="AJ1459" s="190"/>
      <c r="AK1459" s="190"/>
      <c r="AL1459" s="190"/>
      <c r="AM1459" s="190"/>
    </row>
    <row r="1460" spans="2:39">
      <c r="B1460" s="162"/>
      <c r="C1460" s="162"/>
      <c r="D1460" s="191"/>
      <c r="E1460" s="191"/>
      <c r="F1460" s="191"/>
      <c r="G1460" s="191"/>
      <c r="H1460" s="191"/>
      <c r="I1460" s="191"/>
      <c r="J1460" s="191"/>
      <c r="K1460" s="191"/>
      <c r="L1460" s="191"/>
      <c r="M1460" s="191"/>
      <c r="N1460" s="191"/>
      <c r="O1460" s="191"/>
      <c r="P1460" s="191"/>
      <c r="Q1460" s="191"/>
      <c r="R1460" s="191"/>
      <c r="S1460" s="191"/>
      <c r="T1460" s="191"/>
      <c r="U1460" s="191"/>
      <c r="V1460" s="191"/>
      <c r="W1460" s="191"/>
      <c r="X1460" s="191"/>
      <c r="Y1460" s="191"/>
      <c r="Z1460" s="191"/>
      <c r="AA1460" s="191"/>
      <c r="AB1460" s="191"/>
      <c r="AC1460" s="190"/>
      <c r="AD1460" s="190"/>
      <c r="AE1460" s="190"/>
      <c r="AF1460" s="190"/>
      <c r="AG1460" s="190"/>
      <c r="AH1460" s="190"/>
      <c r="AI1460" s="190"/>
      <c r="AJ1460" s="190"/>
      <c r="AK1460" s="190"/>
      <c r="AL1460" s="190"/>
      <c r="AM1460" s="190"/>
    </row>
    <row r="1461" spans="2:39">
      <c r="B1461" s="162"/>
      <c r="C1461" s="162"/>
      <c r="D1461" s="191"/>
      <c r="E1461" s="191"/>
      <c r="F1461" s="191"/>
      <c r="G1461" s="191"/>
      <c r="H1461" s="191"/>
      <c r="I1461" s="191"/>
      <c r="J1461" s="191"/>
      <c r="K1461" s="191"/>
      <c r="L1461" s="191"/>
      <c r="M1461" s="191"/>
      <c r="N1461" s="191"/>
      <c r="O1461" s="191"/>
      <c r="P1461" s="191"/>
      <c r="Q1461" s="191"/>
      <c r="R1461" s="191"/>
      <c r="S1461" s="191"/>
      <c r="T1461" s="191"/>
      <c r="U1461" s="191"/>
      <c r="V1461" s="191"/>
      <c r="W1461" s="191"/>
      <c r="X1461" s="191"/>
      <c r="Y1461" s="191"/>
      <c r="Z1461" s="191"/>
      <c r="AA1461" s="191"/>
      <c r="AB1461" s="191"/>
      <c r="AC1461" s="190"/>
      <c r="AD1461" s="190"/>
      <c r="AE1461" s="190"/>
      <c r="AF1461" s="190"/>
      <c r="AG1461" s="190"/>
      <c r="AH1461" s="190"/>
      <c r="AI1461" s="190"/>
      <c r="AJ1461" s="190"/>
      <c r="AK1461" s="190"/>
      <c r="AL1461" s="190"/>
      <c r="AM1461" s="190"/>
    </row>
    <row r="1462" spans="2:39">
      <c r="B1462" s="162"/>
      <c r="C1462" s="162"/>
      <c r="D1462" s="191"/>
      <c r="E1462" s="191"/>
      <c r="F1462" s="191"/>
      <c r="G1462" s="191"/>
      <c r="H1462" s="191"/>
      <c r="I1462" s="191"/>
      <c r="J1462" s="191"/>
      <c r="K1462" s="191"/>
      <c r="L1462" s="191"/>
      <c r="M1462" s="191"/>
      <c r="N1462" s="191"/>
      <c r="O1462" s="191"/>
      <c r="P1462" s="191"/>
      <c r="Q1462" s="191"/>
      <c r="R1462" s="191"/>
      <c r="S1462" s="191"/>
      <c r="T1462" s="191"/>
      <c r="U1462" s="191"/>
      <c r="V1462" s="191"/>
      <c r="W1462" s="191"/>
      <c r="X1462" s="191"/>
      <c r="Y1462" s="191"/>
      <c r="Z1462" s="191"/>
      <c r="AA1462" s="191"/>
      <c r="AB1462" s="191"/>
      <c r="AC1462" s="190"/>
      <c r="AD1462" s="190"/>
      <c r="AE1462" s="190"/>
      <c r="AF1462" s="190"/>
      <c r="AG1462" s="190"/>
      <c r="AH1462" s="190"/>
      <c r="AI1462" s="190"/>
      <c r="AJ1462" s="190"/>
      <c r="AK1462" s="190"/>
      <c r="AL1462" s="190"/>
      <c r="AM1462" s="190"/>
    </row>
    <row r="1463" spans="2:39">
      <c r="B1463" s="162"/>
      <c r="C1463" s="162"/>
      <c r="D1463" s="191"/>
      <c r="E1463" s="191"/>
      <c r="F1463" s="191"/>
      <c r="G1463" s="191"/>
      <c r="H1463" s="191"/>
      <c r="I1463" s="191"/>
      <c r="J1463" s="191"/>
      <c r="K1463" s="191"/>
      <c r="L1463" s="191"/>
      <c r="M1463" s="191"/>
      <c r="N1463" s="191"/>
      <c r="O1463" s="191"/>
      <c r="P1463" s="191"/>
      <c r="Q1463" s="191"/>
      <c r="R1463" s="191"/>
      <c r="S1463" s="191"/>
      <c r="T1463" s="191"/>
      <c r="U1463" s="191"/>
      <c r="V1463" s="191"/>
      <c r="W1463" s="191"/>
      <c r="X1463" s="191"/>
      <c r="Y1463" s="191"/>
      <c r="Z1463" s="191"/>
      <c r="AA1463" s="191"/>
      <c r="AB1463" s="191"/>
      <c r="AC1463" s="190"/>
      <c r="AD1463" s="190"/>
      <c r="AE1463" s="190"/>
      <c r="AF1463" s="190"/>
      <c r="AG1463" s="190"/>
      <c r="AH1463" s="190"/>
      <c r="AI1463" s="190"/>
      <c r="AJ1463" s="190"/>
      <c r="AK1463" s="190"/>
      <c r="AL1463" s="190"/>
      <c r="AM1463" s="190"/>
    </row>
    <row r="1464" spans="2:39">
      <c r="B1464" s="162"/>
      <c r="C1464" s="162"/>
      <c r="D1464" s="191"/>
      <c r="E1464" s="191"/>
      <c r="F1464" s="191"/>
      <c r="G1464" s="191"/>
      <c r="H1464" s="191"/>
      <c r="I1464" s="191"/>
      <c r="J1464" s="191"/>
      <c r="K1464" s="191"/>
      <c r="L1464" s="191"/>
      <c r="M1464" s="191"/>
      <c r="N1464" s="191"/>
      <c r="O1464" s="191"/>
      <c r="P1464" s="191"/>
      <c r="Q1464" s="191"/>
      <c r="R1464" s="191"/>
      <c r="S1464" s="191"/>
      <c r="T1464" s="191"/>
      <c r="U1464" s="191"/>
      <c r="V1464" s="191"/>
      <c r="W1464" s="191"/>
      <c r="X1464" s="191"/>
      <c r="Y1464" s="191"/>
      <c r="Z1464" s="191"/>
      <c r="AA1464" s="191"/>
      <c r="AB1464" s="191"/>
      <c r="AC1464" s="190"/>
      <c r="AD1464" s="190"/>
      <c r="AE1464" s="190"/>
      <c r="AF1464" s="190"/>
      <c r="AG1464" s="190"/>
      <c r="AH1464" s="190"/>
      <c r="AI1464" s="190"/>
      <c r="AJ1464" s="190"/>
      <c r="AK1464" s="190"/>
      <c r="AL1464" s="190"/>
      <c r="AM1464" s="190"/>
    </row>
    <row r="1465" spans="2:39">
      <c r="B1465" s="162"/>
      <c r="C1465" s="162"/>
      <c r="D1465" s="191"/>
      <c r="E1465" s="191"/>
      <c r="F1465" s="191"/>
      <c r="G1465" s="191"/>
      <c r="H1465" s="191"/>
      <c r="I1465" s="191"/>
      <c r="J1465" s="191"/>
      <c r="K1465" s="191"/>
      <c r="L1465" s="191"/>
      <c r="M1465" s="191"/>
      <c r="N1465" s="191"/>
      <c r="O1465" s="191"/>
      <c r="P1465" s="191"/>
      <c r="Q1465" s="191"/>
      <c r="R1465" s="191"/>
      <c r="S1465" s="191"/>
      <c r="T1465" s="191"/>
      <c r="U1465" s="191"/>
      <c r="V1465" s="191"/>
      <c r="W1465" s="191"/>
      <c r="X1465" s="191"/>
      <c r="Y1465" s="191"/>
      <c r="Z1465" s="191"/>
      <c r="AA1465" s="191"/>
      <c r="AB1465" s="191"/>
      <c r="AC1465" s="190"/>
      <c r="AD1465" s="190"/>
      <c r="AE1465" s="190"/>
      <c r="AF1465" s="190"/>
      <c r="AG1465" s="190"/>
      <c r="AH1465" s="190"/>
      <c r="AI1465" s="190"/>
      <c r="AJ1465" s="190"/>
      <c r="AK1465" s="190"/>
      <c r="AL1465" s="190"/>
      <c r="AM1465" s="190"/>
    </row>
    <row r="1466" spans="2:39">
      <c r="B1466" s="162"/>
      <c r="C1466" s="162"/>
      <c r="D1466" s="191"/>
      <c r="E1466" s="191"/>
      <c r="F1466" s="191"/>
      <c r="G1466" s="191"/>
      <c r="H1466" s="191"/>
      <c r="I1466" s="191"/>
      <c r="J1466" s="191"/>
      <c r="K1466" s="191"/>
      <c r="L1466" s="191"/>
      <c r="M1466" s="191"/>
      <c r="N1466" s="191"/>
      <c r="O1466" s="191"/>
      <c r="P1466" s="191"/>
      <c r="Q1466" s="191"/>
      <c r="R1466" s="191"/>
      <c r="S1466" s="191"/>
      <c r="T1466" s="191"/>
      <c r="U1466" s="191"/>
      <c r="V1466" s="191"/>
      <c r="W1466" s="191"/>
      <c r="X1466" s="191"/>
      <c r="Y1466" s="191"/>
      <c r="Z1466" s="191"/>
      <c r="AA1466" s="191"/>
      <c r="AB1466" s="191"/>
      <c r="AC1466" s="190"/>
      <c r="AD1466" s="190"/>
      <c r="AE1466" s="190"/>
      <c r="AF1466" s="190"/>
      <c r="AG1466" s="190"/>
      <c r="AH1466" s="190"/>
      <c r="AI1466" s="190"/>
      <c r="AJ1466" s="190"/>
      <c r="AK1466" s="190"/>
      <c r="AL1466" s="190"/>
      <c r="AM1466" s="190"/>
    </row>
    <row r="1467" spans="2:39">
      <c r="B1467" s="162"/>
      <c r="C1467" s="162"/>
      <c r="D1467" s="191"/>
      <c r="E1467" s="191"/>
      <c r="F1467" s="191"/>
      <c r="G1467" s="191"/>
      <c r="H1467" s="191"/>
      <c r="I1467" s="191"/>
      <c r="J1467" s="191"/>
      <c r="K1467" s="191"/>
      <c r="L1467" s="191"/>
      <c r="M1467" s="191"/>
      <c r="N1467" s="191"/>
      <c r="O1467" s="191"/>
      <c r="P1467" s="191"/>
      <c r="Q1467" s="191"/>
      <c r="R1467" s="191"/>
      <c r="S1467" s="191"/>
      <c r="T1467" s="191"/>
      <c r="U1467" s="191"/>
      <c r="V1467" s="191"/>
      <c r="W1467" s="191"/>
      <c r="X1467" s="191"/>
      <c r="Y1467" s="191"/>
      <c r="Z1467" s="191"/>
      <c r="AA1467" s="191"/>
      <c r="AB1467" s="191"/>
      <c r="AC1467" s="190"/>
      <c r="AD1467" s="190"/>
      <c r="AE1467" s="190"/>
      <c r="AF1467" s="190"/>
      <c r="AG1467" s="190"/>
      <c r="AH1467" s="190"/>
      <c r="AI1467" s="190"/>
      <c r="AJ1467" s="190"/>
      <c r="AK1467" s="190"/>
      <c r="AL1467" s="190"/>
      <c r="AM1467" s="190"/>
    </row>
    <row r="1468" spans="2:39">
      <c r="B1468" s="162"/>
      <c r="C1468" s="162"/>
      <c r="D1468" s="191"/>
      <c r="E1468" s="191"/>
      <c r="F1468" s="191"/>
      <c r="G1468" s="191"/>
      <c r="H1468" s="191"/>
      <c r="I1468" s="191"/>
      <c r="J1468" s="191"/>
      <c r="K1468" s="191"/>
      <c r="L1468" s="191"/>
      <c r="M1468" s="191"/>
      <c r="N1468" s="191"/>
      <c r="O1468" s="191"/>
      <c r="P1468" s="191"/>
      <c r="Q1468" s="191"/>
      <c r="R1468" s="191"/>
      <c r="S1468" s="191"/>
      <c r="T1468" s="191"/>
      <c r="U1468" s="191"/>
      <c r="V1468" s="191"/>
      <c r="W1468" s="191"/>
      <c r="X1468" s="191"/>
      <c r="Y1468" s="191"/>
      <c r="Z1468" s="191"/>
      <c r="AA1468" s="191"/>
      <c r="AB1468" s="191"/>
      <c r="AC1468" s="190"/>
      <c r="AD1468" s="190"/>
      <c r="AE1468" s="190"/>
      <c r="AF1468" s="190"/>
      <c r="AG1468" s="190"/>
      <c r="AH1468" s="190"/>
      <c r="AI1468" s="190"/>
      <c r="AJ1468" s="190"/>
      <c r="AK1468" s="190"/>
      <c r="AL1468" s="190"/>
      <c r="AM1468" s="190"/>
    </row>
    <row r="1469" spans="2:39">
      <c r="B1469" s="162"/>
      <c r="C1469" s="162"/>
      <c r="D1469" s="191"/>
      <c r="E1469" s="191"/>
      <c r="F1469" s="191"/>
      <c r="G1469" s="191"/>
      <c r="H1469" s="191"/>
      <c r="I1469" s="191"/>
      <c r="J1469" s="191"/>
      <c r="K1469" s="191"/>
      <c r="L1469" s="191"/>
      <c r="M1469" s="191"/>
      <c r="N1469" s="191"/>
      <c r="O1469" s="191"/>
      <c r="P1469" s="191"/>
      <c r="Q1469" s="191"/>
      <c r="R1469" s="191"/>
      <c r="S1469" s="191"/>
      <c r="T1469" s="191"/>
      <c r="U1469" s="191"/>
      <c r="V1469" s="191"/>
      <c r="W1469" s="191"/>
      <c r="X1469" s="191"/>
      <c r="Y1469" s="191"/>
      <c r="Z1469" s="191"/>
      <c r="AA1469" s="191"/>
      <c r="AB1469" s="191"/>
      <c r="AC1469" s="190"/>
      <c r="AD1469" s="190"/>
      <c r="AE1469" s="190"/>
      <c r="AF1469" s="190"/>
      <c r="AG1469" s="190"/>
      <c r="AH1469" s="190"/>
      <c r="AI1469" s="190"/>
      <c r="AJ1469" s="190"/>
      <c r="AK1469" s="190"/>
      <c r="AL1469" s="190"/>
      <c r="AM1469" s="190"/>
    </row>
    <row r="1470" spans="2:39">
      <c r="B1470" s="162"/>
      <c r="C1470" s="162"/>
      <c r="D1470" s="191"/>
      <c r="E1470" s="191"/>
      <c r="F1470" s="191"/>
      <c r="G1470" s="191"/>
      <c r="H1470" s="191"/>
      <c r="I1470" s="191"/>
      <c r="J1470" s="191"/>
      <c r="K1470" s="191"/>
      <c r="L1470" s="191"/>
      <c r="M1470" s="191"/>
      <c r="N1470" s="191"/>
      <c r="O1470" s="191"/>
      <c r="P1470" s="191"/>
      <c r="Q1470" s="191"/>
      <c r="R1470" s="191"/>
      <c r="S1470" s="191"/>
      <c r="T1470" s="191"/>
      <c r="U1470" s="191"/>
      <c r="V1470" s="191"/>
      <c r="W1470" s="191"/>
      <c r="X1470" s="191"/>
      <c r="Y1470" s="191"/>
      <c r="Z1470" s="191"/>
      <c r="AA1470" s="191"/>
      <c r="AB1470" s="191"/>
      <c r="AC1470" s="190"/>
      <c r="AD1470" s="190"/>
      <c r="AE1470" s="190"/>
      <c r="AF1470" s="190"/>
      <c r="AG1470" s="190"/>
      <c r="AH1470" s="190"/>
      <c r="AI1470" s="190"/>
      <c r="AJ1470" s="190"/>
      <c r="AK1470" s="190"/>
      <c r="AL1470" s="190"/>
      <c r="AM1470" s="190"/>
    </row>
    <row r="1471" spans="2:39">
      <c r="B1471" s="162"/>
      <c r="C1471" s="162"/>
      <c r="D1471" s="191"/>
      <c r="E1471" s="191"/>
      <c r="F1471" s="191"/>
      <c r="G1471" s="191"/>
      <c r="H1471" s="191"/>
      <c r="I1471" s="191"/>
      <c r="J1471" s="191"/>
      <c r="K1471" s="191"/>
      <c r="L1471" s="191"/>
      <c r="M1471" s="191"/>
      <c r="N1471" s="191"/>
      <c r="O1471" s="191"/>
      <c r="P1471" s="191"/>
      <c r="Q1471" s="191"/>
      <c r="R1471" s="191"/>
      <c r="S1471" s="191"/>
      <c r="T1471" s="191"/>
      <c r="U1471" s="191"/>
      <c r="V1471" s="191"/>
      <c r="W1471" s="191"/>
      <c r="X1471" s="191"/>
      <c r="Y1471" s="191"/>
      <c r="Z1471" s="191"/>
      <c r="AA1471" s="191"/>
      <c r="AB1471" s="191"/>
      <c r="AC1471" s="190"/>
      <c r="AD1471" s="190"/>
      <c r="AE1471" s="190"/>
      <c r="AF1471" s="190"/>
      <c r="AG1471" s="190"/>
      <c r="AH1471" s="190"/>
      <c r="AI1471" s="190"/>
      <c r="AJ1471" s="190"/>
      <c r="AK1471" s="190"/>
      <c r="AL1471" s="190"/>
      <c r="AM1471" s="190"/>
    </row>
    <row r="1472" spans="2:39">
      <c r="B1472" s="162"/>
      <c r="C1472" s="162"/>
      <c r="D1472" s="191"/>
      <c r="E1472" s="191"/>
      <c r="F1472" s="191"/>
      <c r="G1472" s="191"/>
      <c r="H1472" s="191"/>
      <c r="I1472" s="191"/>
      <c r="J1472" s="191"/>
      <c r="K1472" s="191"/>
      <c r="L1472" s="191"/>
      <c r="M1472" s="191"/>
      <c r="N1472" s="191"/>
      <c r="O1472" s="191"/>
      <c r="P1472" s="191"/>
      <c r="Q1472" s="191"/>
      <c r="R1472" s="191"/>
      <c r="S1472" s="191"/>
      <c r="T1472" s="191"/>
      <c r="U1472" s="191"/>
      <c r="V1472" s="191"/>
      <c r="W1472" s="191"/>
      <c r="X1472" s="191"/>
      <c r="Y1472" s="191"/>
      <c r="Z1472" s="191"/>
      <c r="AA1472" s="191"/>
      <c r="AB1472" s="191"/>
      <c r="AC1472" s="190"/>
      <c r="AD1472" s="190"/>
      <c r="AE1472" s="190"/>
      <c r="AF1472" s="190"/>
      <c r="AG1472" s="190"/>
      <c r="AH1472" s="190"/>
      <c r="AI1472" s="190"/>
      <c r="AJ1472" s="190"/>
      <c r="AK1472" s="190"/>
      <c r="AL1472" s="190"/>
      <c r="AM1472" s="190"/>
    </row>
    <row r="1473" spans="2:39">
      <c r="B1473" s="162"/>
      <c r="C1473" s="162"/>
      <c r="D1473" s="191"/>
      <c r="E1473" s="191"/>
      <c r="F1473" s="191"/>
      <c r="G1473" s="191"/>
      <c r="H1473" s="191"/>
      <c r="I1473" s="191"/>
      <c r="J1473" s="191"/>
      <c r="K1473" s="191"/>
      <c r="L1473" s="191"/>
      <c r="M1473" s="191"/>
      <c r="N1473" s="191"/>
      <c r="O1473" s="191"/>
      <c r="P1473" s="191"/>
      <c r="Q1473" s="191"/>
      <c r="R1473" s="191"/>
      <c r="S1473" s="191"/>
      <c r="T1473" s="191"/>
      <c r="U1473" s="191"/>
      <c r="V1473" s="191"/>
      <c r="W1473" s="191"/>
      <c r="X1473" s="191"/>
      <c r="Y1473" s="191"/>
      <c r="Z1473" s="191"/>
      <c r="AA1473" s="191"/>
      <c r="AB1473" s="191"/>
      <c r="AC1473" s="190"/>
      <c r="AD1473" s="190"/>
      <c r="AE1473" s="190"/>
      <c r="AF1473" s="190"/>
      <c r="AG1473" s="190"/>
      <c r="AH1473" s="190"/>
      <c r="AI1473" s="190"/>
      <c r="AJ1473" s="190"/>
      <c r="AK1473" s="190"/>
      <c r="AL1473" s="190"/>
      <c r="AM1473" s="190"/>
    </row>
    <row r="1474" spans="2:39">
      <c r="B1474" s="162"/>
      <c r="C1474" s="162"/>
      <c r="D1474" s="191"/>
      <c r="E1474" s="191"/>
      <c r="F1474" s="191"/>
      <c r="G1474" s="191"/>
      <c r="H1474" s="191"/>
      <c r="I1474" s="191"/>
      <c r="J1474" s="191"/>
      <c r="K1474" s="191"/>
      <c r="L1474" s="191"/>
      <c r="M1474" s="191"/>
      <c r="N1474" s="191"/>
      <c r="O1474" s="191"/>
      <c r="P1474" s="191"/>
      <c r="Q1474" s="191"/>
      <c r="R1474" s="191"/>
      <c r="S1474" s="191"/>
      <c r="T1474" s="191"/>
      <c r="U1474" s="191"/>
      <c r="V1474" s="191"/>
      <c r="W1474" s="191"/>
      <c r="X1474" s="191"/>
      <c r="Y1474" s="191"/>
      <c r="Z1474" s="191"/>
      <c r="AA1474" s="191"/>
      <c r="AB1474" s="191"/>
      <c r="AC1474" s="190"/>
      <c r="AD1474" s="190"/>
      <c r="AE1474" s="190"/>
      <c r="AF1474" s="190"/>
      <c r="AG1474" s="190"/>
      <c r="AH1474" s="190"/>
      <c r="AI1474" s="190"/>
      <c r="AJ1474" s="190"/>
      <c r="AK1474" s="190"/>
      <c r="AL1474" s="190"/>
      <c r="AM1474" s="190"/>
    </row>
    <row r="1475" spans="2:39">
      <c r="B1475" s="162"/>
      <c r="C1475" s="162"/>
      <c r="D1475" s="191"/>
      <c r="E1475" s="191"/>
      <c r="F1475" s="191"/>
      <c r="G1475" s="191"/>
      <c r="H1475" s="191"/>
      <c r="I1475" s="191"/>
      <c r="J1475" s="191"/>
      <c r="K1475" s="191"/>
      <c r="L1475" s="191"/>
      <c r="M1475" s="191"/>
      <c r="N1475" s="191"/>
      <c r="O1475" s="191"/>
      <c r="P1475" s="191"/>
      <c r="Q1475" s="191"/>
      <c r="R1475" s="191"/>
      <c r="S1475" s="191"/>
      <c r="T1475" s="191"/>
      <c r="U1475" s="191"/>
      <c r="V1475" s="191"/>
      <c r="W1475" s="191"/>
      <c r="X1475" s="191"/>
      <c r="Y1475" s="191"/>
      <c r="Z1475" s="191"/>
      <c r="AA1475" s="191"/>
      <c r="AB1475" s="191"/>
      <c r="AC1475" s="190"/>
      <c r="AD1475" s="190"/>
      <c r="AE1475" s="190"/>
      <c r="AF1475" s="190"/>
      <c r="AG1475" s="190"/>
      <c r="AH1475" s="190"/>
      <c r="AI1475" s="190"/>
      <c r="AJ1475" s="190"/>
      <c r="AK1475" s="190"/>
      <c r="AL1475" s="190"/>
      <c r="AM1475" s="190"/>
    </row>
    <row r="1476" spans="2:39">
      <c r="B1476" s="162"/>
      <c r="C1476" s="162"/>
      <c r="D1476" s="191"/>
      <c r="E1476" s="191"/>
      <c r="F1476" s="191"/>
      <c r="G1476" s="191"/>
      <c r="H1476" s="191"/>
      <c r="I1476" s="191"/>
      <c r="J1476" s="191"/>
      <c r="K1476" s="191"/>
      <c r="L1476" s="191"/>
      <c r="M1476" s="191"/>
      <c r="N1476" s="191"/>
      <c r="O1476" s="191"/>
      <c r="P1476" s="191"/>
      <c r="Q1476" s="191"/>
      <c r="R1476" s="191"/>
      <c r="S1476" s="191"/>
      <c r="T1476" s="191"/>
      <c r="U1476" s="191"/>
      <c r="V1476" s="191"/>
      <c r="W1476" s="191"/>
      <c r="X1476" s="191"/>
      <c r="Y1476" s="191"/>
      <c r="Z1476" s="191"/>
      <c r="AA1476" s="191"/>
      <c r="AB1476" s="191"/>
      <c r="AC1476" s="190"/>
      <c r="AD1476" s="190"/>
      <c r="AE1476" s="190"/>
      <c r="AF1476" s="190"/>
      <c r="AG1476" s="190"/>
      <c r="AH1476" s="190"/>
      <c r="AI1476" s="190"/>
      <c r="AJ1476" s="190"/>
      <c r="AK1476" s="190"/>
      <c r="AL1476" s="190"/>
      <c r="AM1476" s="190"/>
    </row>
    <row r="1477" spans="2:39">
      <c r="B1477" s="162"/>
      <c r="C1477" s="162"/>
      <c r="D1477" s="191"/>
      <c r="E1477" s="191"/>
      <c r="F1477" s="191"/>
      <c r="G1477" s="191"/>
      <c r="H1477" s="191"/>
      <c r="I1477" s="191"/>
      <c r="J1477" s="191"/>
      <c r="K1477" s="191"/>
      <c r="L1477" s="191"/>
      <c r="M1477" s="191"/>
      <c r="N1477" s="191"/>
      <c r="O1477" s="191"/>
      <c r="P1477" s="191"/>
      <c r="Q1477" s="191"/>
      <c r="R1477" s="191"/>
      <c r="S1477" s="191"/>
      <c r="T1477" s="191"/>
      <c r="U1477" s="191"/>
      <c r="V1477" s="191"/>
      <c r="W1477" s="191"/>
      <c r="X1477" s="191"/>
      <c r="Y1477" s="191"/>
      <c r="Z1477" s="191"/>
      <c r="AA1477" s="191"/>
      <c r="AB1477" s="191"/>
      <c r="AC1477" s="190"/>
      <c r="AD1477" s="190"/>
      <c r="AE1477" s="190"/>
      <c r="AF1477" s="190"/>
      <c r="AG1477" s="190"/>
      <c r="AH1477" s="190"/>
      <c r="AI1477" s="190"/>
      <c r="AJ1477" s="190"/>
      <c r="AK1477" s="190"/>
      <c r="AL1477" s="190"/>
      <c r="AM1477" s="190"/>
    </row>
    <row r="1478" spans="2:39">
      <c r="B1478" s="162"/>
      <c r="C1478" s="162"/>
      <c r="D1478" s="191"/>
      <c r="E1478" s="191"/>
      <c r="F1478" s="191"/>
      <c r="G1478" s="191"/>
      <c r="H1478" s="191"/>
      <c r="I1478" s="191"/>
      <c r="J1478" s="191"/>
      <c r="K1478" s="191"/>
      <c r="L1478" s="191"/>
      <c r="M1478" s="191"/>
      <c r="N1478" s="191"/>
      <c r="O1478" s="191"/>
      <c r="P1478" s="191"/>
      <c r="Q1478" s="191"/>
      <c r="R1478" s="191"/>
      <c r="S1478" s="191"/>
      <c r="T1478" s="191"/>
      <c r="U1478" s="191"/>
      <c r="V1478" s="191"/>
      <c r="W1478" s="191"/>
      <c r="X1478" s="191"/>
      <c r="Y1478" s="191"/>
      <c r="Z1478" s="191"/>
      <c r="AA1478" s="191"/>
      <c r="AB1478" s="191"/>
      <c r="AC1478" s="190"/>
      <c r="AD1478" s="190"/>
      <c r="AE1478" s="190"/>
      <c r="AF1478" s="190"/>
      <c r="AG1478" s="190"/>
      <c r="AH1478" s="190"/>
      <c r="AI1478" s="190"/>
      <c r="AJ1478" s="190"/>
      <c r="AK1478" s="190"/>
      <c r="AL1478" s="190"/>
      <c r="AM1478" s="190"/>
    </row>
    <row r="1479" spans="2:39">
      <c r="B1479" s="162"/>
      <c r="C1479" s="162"/>
      <c r="D1479" s="191"/>
      <c r="E1479" s="191"/>
      <c r="F1479" s="191"/>
      <c r="G1479" s="191"/>
      <c r="H1479" s="191"/>
      <c r="I1479" s="191"/>
      <c r="J1479" s="191"/>
      <c r="K1479" s="191"/>
      <c r="L1479" s="191"/>
      <c r="M1479" s="191"/>
      <c r="N1479" s="191"/>
      <c r="O1479" s="191"/>
      <c r="P1479" s="191"/>
      <c r="Q1479" s="191"/>
      <c r="R1479" s="191"/>
      <c r="S1479" s="191"/>
      <c r="T1479" s="191"/>
      <c r="U1479" s="191"/>
      <c r="V1479" s="191"/>
      <c r="W1479" s="191"/>
      <c r="X1479" s="191"/>
      <c r="Y1479" s="191"/>
      <c r="Z1479" s="191"/>
      <c r="AA1479" s="191"/>
      <c r="AB1479" s="191"/>
      <c r="AC1479" s="190"/>
      <c r="AD1479" s="190"/>
      <c r="AE1479" s="190"/>
      <c r="AF1479" s="190"/>
      <c r="AG1479" s="190"/>
      <c r="AH1479" s="190"/>
      <c r="AI1479" s="190"/>
      <c r="AJ1479" s="190"/>
      <c r="AK1479" s="190"/>
      <c r="AL1479" s="190"/>
      <c r="AM1479" s="190"/>
    </row>
    <row r="1480" spans="2:39">
      <c r="B1480" s="162"/>
      <c r="C1480" s="162"/>
      <c r="D1480" s="191"/>
      <c r="E1480" s="191"/>
      <c r="F1480" s="191"/>
      <c r="G1480" s="191"/>
      <c r="H1480" s="191"/>
      <c r="I1480" s="191"/>
      <c r="J1480" s="191"/>
      <c r="K1480" s="191"/>
      <c r="L1480" s="191"/>
      <c r="M1480" s="191"/>
      <c r="N1480" s="191"/>
      <c r="O1480" s="191"/>
      <c r="P1480" s="191"/>
      <c r="Q1480" s="191"/>
      <c r="R1480" s="191"/>
      <c r="S1480" s="191"/>
      <c r="T1480" s="191"/>
      <c r="U1480" s="191"/>
      <c r="V1480" s="191"/>
      <c r="W1480" s="191"/>
      <c r="X1480" s="191"/>
      <c r="Y1480" s="191"/>
      <c r="Z1480" s="191"/>
      <c r="AA1480" s="191"/>
      <c r="AB1480" s="191"/>
      <c r="AC1480" s="190"/>
      <c r="AD1480" s="190"/>
      <c r="AE1480" s="190"/>
      <c r="AF1480" s="190"/>
      <c r="AG1480" s="190"/>
      <c r="AH1480" s="190"/>
      <c r="AI1480" s="190"/>
      <c r="AJ1480" s="190"/>
      <c r="AK1480" s="190"/>
      <c r="AL1480" s="190"/>
      <c r="AM1480" s="190"/>
    </row>
    <row r="1481" spans="2:39">
      <c r="B1481" s="162"/>
      <c r="C1481" s="162"/>
      <c r="D1481" s="191"/>
      <c r="E1481" s="191"/>
      <c r="F1481" s="191"/>
      <c r="G1481" s="191"/>
      <c r="H1481" s="191"/>
      <c r="I1481" s="191"/>
      <c r="J1481" s="191"/>
      <c r="K1481" s="191"/>
      <c r="L1481" s="191"/>
      <c r="M1481" s="191"/>
      <c r="N1481" s="191"/>
      <c r="O1481" s="191"/>
      <c r="P1481" s="191"/>
      <c r="Q1481" s="191"/>
      <c r="R1481" s="191"/>
      <c r="S1481" s="191"/>
      <c r="T1481" s="191"/>
      <c r="U1481" s="191"/>
      <c r="V1481" s="191"/>
      <c r="W1481" s="191"/>
      <c r="X1481" s="191"/>
      <c r="Y1481" s="191"/>
      <c r="Z1481" s="191"/>
      <c r="AA1481" s="191"/>
      <c r="AB1481" s="191"/>
      <c r="AC1481" s="190"/>
      <c r="AD1481" s="190"/>
      <c r="AE1481" s="190"/>
      <c r="AF1481" s="190"/>
      <c r="AG1481" s="190"/>
      <c r="AH1481" s="190"/>
      <c r="AI1481" s="190"/>
      <c r="AJ1481" s="190"/>
      <c r="AK1481" s="190"/>
      <c r="AL1481" s="190"/>
      <c r="AM1481" s="190"/>
    </row>
    <row r="1482" spans="2:39">
      <c r="B1482" s="162"/>
      <c r="C1482" s="162"/>
      <c r="D1482" s="191"/>
      <c r="E1482" s="191"/>
      <c r="F1482" s="191"/>
      <c r="G1482" s="191"/>
      <c r="H1482" s="191"/>
      <c r="I1482" s="191"/>
      <c r="J1482" s="191"/>
      <c r="K1482" s="191"/>
      <c r="L1482" s="191"/>
      <c r="M1482" s="191"/>
      <c r="N1482" s="191"/>
      <c r="O1482" s="191"/>
      <c r="P1482" s="191"/>
      <c r="Q1482" s="191"/>
      <c r="R1482" s="191"/>
      <c r="S1482" s="191"/>
      <c r="T1482" s="191"/>
      <c r="U1482" s="191"/>
      <c r="V1482" s="191"/>
      <c r="W1482" s="191"/>
      <c r="X1482" s="191"/>
      <c r="Y1482" s="191"/>
      <c r="Z1482" s="191"/>
      <c r="AA1482" s="191"/>
      <c r="AB1482" s="191"/>
      <c r="AC1482" s="190"/>
      <c r="AD1482" s="190"/>
      <c r="AE1482" s="190"/>
      <c r="AF1482" s="190"/>
      <c r="AG1482" s="190"/>
      <c r="AH1482" s="190"/>
      <c r="AI1482" s="190"/>
      <c r="AJ1482" s="190"/>
      <c r="AK1482" s="190"/>
      <c r="AL1482" s="190"/>
      <c r="AM1482" s="190"/>
    </row>
    <row r="1483" spans="2:39">
      <c r="B1483" s="162"/>
      <c r="C1483" s="162"/>
      <c r="D1483" s="191"/>
      <c r="E1483" s="191"/>
      <c r="F1483" s="191"/>
      <c r="G1483" s="191"/>
      <c r="H1483" s="191"/>
      <c r="I1483" s="191"/>
      <c r="J1483" s="191"/>
      <c r="K1483" s="191"/>
      <c r="L1483" s="191"/>
      <c r="M1483" s="191"/>
      <c r="N1483" s="191"/>
      <c r="O1483" s="191"/>
      <c r="P1483" s="191"/>
      <c r="Q1483" s="191"/>
      <c r="R1483" s="191"/>
      <c r="S1483" s="191"/>
      <c r="T1483" s="191"/>
      <c r="U1483" s="191"/>
      <c r="V1483" s="191"/>
      <c r="W1483" s="191"/>
      <c r="X1483" s="191"/>
      <c r="Y1483" s="191"/>
      <c r="Z1483" s="191"/>
      <c r="AA1483" s="191"/>
      <c r="AB1483" s="191"/>
      <c r="AC1483" s="190"/>
      <c r="AD1483" s="190"/>
      <c r="AE1483" s="190"/>
      <c r="AF1483" s="190"/>
      <c r="AG1483" s="190"/>
      <c r="AH1483" s="190"/>
      <c r="AI1483" s="190"/>
      <c r="AJ1483" s="190"/>
      <c r="AK1483" s="190"/>
      <c r="AL1483" s="190"/>
      <c r="AM1483" s="190"/>
    </row>
    <row r="1484" spans="2:39">
      <c r="B1484" s="162"/>
      <c r="C1484" s="162"/>
      <c r="D1484" s="191"/>
      <c r="E1484" s="191"/>
      <c r="F1484" s="191"/>
      <c r="G1484" s="191"/>
      <c r="H1484" s="191"/>
      <c r="I1484" s="191"/>
      <c r="J1484" s="191"/>
      <c r="K1484" s="191"/>
      <c r="L1484" s="191"/>
      <c r="M1484" s="191"/>
      <c r="N1484" s="191"/>
      <c r="O1484" s="191"/>
      <c r="P1484" s="191"/>
      <c r="Q1484" s="191"/>
      <c r="R1484" s="191"/>
      <c r="S1484" s="191"/>
      <c r="T1484" s="191"/>
      <c r="U1484" s="191"/>
      <c r="V1484" s="191"/>
      <c r="W1484" s="191"/>
      <c r="X1484" s="191"/>
      <c r="Y1484" s="191"/>
      <c r="Z1484" s="191"/>
      <c r="AA1484" s="191"/>
      <c r="AB1484" s="191"/>
      <c r="AC1484" s="190"/>
      <c r="AD1484" s="190"/>
      <c r="AE1484" s="190"/>
      <c r="AF1484" s="190"/>
      <c r="AG1484" s="190"/>
      <c r="AH1484" s="190"/>
      <c r="AI1484" s="190"/>
      <c r="AJ1484" s="190"/>
      <c r="AK1484" s="190"/>
      <c r="AL1484" s="190"/>
      <c r="AM1484" s="190"/>
    </row>
    <row r="1485" spans="2:39">
      <c r="B1485" s="162"/>
      <c r="C1485" s="162"/>
      <c r="D1485" s="191"/>
      <c r="E1485" s="191"/>
      <c r="F1485" s="191"/>
      <c r="G1485" s="191"/>
      <c r="H1485" s="191"/>
      <c r="I1485" s="191"/>
      <c r="J1485" s="191"/>
      <c r="K1485" s="191"/>
      <c r="L1485" s="191"/>
      <c r="M1485" s="191"/>
      <c r="N1485" s="191"/>
      <c r="O1485" s="191"/>
      <c r="P1485" s="191"/>
      <c r="Q1485" s="191"/>
      <c r="R1485" s="191"/>
      <c r="S1485" s="191"/>
      <c r="T1485" s="191"/>
      <c r="U1485" s="191"/>
      <c r="V1485" s="191"/>
      <c r="W1485" s="191"/>
      <c r="X1485" s="191"/>
      <c r="Y1485" s="191"/>
      <c r="Z1485" s="191"/>
      <c r="AA1485" s="191"/>
      <c r="AB1485" s="191"/>
      <c r="AC1485" s="190"/>
      <c r="AD1485" s="190"/>
      <c r="AE1485" s="190"/>
      <c r="AF1485" s="190"/>
      <c r="AG1485" s="190"/>
      <c r="AH1485" s="190"/>
      <c r="AI1485" s="190"/>
      <c r="AJ1485" s="190"/>
      <c r="AK1485" s="190"/>
      <c r="AL1485" s="190"/>
      <c r="AM1485" s="190"/>
    </row>
    <row r="1486" spans="2:39">
      <c r="B1486" s="162"/>
      <c r="C1486" s="162"/>
      <c r="D1486" s="191"/>
      <c r="E1486" s="191"/>
      <c r="F1486" s="191"/>
      <c r="G1486" s="191"/>
      <c r="H1486" s="191"/>
      <c r="I1486" s="191"/>
      <c r="J1486" s="191"/>
      <c r="K1486" s="191"/>
      <c r="L1486" s="191"/>
      <c r="M1486" s="191"/>
      <c r="N1486" s="191"/>
      <c r="O1486" s="191"/>
      <c r="P1486" s="191"/>
      <c r="Q1486" s="191"/>
      <c r="R1486" s="191"/>
      <c r="S1486" s="191"/>
      <c r="T1486" s="191"/>
      <c r="U1486" s="191"/>
      <c r="V1486" s="191"/>
      <c r="W1486" s="191"/>
      <c r="X1486" s="191"/>
      <c r="Y1486" s="191"/>
      <c r="Z1486" s="191"/>
      <c r="AA1486" s="191"/>
      <c r="AB1486" s="191"/>
      <c r="AC1486" s="190"/>
      <c r="AD1486" s="190"/>
      <c r="AE1486" s="190"/>
      <c r="AF1486" s="190"/>
      <c r="AG1486" s="190"/>
      <c r="AH1486" s="190"/>
      <c r="AI1486" s="190"/>
      <c r="AJ1486" s="190"/>
      <c r="AK1486" s="190"/>
      <c r="AL1486" s="190"/>
      <c r="AM1486" s="190"/>
    </row>
    <row r="1487" spans="2:39">
      <c r="B1487" s="162"/>
      <c r="C1487" s="162"/>
      <c r="D1487" s="191"/>
      <c r="E1487" s="191"/>
      <c r="F1487" s="191"/>
      <c r="G1487" s="191"/>
      <c r="H1487" s="191"/>
      <c r="I1487" s="191"/>
      <c r="J1487" s="191"/>
      <c r="K1487" s="191"/>
      <c r="L1487" s="191"/>
      <c r="M1487" s="191"/>
      <c r="N1487" s="191"/>
      <c r="O1487" s="191"/>
      <c r="P1487" s="191"/>
      <c r="Q1487" s="191"/>
      <c r="R1487" s="191"/>
      <c r="S1487" s="191"/>
      <c r="T1487" s="191"/>
      <c r="U1487" s="191"/>
      <c r="V1487" s="191"/>
      <c r="W1487" s="191"/>
      <c r="X1487" s="191"/>
      <c r="Y1487" s="191"/>
      <c r="Z1487" s="191"/>
      <c r="AA1487" s="191"/>
      <c r="AB1487" s="191"/>
      <c r="AC1487" s="190"/>
      <c r="AD1487" s="190"/>
      <c r="AE1487" s="190"/>
      <c r="AF1487" s="190"/>
      <c r="AG1487" s="190"/>
      <c r="AH1487" s="190"/>
      <c r="AI1487" s="190"/>
      <c r="AJ1487" s="190"/>
      <c r="AK1487" s="190"/>
      <c r="AL1487" s="190"/>
      <c r="AM1487" s="190"/>
    </row>
    <row r="1488" spans="2:39">
      <c r="B1488" s="162"/>
      <c r="C1488" s="162"/>
      <c r="D1488" s="191"/>
      <c r="E1488" s="191"/>
      <c r="F1488" s="191"/>
      <c r="G1488" s="191"/>
      <c r="H1488" s="191"/>
      <c r="I1488" s="191"/>
      <c r="J1488" s="191"/>
      <c r="K1488" s="191"/>
      <c r="L1488" s="191"/>
      <c r="M1488" s="191"/>
      <c r="N1488" s="191"/>
      <c r="O1488" s="191"/>
      <c r="P1488" s="191"/>
      <c r="Q1488" s="191"/>
      <c r="R1488" s="191"/>
      <c r="S1488" s="191"/>
      <c r="T1488" s="191"/>
      <c r="U1488" s="191"/>
      <c r="V1488" s="191"/>
      <c r="W1488" s="191"/>
      <c r="X1488" s="191"/>
      <c r="Y1488" s="191"/>
      <c r="Z1488" s="191"/>
      <c r="AA1488" s="191"/>
      <c r="AB1488" s="191"/>
      <c r="AC1488" s="190"/>
      <c r="AD1488" s="190"/>
      <c r="AE1488" s="190"/>
      <c r="AF1488" s="190"/>
      <c r="AG1488" s="190"/>
      <c r="AH1488" s="190"/>
      <c r="AI1488" s="190"/>
      <c r="AJ1488" s="190"/>
      <c r="AK1488" s="190"/>
      <c r="AL1488" s="190"/>
      <c r="AM1488" s="190"/>
    </row>
    <row r="1489" spans="2:39">
      <c r="B1489" s="162"/>
      <c r="C1489" s="162"/>
      <c r="D1489" s="191"/>
      <c r="E1489" s="191"/>
      <c r="F1489" s="191"/>
      <c r="G1489" s="191"/>
      <c r="H1489" s="191"/>
      <c r="I1489" s="191"/>
      <c r="J1489" s="191"/>
      <c r="K1489" s="191"/>
      <c r="L1489" s="191"/>
      <c r="M1489" s="191"/>
      <c r="N1489" s="191"/>
      <c r="O1489" s="191"/>
      <c r="P1489" s="191"/>
      <c r="Q1489" s="191"/>
      <c r="R1489" s="191"/>
      <c r="S1489" s="191"/>
      <c r="T1489" s="191"/>
      <c r="U1489" s="191"/>
      <c r="V1489" s="191"/>
      <c r="W1489" s="191"/>
      <c r="X1489" s="191"/>
      <c r="Y1489" s="191"/>
      <c r="Z1489" s="191"/>
      <c r="AA1489" s="191"/>
      <c r="AB1489" s="191"/>
      <c r="AC1489" s="190"/>
      <c r="AD1489" s="190"/>
      <c r="AE1489" s="190"/>
      <c r="AF1489" s="190"/>
      <c r="AG1489" s="190"/>
      <c r="AH1489" s="190"/>
      <c r="AI1489" s="190"/>
      <c r="AJ1489" s="190"/>
      <c r="AK1489" s="190"/>
      <c r="AL1489" s="190"/>
      <c r="AM1489" s="190"/>
    </row>
    <row r="1490" spans="2:39">
      <c r="B1490" s="162"/>
      <c r="C1490" s="162"/>
      <c r="D1490" s="191"/>
      <c r="E1490" s="191"/>
      <c r="F1490" s="191"/>
      <c r="G1490" s="191"/>
      <c r="H1490" s="191"/>
      <c r="I1490" s="191"/>
      <c r="J1490" s="191"/>
      <c r="K1490" s="191"/>
      <c r="L1490" s="191"/>
      <c r="M1490" s="191"/>
      <c r="N1490" s="191"/>
      <c r="O1490" s="191"/>
      <c r="P1490" s="191"/>
      <c r="Q1490" s="191"/>
      <c r="R1490" s="191"/>
      <c r="S1490" s="191"/>
      <c r="T1490" s="191"/>
      <c r="U1490" s="191"/>
      <c r="V1490" s="191"/>
      <c r="W1490" s="191"/>
      <c r="X1490" s="191"/>
      <c r="Y1490" s="191"/>
      <c r="Z1490" s="191"/>
      <c r="AA1490" s="191"/>
      <c r="AB1490" s="191"/>
      <c r="AC1490" s="190"/>
      <c r="AD1490" s="190"/>
      <c r="AE1490" s="190"/>
      <c r="AF1490" s="190"/>
      <c r="AG1490" s="190"/>
      <c r="AH1490" s="190"/>
      <c r="AI1490" s="190"/>
      <c r="AJ1490" s="190"/>
      <c r="AK1490" s="190"/>
      <c r="AL1490" s="190"/>
      <c r="AM1490" s="190"/>
    </row>
    <row r="1491" spans="2:39">
      <c r="B1491" s="162"/>
      <c r="C1491" s="162"/>
      <c r="D1491" s="191"/>
      <c r="E1491" s="191"/>
      <c r="F1491" s="191"/>
      <c r="G1491" s="191"/>
      <c r="H1491" s="191"/>
      <c r="I1491" s="191"/>
      <c r="J1491" s="191"/>
      <c r="K1491" s="191"/>
      <c r="L1491" s="191"/>
      <c r="M1491" s="191"/>
      <c r="N1491" s="191"/>
      <c r="O1491" s="191"/>
      <c r="P1491" s="191"/>
      <c r="Q1491" s="191"/>
      <c r="R1491" s="191"/>
      <c r="S1491" s="191"/>
      <c r="T1491" s="191"/>
      <c r="U1491" s="191"/>
      <c r="V1491" s="191"/>
      <c r="W1491" s="191"/>
      <c r="X1491" s="191"/>
      <c r="Y1491" s="191"/>
      <c r="Z1491" s="191"/>
      <c r="AA1491" s="191"/>
      <c r="AB1491" s="191"/>
      <c r="AC1491" s="190"/>
      <c r="AD1491" s="190"/>
      <c r="AE1491" s="190"/>
      <c r="AF1491" s="190"/>
      <c r="AG1491" s="190"/>
      <c r="AH1491" s="190"/>
      <c r="AI1491" s="190"/>
      <c r="AJ1491" s="190"/>
      <c r="AK1491" s="190"/>
      <c r="AL1491" s="190"/>
      <c r="AM1491" s="190"/>
    </row>
    <row r="1492" spans="2:39">
      <c r="B1492" s="162"/>
      <c r="C1492" s="162"/>
      <c r="D1492" s="191"/>
      <c r="E1492" s="191"/>
      <c r="F1492" s="191"/>
      <c r="G1492" s="191"/>
      <c r="H1492" s="191"/>
      <c r="I1492" s="191"/>
      <c r="J1492" s="191"/>
      <c r="K1492" s="191"/>
      <c r="L1492" s="191"/>
      <c r="M1492" s="191"/>
      <c r="N1492" s="191"/>
      <c r="O1492" s="191"/>
      <c r="P1492" s="191"/>
      <c r="Q1492" s="191"/>
      <c r="R1492" s="191"/>
      <c r="S1492" s="191"/>
      <c r="T1492" s="191"/>
      <c r="U1492" s="191"/>
      <c r="V1492" s="191"/>
      <c r="W1492" s="191"/>
      <c r="X1492" s="191"/>
      <c r="Y1492" s="191"/>
      <c r="Z1492" s="191"/>
      <c r="AA1492" s="191"/>
      <c r="AB1492" s="191"/>
      <c r="AC1492" s="190"/>
      <c r="AD1492" s="190"/>
      <c r="AE1492" s="190"/>
      <c r="AF1492" s="190"/>
      <c r="AG1492" s="190"/>
      <c r="AH1492" s="190"/>
      <c r="AI1492" s="190"/>
      <c r="AJ1492" s="190"/>
      <c r="AK1492" s="190"/>
      <c r="AL1492" s="190"/>
      <c r="AM1492" s="190"/>
    </row>
    <row r="1493" spans="2:39">
      <c r="B1493" s="162"/>
      <c r="C1493" s="162"/>
      <c r="D1493" s="191"/>
      <c r="E1493" s="191"/>
      <c r="F1493" s="191"/>
      <c r="G1493" s="191"/>
      <c r="H1493" s="191"/>
      <c r="I1493" s="191"/>
      <c r="J1493" s="191"/>
      <c r="K1493" s="191"/>
      <c r="L1493" s="191"/>
      <c r="M1493" s="191"/>
      <c r="N1493" s="191"/>
      <c r="O1493" s="191"/>
      <c r="P1493" s="191"/>
      <c r="Q1493" s="191"/>
      <c r="R1493" s="191"/>
      <c r="S1493" s="191"/>
      <c r="T1493" s="191"/>
      <c r="U1493" s="191"/>
      <c r="V1493" s="191"/>
      <c r="W1493" s="191"/>
      <c r="X1493" s="191"/>
      <c r="Y1493" s="191"/>
      <c r="Z1493" s="191"/>
      <c r="AA1493" s="191"/>
      <c r="AB1493" s="191"/>
      <c r="AC1493" s="190"/>
      <c r="AD1493" s="190"/>
      <c r="AE1493" s="190"/>
      <c r="AF1493" s="190"/>
      <c r="AG1493" s="190"/>
      <c r="AH1493" s="190"/>
      <c r="AI1493" s="190"/>
      <c r="AJ1493" s="190"/>
      <c r="AK1493" s="190"/>
      <c r="AL1493" s="190"/>
      <c r="AM1493" s="190"/>
    </row>
    <row r="1494" spans="2:39">
      <c r="B1494" s="162"/>
      <c r="C1494" s="162"/>
      <c r="D1494" s="191"/>
      <c r="E1494" s="191"/>
      <c r="F1494" s="191"/>
      <c r="G1494" s="191"/>
      <c r="H1494" s="191"/>
      <c r="I1494" s="191"/>
      <c r="J1494" s="191"/>
      <c r="K1494" s="191"/>
      <c r="L1494" s="191"/>
      <c r="M1494" s="191"/>
      <c r="N1494" s="191"/>
      <c r="O1494" s="191"/>
      <c r="P1494" s="191"/>
      <c r="Q1494" s="191"/>
      <c r="R1494" s="191"/>
      <c r="S1494" s="191"/>
      <c r="T1494" s="191"/>
      <c r="U1494" s="191"/>
      <c r="V1494" s="191"/>
      <c r="W1494" s="191"/>
      <c r="X1494" s="191"/>
      <c r="Y1494" s="191"/>
      <c r="Z1494" s="191"/>
      <c r="AA1494" s="191"/>
      <c r="AB1494" s="191"/>
      <c r="AC1494" s="190"/>
      <c r="AD1494" s="190"/>
      <c r="AE1494" s="190"/>
      <c r="AF1494" s="190"/>
      <c r="AG1494" s="190"/>
      <c r="AH1494" s="190"/>
      <c r="AI1494" s="190"/>
      <c r="AJ1494" s="190"/>
      <c r="AK1494" s="190"/>
      <c r="AL1494" s="190"/>
      <c r="AM1494" s="190"/>
    </row>
    <row r="1495" spans="2:39">
      <c r="B1495" s="162"/>
      <c r="C1495" s="162"/>
      <c r="D1495" s="191"/>
      <c r="E1495" s="191"/>
      <c r="F1495" s="191"/>
      <c r="G1495" s="191"/>
      <c r="H1495" s="191"/>
      <c r="I1495" s="191"/>
      <c r="J1495" s="191"/>
      <c r="K1495" s="191"/>
      <c r="L1495" s="191"/>
      <c r="M1495" s="191"/>
      <c r="N1495" s="191"/>
      <c r="O1495" s="191"/>
      <c r="P1495" s="191"/>
      <c r="Q1495" s="191"/>
      <c r="R1495" s="191"/>
      <c r="S1495" s="191"/>
      <c r="T1495" s="191"/>
      <c r="U1495" s="191"/>
      <c r="V1495" s="191"/>
      <c r="W1495" s="191"/>
      <c r="X1495" s="191"/>
      <c r="Y1495" s="191"/>
      <c r="Z1495" s="191"/>
      <c r="AA1495" s="191"/>
      <c r="AB1495" s="191"/>
      <c r="AC1495" s="190"/>
      <c r="AD1495" s="190"/>
      <c r="AE1495" s="190"/>
      <c r="AF1495" s="190"/>
      <c r="AG1495" s="190"/>
      <c r="AH1495" s="190"/>
      <c r="AI1495" s="190"/>
      <c r="AJ1495" s="190"/>
      <c r="AK1495" s="190"/>
      <c r="AL1495" s="190"/>
      <c r="AM1495" s="190"/>
    </row>
    <row r="1496" spans="2:39">
      <c r="B1496" s="162"/>
      <c r="C1496" s="162"/>
      <c r="D1496" s="191"/>
      <c r="E1496" s="191"/>
      <c r="F1496" s="191"/>
      <c r="G1496" s="191"/>
      <c r="H1496" s="191"/>
      <c r="I1496" s="191"/>
      <c r="J1496" s="191"/>
      <c r="K1496" s="191"/>
      <c r="L1496" s="191"/>
      <c r="M1496" s="191"/>
      <c r="N1496" s="191"/>
      <c r="O1496" s="191"/>
      <c r="P1496" s="191"/>
      <c r="Q1496" s="191"/>
      <c r="R1496" s="191"/>
      <c r="S1496" s="191"/>
      <c r="T1496" s="191"/>
      <c r="U1496" s="191"/>
      <c r="V1496" s="191"/>
      <c r="W1496" s="191"/>
      <c r="X1496" s="191"/>
      <c r="Y1496" s="191"/>
      <c r="Z1496" s="191"/>
      <c r="AA1496" s="191"/>
      <c r="AB1496" s="191"/>
      <c r="AC1496" s="190"/>
      <c r="AD1496" s="190"/>
      <c r="AE1496" s="190"/>
      <c r="AF1496" s="190"/>
      <c r="AG1496" s="190"/>
      <c r="AH1496" s="190"/>
      <c r="AI1496" s="190"/>
      <c r="AJ1496" s="190"/>
      <c r="AK1496" s="190"/>
      <c r="AL1496" s="190"/>
      <c r="AM1496" s="190"/>
    </row>
    <row r="1497" spans="2:39">
      <c r="B1497" s="162"/>
      <c r="C1497" s="162"/>
      <c r="D1497" s="191"/>
      <c r="E1497" s="191"/>
      <c r="F1497" s="191"/>
      <c r="G1497" s="191"/>
      <c r="H1497" s="191"/>
      <c r="I1497" s="191"/>
      <c r="J1497" s="191"/>
      <c r="K1497" s="191"/>
      <c r="L1497" s="191"/>
      <c r="M1497" s="191"/>
      <c r="N1497" s="191"/>
      <c r="O1497" s="191"/>
      <c r="P1497" s="191"/>
      <c r="Q1497" s="191"/>
      <c r="R1497" s="191"/>
      <c r="S1497" s="191"/>
      <c r="T1497" s="191"/>
      <c r="U1497" s="191"/>
      <c r="V1497" s="191"/>
      <c r="W1497" s="191"/>
      <c r="X1497" s="191"/>
      <c r="Y1497" s="191"/>
      <c r="Z1497" s="191"/>
      <c r="AA1497" s="191"/>
      <c r="AB1497" s="191"/>
      <c r="AC1497" s="190"/>
      <c r="AD1497" s="190"/>
      <c r="AE1497" s="190"/>
      <c r="AF1497" s="190"/>
      <c r="AG1497" s="190"/>
      <c r="AH1497" s="190"/>
      <c r="AI1497" s="190"/>
      <c r="AJ1497" s="190"/>
      <c r="AK1497" s="190"/>
      <c r="AL1497" s="190"/>
      <c r="AM1497" s="190"/>
    </row>
    <row r="1498" spans="2:39">
      <c r="B1498" s="162"/>
      <c r="C1498" s="162"/>
      <c r="D1498" s="191"/>
      <c r="E1498" s="191"/>
      <c r="F1498" s="191"/>
      <c r="G1498" s="191"/>
      <c r="H1498" s="191"/>
      <c r="I1498" s="191"/>
      <c r="J1498" s="191"/>
      <c r="K1498" s="191"/>
      <c r="L1498" s="191"/>
      <c r="M1498" s="191"/>
      <c r="N1498" s="191"/>
      <c r="O1498" s="191"/>
      <c r="P1498" s="191"/>
      <c r="Q1498" s="191"/>
      <c r="R1498" s="191"/>
      <c r="S1498" s="191"/>
      <c r="T1498" s="191"/>
      <c r="U1498" s="191"/>
      <c r="V1498" s="191"/>
      <c r="W1498" s="191"/>
      <c r="X1498" s="191"/>
      <c r="Y1498" s="191"/>
      <c r="Z1498" s="191"/>
      <c r="AA1498" s="191"/>
      <c r="AB1498" s="191"/>
      <c r="AC1498" s="190"/>
      <c r="AD1498" s="190"/>
      <c r="AE1498" s="190"/>
      <c r="AF1498" s="190"/>
      <c r="AG1498" s="190"/>
      <c r="AH1498" s="190"/>
      <c r="AI1498" s="190"/>
      <c r="AJ1498" s="190"/>
      <c r="AK1498" s="190"/>
      <c r="AL1498" s="190"/>
      <c r="AM1498" s="190"/>
    </row>
    <row r="1499" spans="2:39">
      <c r="B1499" s="162"/>
      <c r="C1499" s="162"/>
      <c r="D1499" s="191"/>
      <c r="E1499" s="191"/>
      <c r="F1499" s="191"/>
      <c r="G1499" s="191"/>
      <c r="H1499" s="191"/>
      <c r="I1499" s="191"/>
      <c r="J1499" s="191"/>
      <c r="K1499" s="191"/>
      <c r="L1499" s="191"/>
      <c r="M1499" s="191"/>
      <c r="N1499" s="191"/>
      <c r="O1499" s="191"/>
      <c r="P1499" s="191"/>
      <c r="Q1499" s="191"/>
      <c r="R1499" s="191"/>
      <c r="S1499" s="191"/>
      <c r="T1499" s="191"/>
      <c r="U1499" s="191"/>
      <c r="V1499" s="191"/>
      <c r="W1499" s="191"/>
      <c r="X1499" s="191"/>
      <c r="Y1499" s="191"/>
      <c r="Z1499" s="191"/>
      <c r="AA1499" s="191"/>
      <c r="AB1499" s="191"/>
      <c r="AC1499" s="190"/>
      <c r="AD1499" s="190"/>
      <c r="AE1499" s="190"/>
      <c r="AF1499" s="190"/>
      <c r="AG1499" s="190"/>
      <c r="AH1499" s="190"/>
      <c r="AI1499" s="190"/>
      <c r="AJ1499" s="190"/>
      <c r="AK1499" s="190"/>
      <c r="AL1499" s="190"/>
      <c r="AM1499" s="190"/>
    </row>
    <row r="1500" spans="2:39">
      <c r="B1500" s="162"/>
      <c r="C1500" s="162"/>
      <c r="D1500" s="191"/>
      <c r="E1500" s="191"/>
      <c r="F1500" s="191"/>
      <c r="G1500" s="191"/>
      <c r="H1500" s="191"/>
      <c r="I1500" s="191"/>
      <c r="J1500" s="191"/>
      <c r="K1500" s="191"/>
      <c r="L1500" s="191"/>
      <c r="M1500" s="191"/>
      <c r="N1500" s="191"/>
      <c r="O1500" s="191"/>
      <c r="P1500" s="191"/>
      <c r="Q1500" s="191"/>
      <c r="R1500" s="191"/>
      <c r="S1500" s="191"/>
      <c r="T1500" s="191"/>
      <c r="U1500" s="191"/>
      <c r="V1500" s="191"/>
      <c r="W1500" s="191"/>
      <c r="X1500" s="191"/>
      <c r="Y1500" s="191"/>
      <c r="Z1500" s="191"/>
      <c r="AA1500" s="191"/>
      <c r="AB1500" s="191"/>
      <c r="AC1500" s="190"/>
      <c r="AD1500" s="190"/>
      <c r="AE1500" s="190"/>
      <c r="AF1500" s="190"/>
      <c r="AG1500" s="190"/>
      <c r="AH1500" s="190"/>
      <c r="AI1500" s="190"/>
      <c r="AJ1500" s="190"/>
      <c r="AK1500" s="190"/>
      <c r="AL1500" s="190"/>
      <c r="AM1500" s="190"/>
    </row>
    <row r="1501" spans="2:39">
      <c r="B1501" s="162"/>
      <c r="C1501" s="162"/>
      <c r="D1501" s="191"/>
      <c r="E1501" s="191"/>
      <c r="F1501" s="191"/>
      <c r="G1501" s="191"/>
      <c r="H1501" s="191"/>
      <c r="I1501" s="191"/>
      <c r="J1501" s="191"/>
      <c r="K1501" s="191"/>
      <c r="L1501" s="191"/>
      <c r="M1501" s="191"/>
      <c r="N1501" s="191"/>
      <c r="O1501" s="191"/>
      <c r="P1501" s="191"/>
      <c r="Q1501" s="191"/>
      <c r="R1501" s="191"/>
      <c r="S1501" s="191"/>
      <c r="T1501" s="191"/>
      <c r="U1501" s="191"/>
      <c r="V1501" s="191"/>
      <c r="W1501" s="191"/>
      <c r="X1501" s="191"/>
      <c r="Y1501" s="191"/>
      <c r="Z1501" s="191"/>
      <c r="AA1501" s="191"/>
      <c r="AB1501" s="191"/>
      <c r="AC1501" s="190"/>
      <c r="AD1501" s="190"/>
      <c r="AE1501" s="190"/>
      <c r="AF1501" s="190"/>
      <c r="AG1501" s="190"/>
      <c r="AH1501" s="190"/>
      <c r="AI1501" s="190"/>
      <c r="AJ1501" s="190"/>
      <c r="AK1501" s="190"/>
      <c r="AL1501" s="190"/>
      <c r="AM1501" s="190"/>
    </row>
    <row r="1502" spans="2:39">
      <c r="B1502" s="162"/>
      <c r="C1502" s="162"/>
      <c r="D1502" s="191"/>
      <c r="E1502" s="191"/>
      <c r="F1502" s="191"/>
      <c r="G1502" s="191"/>
      <c r="H1502" s="191"/>
      <c r="I1502" s="191"/>
      <c r="J1502" s="191"/>
      <c r="K1502" s="191"/>
      <c r="L1502" s="191"/>
      <c r="M1502" s="191"/>
      <c r="N1502" s="191"/>
      <c r="O1502" s="191"/>
      <c r="P1502" s="191"/>
      <c r="Q1502" s="191"/>
      <c r="R1502" s="191"/>
      <c r="S1502" s="191"/>
      <c r="T1502" s="191"/>
      <c r="U1502" s="191"/>
      <c r="V1502" s="191"/>
      <c r="W1502" s="191"/>
      <c r="X1502" s="191"/>
      <c r="Y1502" s="191"/>
      <c r="Z1502" s="191"/>
      <c r="AA1502" s="191"/>
      <c r="AB1502" s="191"/>
      <c r="AC1502" s="190"/>
      <c r="AD1502" s="190"/>
      <c r="AE1502" s="190"/>
      <c r="AF1502" s="190"/>
      <c r="AG1502" s="190"/>
      <c r="AH1502" s="190"/>
      <c r="AI1502" s="190"/>
      <c r="AJ1502" s="190"/>
      <c r="AK1502" s="190"/>
      <c r="AL1502" s="190"/>
      <c r="AM1502" s="190"/>
    </row>
    <row r="1503" spans="2:39">
      <c r="B1503" s="162"/>
      <c r="C1503" s="162"/>
      <c r="D1503" s="191"/>
      <c r="E1503" s="191"/>
      <c r="F1503" s="191"/>
      <c r="G1503" s="191"/>
      <c r="H1503" s="191"/>
      <c r="I1503" s="191"/>
      <c r="J1503" s="191"/>
      <c r="K1503" s="191"/>
      <c r="L1503" s="191"/>
      <c r="M1503" s="191"/>
      <c r="N1503" s="191"/>
      <c r="O1503" s="191"/>
      <c r="P1503" s="191"/>
      <c r="Q1503" s="191"/>
      <c r="R1503" s="191"/>
      <c r="S1503" s="191"/>
      <c r="T1503" s="191"/>
      <c r="U1503" s="191"/>
      <c r="V1503" s="191"/>
      <c r="W1503" s="191"/>
      <c r="X1503" s="191"/>
      <c r="Y1503" s="191"/>
      <c r="Z1503" s="191"/>
      <c r="AA1503" s="191"/>
      <c r="AB1503" s="191"/>
      <c r="AC1503" s="190"/>
      <c r="AD1503" s="190"/>
      <c r="AE1503" s="190"/>
      <c r="AF1503" s="190"/>
      <c r="AG1503" s="190"/>
      <c r="AH1503" s="190"/>
      <c r="AI1503" s="190"/>
      <c r="AJ1503" s="190"/>
      <c r="AK1503" s="190"/>
      <c r="AL1503" s="190"/>
      <c r="AM1503" s="190"/>
    </row>
    <row r="1504" spans="2:39">
      <c r="B1504" s="162"/>
      <c r="C1504" s="162"/>
      <c r="D1504" s="191"/>
      <c r="E1504" s="191"/>
      <c r="F1504" s="191"/>
      <c r="G1504" s="191"/>
      <c r="H1504" s="191"/>
      <c r="I1504" s="191"/>
      <c r="J1504" s="191"/>
      <c r="K1504" s="191"/>
      <c r="L1504" s="191"/>
      <c r="M1504" s="191"/>
      <c r="N1504" s="191"/>
      <c r="O1504" s="191"/>
      <c r="P1504" s="191"/>
      <c r="Q1504" s="191"/>
      <c r="R1504" s="191"/>
      <c r="S1504" s="191"/>
      <c r="T1504" s="191"/>
      <c r="U1504" s="191"/>
      <c r="V1504" s="191"/>
      <c r="W1504" s="191"/>
      <c r="X1504" s="191"/>
      <c r="Y1504" s="191"/>
      <c r="Z1504" s="191"/>
      <c r="AA1504" s="191"/>
      <c r="AB1504" s="191"/>
      <c r="AC1504" s="190"/>
      <c r="AD1504" s="190"/>
      <c r="AE1504" s="190"/>
      <c r="AF1504" s="190"/>
      <c r="AG1504" s="190"/>
      <c r="AH1504" s="190"/>
      <c r="AI1504" s="190"/>
      <c r="AJ1504" s="190"/>
      <c r="AK1504" s="190"/>
      <c r="AL1504" s="190"/>
      <c r="AM1504" s="190"/>
    </row>
    <row r="1505" spans="2:39">
      <c r="B1505" s="162"/>
      <c r="C1505" s="162"/>
      <c r="D1505" s="191"/>
      <c r="E1505" s="191"/>
      <c r="F1505" s="191"/>
      <c r="G1505" s="191"/>
      <c r="H1505" s="191"/>
      <c r="I1505" s="191"/>
      <c r="J1505" s="191"/>
      <c r="K1505" s="191"/>
      <c r="L1505" s="191"/>
      <c r="M1505" s="191"/>
      <c r="N1505" s="191"/>
      <c r="O1505" s="191"/>
      <c r="P1505" s="191"/>
      <c r="Q1505" s="191"/>
      <c r="R1505" s="191"/>
      <c r="S1505" s="191"/>
      <c r="T1505" s="191"/>
      <c r="U1505" s="191"/>
      <c r="V1505" s="191"/>
      <c r="W1505" s="191"/>
      <c r="X1505" s="191"/>
      <c r="Y1505" s="191"/>
      <c r="Z1505" s="191"/>
      <c r="AA1505" s="191"/>
      <c r="AB1505" s="191"/>
      <c r="AC1505" s="190"/>
      <c r="AD1505" s="190"/>
      <c r="AE1505" s="190"/>
      <c r="AF1505" s="190"/>
      <c r="AG1505" s="190"/>
      <c r="AH1505" s="190"/>
      <c r="AI1505" s="190"/>
      <c r="AJ1505" s="190"/>
      <c r="AK1505" s="190"/>
      <c r="AL1505" s="190"/>
      <c r="AM1505" s="190"/>
    </row>
    <row r="1506" spans="2:39">
      <c r="B1506" s="162"/>
      <c r="C1506" s="162"/>
      <c r="D1506" s="191"/>
      <c r="E1506" s="191"/>
      <c r="F1506" s="191"/>
      <c r="G1506" s="191"/>
      <c r="H1506" s="191"/>
      <c r="I1506" s="191"/>
      <c r="J1506" s="191"/>
      <c r="K1506" s="191"/>
      <c r="L1506" s="191"/>
      <c r="M1506" s="191"/>
      <c r="N1506" s="191"/>
      <c r="O1506" s="191"/>
      <c r="P1506" s="191"/>
      <c r="Q1506" s="191"/>
      <c r="R1506" s="191"/>
      <c r="S1506" s="191"/>
      <c r="T1506" s="191"/>
      <c r="U1506" s="191"/>
      <c r="V1506" s="191"/>
      <c r="W1506" s="191"/>
      <c r="X1506" s="191"/>
      <c r="Y1506" s="191"/>
      <c r="Z1506" s="191"/>
      <c r="AA1506" s="191"/>
      <c r="AB1506" s="191"/>
      <c r="AC1506" s="190"/>
      <c r="AD1506" s="190"/>
      <c r="AE1506" s="190"/>
      <c r="AF1506" s="190"/>
      <c r="AG1506" s="190"/>
      <c r="AH1506" s="190"/>
      <c r="AI1506" s="190"/>
      <c r="AJ1506" s="190"/>
      <c r="AK1506" s="190"/>
      <c r="AL1506" s="190"/>
      <c r="AM1506" s="190"/>
    </row>
    <row r="1507" spans="2:39">
      <c r="B1507" s="162"/>
      <c r="C1507" s="162"/>
      <c r="D1507" s="191"/>
      <c r="E1507" s="191"/>
      <c r="F1507" s="191"/>
      <c r="G1507" s="191"/>
      <c r="H1507" s="191"/>
      <c r="I1507" s="191"/>
      <c r="J1507" s="191"/>
      <c r="K1507" s="191"/>
      <c r="L1507" s="191"/>
      <c r="M1507" s="191"/>
      <c r="N1507" s="191"/>
      <c r="O1507" s="191"/>
      <c r="P1507" s="191"/>
      <c r="Q1507" s="191"/>
      <c r="R1507" s="191"/>
      <c r="S1507" s="191"/>
      <c r="T1507" s="191"/>
      <c r="U1507" s="191"/>
      <c r="V1507" s="191"/>
      <c r="W1507" s="191"/>
      <c r="X1507" s="191"/>
      <c r="Y1507" s="191"/>
      <c r="Z1507" s="191"/>
      <c r="AA1507" s="191"/>
      <c r="AB1507" s="191"/>
      <c r="AC1507" s="190"/>
      <c r="AD1507" s="190"/>
      <c r="AE1507" s="190"/>
      <c r="AF1507" s="190"/>
      <c r="AG1507" s="190"/>
      <c r="AH1507" s="190"/>
      <c r="AI1507" s="190"/>
      <c r="AJ1507" s="190"/>
      <c r="AK1507" s="190"/>
      <c r="AL1507" s="190"/>
      <c r="AM1507" s="190"/>
    </row>
    <row r="1508" spans="2:39">
      <c r="B1508" s="162"/>
      <c r="C1508" s="162"/>
      <c r="D1508" s="191"/>
      <c r="E1508" s="191"/>
      <c r="F1508" s="191"/>
      <c r="G1508" s="191"/>
      <c r="H1508" s="191"/>
      <c r="I1508" s="191"/>
      <c r="J1508" s="191"/>
      <c r="K1508" s="191"/>
      <c r="L1508" s="191"/>
      <c r="M1508" s="191"/>
      <c r="N1508" s="191"/>
      <c r="O1508" s="191"/>
      <c r="P1508" s="191"/>
      <c r="Q1508" s="191"/>
      <c r="R1508" s="191"/>
      <c r="S1508" s="191"/>
      <c r="T1508" s="191"/>
      <c r="U1508" s="191"/>
      <c r="V1508" s="191"/>
      <c r="W1508" s="191"/>
      <c r="X1508" s="191"/>
      <c r="Y1508" s="191"/>
      <c r="Z1508" s="191"/>
      <c r="AA1508" s="191"/>
      <c r="AB1508" s="191"/>
      <c r="AC1508" s="190"/>
      <c r="AD1508" s="190"/>
      <c r="AE1508" s="190"/>
      <c r="AF1508" s="190"/>
      <c r="AG1508" s="190"/>
      <c r="AH1508" s="190"/>
      <c r="AI1508" s="190"/>
      <c r="AJ1508" s="190"/>
      <c r="AK1508" s="190"/>
      <c r="AL1508" s="190"/>
      <c r="AM1508" s="190"/>
    </row>
    <row r="1509" spans="2:39">
      <c r="B1509" s="162"/>
      <c r="C1509" s="162"/>
      <c r="D1509" s="191"/>
      <c r="E1509" s="191"/>
      <c r="F1509" s="191"/>
      <c r="G1509" s="191"/>
      <c r="H1509" s="191"/>
      <c r="I1509" s="191"/>
      <c r="J1509" s="191"/>
      <c r="K1509" s="191"/>
      <c r="L1509" s="191"/>
      <c r="M1509" s="191"/>
      <c r="N1509" s="191"/>
      <c r="O1509" s="191"/>
      <c r="P1509" s="191"/>
      <c r="Q1509" s="191"/>
      <c r="R1509" s="191"/>
      <c r="S1509" s="191"/>
      <c r="T1509" s="191"/>
      <c r="U1509" s="191"/>
      <c r="V1509" s="191"/>
      <c r="W1509" s="191"/>
      <c r="X1509" s="191"/>
      <c r="Y1509" s="191"/>
      <c r="Z1509" s="191"/>
      <c r="AA1509" s="191"/>
      <c r="AB1509" s="191"/>
      <c r="AC1509" s="190"/>
      <c r="AD1509" s="190"/>
      <c r="AE1509" s="190"/>
      <c r="AF1509" s="190"/>
      <c r="AG1509" s="190"/>
      <c r="AH1509" s="190"/>
      <c r="AI1509" s="190"/>
      <c r="AJ1509" s="190"/>
      <c r="AK1509" s="190"/>
      <c r="AL1509" s="190"/>
      <c r="AM1509" s="190"/>
    </row>
    <row r="1510" spans="2:39">
      <c r="B1510" s="162"/>
      <c r="C1510" s="162"/>
      <c r="D1510" s="191"/>
      <c r="E1510" s="191"/>
      <c r="F1510" s="191"/>
      <c r="G1510" s="191"/>
      <c r="H1510" s="191"/>
      <c r="I1510" s="191"/>
      <c r="J1510" s="191"/>
      <c r="K1510" s="191"/>
      <c r="L1510" s="191"/>
      <c r="M1510" s="191"/>
      <c r="N1510" s="191"/>
      <c r="O1510" s="191"/>
      <c r="P1510" s="191"/>
      <c r="Q1510" s="191"/>
      <c r="R1510" s="191"/>
      <c r="S1510" s="191"/>
      <c r="T1510" s="191"/>
      <c r="U1510" s="191"/>
      <c r="V1510" s="191"/>
      <c r="W1510" s="191"/>
      <c r="X1510" s="191"/>
      <c r="Y1510" s="191"/>
      <c r="Z1510" s="191"/>
      <c r="AA1510" s="191"/>
      <c r="AB1510" s="191"/>
      <c r="AC1510" s="190"/>
      <c r="AD1510" s="190"/>
      <c r="AE1510" s="190"/>
      <c r="AF1510" s="190"/>
      <c r="AG1510" s="190"/>
      <c r="AH1510" s="190"/>
      <c r="AI1510" s="190"/>
      <c r="AJ1510" s="190"/>
      <c r="AK1510" s="190"/>
      <c r="AL1510" s="190"/>
      <c r="AM1510" s="190"/>
    </row>
    <row r="1511" spans="2:39">
      <c r="B1511" s="162"/>
      <c r="C1511" s="162"/>
      <c r="D1511" s="191"/>
      <c r="E1511" s="191"/>
      <c r="F1511" s="191"/>
      <c r="G1511" s="191"/>
      <c r="H1511" s="191"/>
      <c r="I1511" s="191"/>
      <c r="J1511" s="191"/>
      <c r="K1511" s="191"/>
      <c r="L1511" s="191"/>
      <c r="M1511" s="191"/>
      <c r="N1511" s="191"/>
      <c r="O1511" s="191"/>
      <c r="P1511" s="191"/>
      <c r="Q1511" s="191"/>
      <c r="R1511" s="191"/>
      <c r="S1511" s="191"/>
      <c r="T1511" s="191"/>
      <c r="U1511" s="191"/>
      <c r="V1511" s="191"/>
      <c r="W1511" s="191"/>
      <c r="X1511" s="191"/>
      <c r="Y1511" s="191"/>
      <c r="Z1511" s="191"/>
      <c r="AA1511" s="191"/>
      <c r="AB1511" s="191"/>
      <c r="AC1511" s="190"/>
      <c r="AD1511" s="190"/>
      <c r="AE1511" s="190"/>
      <c r="AF1511" s="190"/>
      <c r="AG1511" s="190"/>
      <c r="AH1511" s="190"/>
      <c r="AI1511" s="190"/>
      <c r="AJ1511" s="190"/>
      <c r="AK1511" s="190"/>
      <c r="AL1511" s="190"/>
      <c r="AM1511" s="190"/>
    </row>
    <row r="1512" spans="2:39">
      <c r="B1512" s="162"/>
      <c r="C1512" s="162"/>
      <c r="D1512" s="191"/>
      <c r="E1512" s="191"/>
      <c r="F1512" s="191"/>
      <c r="G1512" s="191"/>
      <c r="H1512" s="191"/>
      <c r="I1512" s="191"/>
      <c r="J1512" s="191"/>
      <c r="K1512" s="191"/>
      <c r="L1512" s="191"/>
      <c r="M1512" s="191"/>
      <c r="N1512" s="191"/>
      <c r="O1512" s="191"/>
      <c r="P1512" s="191"/>
      <c r="Q1512" s="191"/>
      <c r="R1512" s="191"/>
      <c r="S1512" s="191"/>
      <c r="T1512" s="191"/>
      <c r="U1512" s="191"/>
      <c r="V1512" s="191"/>
      <c r="W1512" s="191"/>
      <c r="X1512" s="191"/>
      <c r="Y1512" s="191"/>
      <c r="Z1512" s="191"/>
      <c r="AA1512" s="191"/>
      <c r="AB1512" s="191"/>
      <c r="AC1512" s="190"/>
      <c r="AD1512" s="190"/>
      <c r="AE1512" s="190"/>
      <c r="AF1512" s="190"/>
      <c r="AG1512" s="190"/>
      <c r="AH1512" s="190"/>
      <c r="AI1512" s="190"/>
      <c r="AJ1512" s="190"/>
      <c r="AK1512" s="190"/>
      <c r="AL1512" s="190"/>
      <c r="AM1512" s="190"/>
    </row>
    <row r="1513" spans="2:39">
      <c r="B1513" s="162"/>
      <c r="C1513" s="162"/>
      <c r="D1513" s="191"/>
      <c r="E1513" s="191"/>
      <c r="F1513" s="191"/>
      <c r="G1513" s="191"/>
      <c r="H1513" s="191"/>
      <c r="I1513" s="191"/>
      <c r="J1513" s="191"/>
      <c r="K1513" s="191"/>
      <c r="L1513" s="191"/>
      <c r="M1513" s="191"/>
      <c r="N1513" s="191"/>
      <c r="O1513" s="191"/>
      <c r="P1513" s="191"/>
      <c r="Q1513" s="191"/>
      <c r="R1513" s="191"/>
      <c r="S1513" s="191"/>
      <c r="T1513" s="191"/>
      <c r="U1513" s="191"/>
      <c r="V1513" s="191"/>
      <c r="W1513" s="191"/>
      <c r="X1513" s="191"/>
      <c r="Y1513" s="191"/>
      <c r="Z1513" s="191"/>
      <c r="AA1513" s="191"/>
      <c r="AB1513" s="191"/>
      <c r="AC1513" s="190"/>
      <c r="AD1513" s="190"/>
      <c r="AE1513" s="190"/>
      <c r="AF1513" s="190"/>
      <c r="AG1513" s="190"/>
      <c r="AH1513" s="190"/>
      <c r="AI1513" s="190"/>
      <c r="AJ1513" s="190"/>
      <c r="AK1513" s="190"/>
      <c r="AL1513" s="190"/>
      <c r="AM1513" s="190"/>
    </row>
    <row r="1514" spans="2:39">
      <c r="B1514" s="162"/>
      <c r="C1514" s="162"/>
      <c r="D1514" s="191"/>
      <c r="E1514" s="191"/>
      <c r="F1514" s="191"/>
      <c r="G1514" s="191"/>
      <c r="H1514" s="191"/>
      <c r="I1514" s="191"/>
      <c r="J1514" s="191"/>
      <c r="K1514" s="191"/>
      <c r="L1514" s="191"/>
      <c r="M1514" s="191"/>
      <c r="N1514" s="191"/>
      <c r="O1514" s="191"/>
      <c r="P1514" s="191"/>
      <c r="Q1514" s="191"/>
      <c r="R1514" s="191"/>
      <c r="S1514" s="191"/>
      <c r="T1514" s="191"/>
      <c r="U1514" s="191"/>
      <c r="V1514" s="191"/>
      <c r="W1514" s="191"/>
      <c r="X1514" s="191"/>
      <c r="Y1514" s="191"/>
      <c r="Z1514" s="191"/>
      <c r="AA1514" s="191"/>
      <c r="AB1514" s="191"/>
      <c r="AC1514" s="190"/>
      <c r="AD1514" s="190"/>
      <c r="AE1514" s="190"/>
      <c r="AF1514" s="190"/>
      <c r="AG1514" s="190"/>
      <c r="AH1514" s="190"/>
      <c r="AI1514" s="190"/>
      <c r="AJ1514" s="190"/>
      <c r="AK1514" s="190"/>
      <c r="AL1514" s="190"/>
      <c r="AM1514" s="190"/>
    </row>
    <row r="1515" spans="2:39">
      <c r="B1515" s="162"/>
      <c r="C1515" s="162"/>
      <c r="D1515" s="191"/>
      <c r="E1515" s="191"/>
      <c r="F1515" s="191"/>
      <c r="G1515" s="191"/>
      <c r="H1515" s="191"/>
      <c r="I1515" s="191"/>
      <c r="J1515" s="191"/>
      <c r="K1515" s="191"/>
      <c r="L1515" s="191"/>
      <c r="M1515" s="191"/>
      <c r="N1515" s="191"/>
      <c r="O1515" s="191"/>
      <c r="P1515" s="191"/>
      <c r="Q1515" s="191"/>
      <c r="R1515" s="191"/>
      <c r="S1515" s="191"/>
      <c r="T1515" s="191"/>
      <c r="U1515" s="191"/>
      <c r="V1515" s="191"/>
      <c r="W1515" s="191"/>
      <c r="X1515" s="191"/>
      <c r="Y1515" s="191"/>
      <c r="Z1515" s="191"/>
      <c r="AA1515" s="191"/>
      <c r="AB1515" s="191"/>
      <c r="AC1515" s="190"/>
      <c r="AD1515" s="190"/>
      <c r="AE1515" s="190"/>
      <c r="AF1515" s="190"/>
      <c r="AG1515" s="190"/>
      <c r="AH1515" s="190"/>
      <c r="AI1515" s="190"/>
      <c r="AJ1515" s="190"/>
      <c r="AK1515" s="190"/>
      <c r="AL1515" s="190"/>
      <c r="AM1515" s="190"/>
    </row>
    <row r="1516" spans="2:39">
      <c r="B1516" s="162"/>
      <c r="C1516" s="162"/>
      <c r="D1516" s="191"/>
      <c r="E1516" s="191"/>
      <c r="F1516" s="191"/>
      <c r="G1516" s="191"/>
      <c r="H1516" s="191"/>
      <c r="I1516" s="191"/>
      <c r="J1516" s="191"/>
      <c r="K1516" s="191"/>
      <c r="L1516" s="191"/>
      <c r="M1516" s="191"/>
      <c r="N1516" s="191"/>
      <c r="O1516" s="191"/>
      <c r="P1516" s="191"/>
      <c r="Q1516" s="191"/>
      <c r="R1516" s="191"/>
      <c r="S1516" s="191"/>
      <c r="T1516" s="191"/>
      <c r="U1516" s="191"/>
      <c r="V1516" s="191"/>
      <c r="W1516" s="191"/>
      <c r="X1516" s="191"/>
      <c r="Y1516" s="191"/>
      <c r="Z1516" s="191"/>
      <c r="AA1516" s="191"/>
      <c r="AB1516" s="191"/>
      <c r="AC1516" s="190"/>
      <c r="AD1516" s="190"/>
      <c r="AE1516" s="190"/>
      <c r="AF1516" s="190"/>
      <c r="AG1516" s="190"/>
      <c r="AH1516" s="190"/>
      <c r="AI1516" s="190"/>
      <c r="AJ1516" s="190"/>
      <c r="AK1516" s="190"/>
      <c r="AL1516" s="190"/>
      <c r="AM1516" s="190"/>
    </row>
    <row r="1517" spans="2:39">
      <c r="B1517" s="162"/>
      <c r="C1517" s="162"/>
      <c r="D1517" s="191"/>
      <c r="E1517" s="191"/>
      <c r="F1517" s="191"/>
      <c r="G1517" s="191"/>
      <c r="H1517" s="191"/>
      <c r="I1517" s="191"/>
      <c r="J1517" s="191"/>
      <c r="K1517" s="191"/>
      <c r="L1517" s="191"/>
      <c r="M1517" s="191"/>
      <c r="N1517" s="191"/>
      <c r="O1517" s="191"/>
      <c r="P1517" s="191"/>
      <c r="Q1517" s="191"/>
      <c r="R1517" s="191"/>
      <c r="S1517" s="191"/>
      <c r="T1517" s="191"/>
      <c r="U1517" s="191"/>
      <c r="V1517" s="191"/>
      <c r="W1517" s="191"/>
      <c r="X1517" s="191"/>
      <c r="Y1517" s="191"/>
      <c r="Z1517" s="191"/>
      <c r="AA1517" s="191"/>
      <c r="AB1517" s="191"/>
      <c r="AC1517" s="190"/>
      <c r="AD1517" s="190"/>
      <c r="AE1517" s="190"/>
      <c r="AF1517" s="190"/>
      <c r="AG1517" s="190"/>
      <c r="AH1517" s="190"/>
      <c r="AI1517" s="190"/>
      <c r="AJ1517" s="190"/>
      <c r="AK1517" s="190"/>
      <c r="AL1517" s="190"/>
      <c r="AM1517" s="190"/>
    </row>
    <row r="1518" spans="2:39">
      <c r="B1518" s="162"/>
      <c r="C1518" s="162"/>
      <c r="D1518" s="191"/>
      <c r="E1518" s="191"/>
      <c r="F1518" s="191"/>
      <c r="G1518" s="191"/>
      <c r="H1518" s="191"/>
      <c r="I1518" s="191"/>
      <c r="J1518" s="191"/>
      <c r="K1518" s="191"/>
      <c r="L1518" s="191"/>
      <c r="M1518" s="191"/>
      <c r="N1518" s="191"/>
      <c r="O1518" s="191"/>
      <c r="P1518" s="191"/>
      <c r="Q1518" s="191"/>
      <c r="R1518" s="191"/>
      <c r="S1518" s="191"/>
      <c r="T1518" s="191"/>
      <c r="U1518" s="191"/>
      <c r="V1518" s="191"/>
      <c r="W1518" s="191"/>
      <c r="X1518" s="191"/>
      <c r="Y1518" s="191"/>
      <c r="Z1518" s="191"/>
      <c r="AA1518" s="191"/>
      <c r="AB1518" s="191"/>
      <c r="AC1518" s="190"/>
      <c r="AD1518" s="190"/>
      <c r="AE1518" s="190"/>
      <c r="AF1518" s="190"/>
      <c r="AG1518" s="190"/>
      <c r="AH1518" s="190"/>
      <c r="AI1518" s="190"/>
      <c r="AJ1518" s="190"/>
      <c r="AK1518" s="190"/>
      <c r="AL1518" s="190"/>
      <c r="AM1518" s="190"/>
    </row>
    <row r="1519" spans="2:39">
      <c r="B1519" s="162"/>
      <c r="C1519" s="162"/>
      <c r="D1519" s="191"/>
      <c r="E1519" s="191"/>
      <c r="F1519" s="191"/>
      <c r="G1519" s="191"/>
      <c r="H1519" s="191"/>
      <c r="I1519" s="191"/>
      <c r="J1519" s="191"/>
      <c r="K1519" s="191"/>
      <c r="L1519" s="191"/>
      <c r="M1519" s="191"/>
      <c r="N1519" s="191"/>
      <c r="O1519" s="191"/>
      <c r="P1519" s="191"/>
      <c r="Q1519" s="191"/>
      <c r="R1519" s="191"/>
      <c r="S1519" s="191"/>
      <c r="T1519" s="191"/>
      <c r="U1519" s="191"/>
      <c r="V1519" s="191"/>
      <c r="W1519" s="191"/>
      <c r="X1519" s="191"/>
      <c r="Y1519" s="191"/>
      <c r="Z1519" s="191"/>
      <c r="AA1519" s="191"/>
      <c r="AB1519" s="191"/>
      <c r="AC1519" s="190"/>
      <c r="AD1519" s="190"/>
      <c r="AE1519" s="190"/>
      <c r="AF1519" s="190"/>
      <c r="AG1519" s="190"/>
      <c r="AH1519" s="190"/>
      <c r="AI1519" s="190"/>
      <c r="AJ1519" s="190"/>
      <c r="AK1519" s="190"/>
      <c r="AL1519" s="190"/>
      <c r="AM1519" s="190"/>
    </row>
    <row r="1520" spans="2:39">
      <c r="B1520" s="162"/>
      <c r="C1520" s="162"/>
      <c r="D1520" s="191"/>
      <c r="E1520" s="191"/>
      <c r="F1520" s="191"/>
      <c r="G1520" s="191"/>
      <c r="H1520" s="191"/>
      <c r="I1520" s="191"/>
      <c r="J1520" s="191"/>
      <c r="K1520" s="191"/>
      <c r="L1520" s="191"/>
      <c r="M1520" s="191"/>
      <c r="N1520" s="191"/>
      <c r="O1520" s="191"/>
      <c r="P1520" s="191"/>
      <c r="Q1520" s="191"/>
      <c r="R1520" s="191"/>
      <c r="S1520" s="191"/>
      <c r="T1520" s="191"/>
      <c r="U1520" s="191"/>
      <c r="V1520" s="191"/>
      <c r="W1520" s="191"/>
      <c r="X1520" s="191"/>
      <c r="Y1520" s="191"/>
      <c r="Z1520" s="191"/>
      <c r="AA1520" s="191"/>
      <c r="AB1520" s="191"/>
      <c r="AC1520" s="190"/>
      <c r="AD1520" s="190"/>
      <c r="AE1520" s="190"/>
      <c r="AF1520" s="190"/>
      <c r="AG1520" s="190"/>
      <c r="AH1520" s="190"/>
      <c r="AI1520" s="190"/>
      <c r="AJ1520" s="190"/>
      <c r="AK1520" s="190"/>
      <c r="AL1520" s="190"/>
      <c r="AM1520" s="190"/>
    </row>
    <row r="1521" spans="2:39">
      <c r="B1521" s="162"/>
      <c r="C1521" s="162"/>
      <c r="D1521" s="191"/>
      <c r="E1521" s="191"/>
      <c r="F1521" s="191"/>
      <c r="G1521" s="191"/>
      <c r="H1521" s="191"/>
      <c r="I1521" s="191"/>
      <c r="J1521" s="191"/>
      <c r="K1521" s="191"/>
      <c r="L1521" s="191"/>
      <c r="M1521" s="191"/>
      <c r="N1521" s="191"/>
      <c r="O1521" s="191"/>
      <c r="P1521" s="191"/>
      <c r="Q1521" s="191"/>
      <c r="R1521" s="191"/>
      <c r="S1521" s="191"/>
      <c r="T1521" s="191"/>
      <c r="U1521" s="191"/>
      <c r="V1521" s="191"/>
      <c r="W1521" s="191"/>
      <c r="X1521" s="191"/>
      <c r="Y1521" s="191"/>
      <c r="Z1521" s="191"/>
      <c r="AA1521" s="191"/>
      <c r="AB1521" s="191"/>
      <c r="AC1521" s="190"/>
      <c r="AD1521" s="190"/>
      <c r="AE1521" s="190"/>
      <c r="AF1521" s="190"/>
      <c r="AG1521" s="190"/>
      <c r="AH1521" s="190"/>
      <c r="AI1521" s="190"/>
      <c r="AJ1521" s="190"/>
      <c r="AK1521" s="190"/>
      <c r="AL1521" s="190"/>
      <c r="AM1521" s="190"/>
    </row>
    <row r="1522" spans="2:39">
      <c r="B1522" s="162"/>
      <c r="C1522" s="162"/>
      <c r="D1522" s="191"/>
      <c r="E1522" s="191"/>
      <c r="F1522" s="191"/>
      <c r="G1522" s="191"/>
      <c r="H1522" s="191"/>
      <c r="I1522" s="191"/>
      <c r="J1522" s="191"/>
      <c r="K1522" s="191"/>
      <c r="L1522" s="191"/>
      <c r="M1522" s="191"/>
      <c r="N1522" s="191"/>
      <c r="O1522" s="191"/>
      <c r="P1522" s="191"/>
      <c r="Q1522" s="191"/>
      <c r="R1522" s="191"/>
      <c r="S1522" s="191"/>
      <c r="T1522" s="191"/>
      <c r="U1522" s="191"/>
      <c r="V1522" s="191"/>
      <c r="W1522" s="191"/>
      <c r="X1522" s="191"/>
      <c r="Y1522" s="191"/>
      <c r="Z1522" s="191"/>
      <c r="AA1522" s="191"/>
      <c r="AB1522" s="191"/>
      <c r="AC1522" s="190"/>
      <c r="AD1522" s="190"/>
      <c r="AE1522" s="190"/>
      <c r="AF1522" s="190"/>
      <c r="AG1522" s="190"/>
      <c r="AH1522" s="190"/>
      <c r="AI1522" s="190"/>
      <c r="AJ1522" s="190"/>
      <c r="AK1522" s="190"/>
      <c r="AL1522" s="190"/>
      <c r="AM1522" s="190"/>
    </row>
    <row r="1523" spans="2:39">
      <c r="B1523" s="162"/>
      <c r="C1523" s="162"/>
      <c r="D1523" s="191"/>
      <c r="E1523" s="191"/>
      <c r="F1523" s="191"/>
      <c r="G1523" s="191"/>
      <c r="H1523" s="191"/>
      <c r="I1523" s="191"/>
      <c r="J1523" s="191"/>
      <c r="K1523" s="191"/>
      <c r="L1523" s="191"/>
      <c r="M1523" s="191"/>
      <c r="N1523" s="191"/>
      <c r="O1523" s="191"/>
      <c r="P1523" s="191"/>
      <c r="Q1523" s="191"/>
      <c r="R1523" s="191"/>
      <c r="S1523" s="191"/>
      <c r="T1523" s="191"/>
      <c r="U1523" s="191"/>
      <c r="V1523" s="191"/>
      <c r="W1523" s="191"/>
      <c r="X1523" s="191"/>
      <c r="Y1523" s="191"/>
      <c r="Z1523" s="191"/>
      <c r="AA1523" s="191"/>
      <c r="AB1523" s="191"/>
      <c r="AC1523" s="190"/>
      <c r="AD1523" s="190"/>
      <c r="AE1523" s="190"/>
      <c r="AF1523" s="190"/>
      <c r="AG1523" s="190"/>
      <c r="AH1523" s="190"/>
      <c r="AI1523" s="190"/>
      <c r="AJ1523" s="190"/>
      <c r="AK1523" s="190"/>
      <c r="AL1523" s="190"/>
      <c r="AM1523" s="190"/>
    </row>
    <row r="1524" spans="2:39">
      <c r="B1524" s="162"/>
      <c r="C1524" s="162"/>
      <c r="D1524" s="191"/>
      <c r="E1524" s="191"/>
      <c r="F1524" s="191"/>
      <c r="G1524" s="191"/>
      <c r="H1524" s="191"/>
      <c r="I1524" s="191"/>
      <c r="J1524" s="191"/>
      <c r="K1524" s="191"/>
      <c r="L1524" s="191"/>
      <c r="M1524" s="191"/>
      <c r="N1524" s="191"/>
      <c r="O1524" s="191"/>
      <c r="P1524" s="191"/>
      <c r="Q1524" s="191"/>
      <c r="R1524" s="191"/>
      <c r="S1524" s="191"/>
      <c r="T1524" s="191"/>
      <c r="U1524" s="191"/>
      <c r="V1524" s="191"/>
      <c r="W1524" s="191"/>
      <c r="X1524" s="191"/>
      <c r="Y1524" s="191"/>
      <c r="Z1524" s="191"/>
      <c r="AA1524" s="191"/>
      <c r="AB1524" s="191"/>
      <c r="AC1524" s="190"/>
      <c r="AD1524" s="190"/>
      <c r="AE1524" s="190"/>
      <c r="AF1524" s="190"/>
      <c r="AG1524" s="190"/>
      <c r="AH1524" s="190"/>
      <c r="AI1524" s="190"/>
      <c r="AJ1524" s="190"/>
      <c r="AK1524" s="190"/>
      <c r="AL1524" s="190"/>
      <c r="AM1524" s="190"/>
    </row>
    <row r="1525" spans="2:39">
      <c r="B1525" s="162"/>
      <c r="C1525" s="162"/>
      <c r="D1525" s="191"/>
      <c r="E1525" s="191"/>
      <c r="F1525" s="191"/>
      <c r="G1525" s="191"/>
      <c r="H1525" s="191"/>
      <c r="I1525" s="191"/>
      <c r="J1525" s="191"/>
      <c r="K1525" s="191"/>
      <c r="L1525" s="191"/>
      <c r="M1525" s="191"/>
      <c r="N1525" s="191"/>
      <c r="O1525" s="191"/>
      <c r="P1525" s="191"/>
      <c r="Q1525" s="191"/>
      <c r="R1525" s="191"/>
      <c r="S1525" s="191"/>
      <c r="T1525" s="191"/>
      <c r="U1525" s="191"/>
      <c r="V1525" s="191"/>
      <c r="W1525" s="191"/>
      <c r="X1525" s="191"/>
      <c r="Y1525" s="191"/>
      <c r="Z1525" s="191"/>
      <c r="AA1525" s="191"/>
      <c r="AB1525" s="191"/>
      <c r="AC1525" s="190"/>
      <c r="AD1525" s="190"/>
      <c r="AE1525" s="190"/>
      <c r="AF1525" s="190"/>
      <c r="AG1525" s="190"/>
      <c r="AH1525" s="190"/>
      <c r="AI1525" s="190"/>
      <c r="AJ1525" s="190"/>
      <c r="AK1525" s="190"/>
      <c r="AL1525" s="190"/>
      <c r="AM1525" s="190"/>
    </row>
    <row r="1526" spans="2:39">
      <c r="B1526" s="162"/>
      <c r="C1526" s="162"/>
      <c r="D1526" s="191"/>
      <c r="E1526" s="191"/>
      <c r="F1526" s="191"/>
      <c r="G1526" s="191"/>
      <c r="H1526" s="191"/>
      <c r="I1526" s="191"/>
      <c r="J1526" s="191"/>
      <c r="K1526" s="191"/>
      <c r="L1526" s="191"/>
      <c r="M1526" s="191"/>
      <c r="N1526" s="191"/>
      <c r="O1526" s="191"/>
      <c r="P1526" s="191"/>
      <c r="Q1526" s="191"/>
      <c r="R1526" s="191"/>
      <c r="S1526" s="191"/>
      <c r="T1526" s="191"/>
      <c r="U1526" s="191"/>
      <c r="V1526" s="191"/>
      <c r="W1526" s="191"/>
      <c r="X1526" s="191"/>
      <c r="Y1526" s="191"/>
      <c r="Z1526" s="191"/>
      <c r="AA1526" s="191"/>
      <c r="AB1526" s="191"/>
      <c r="AC1526" s="190"/>
      <c r="AD1526" s="190"/>
      <c r="AE1526" s="190"/>
      <c r="AF1526" s="190"/>
      <c r="AG1526" s="190"/>
      <c r="AH1526" s="190"/>
      <c r="AI1526" s="190"/>
      <c r="AJ1526" s="190"/>
      <c r="AK1526" s="190"/>
      <c r="AL1526" s="190"/>
      <c r="AM1526" s="190"/>
    </row>
    <row r="1527" spans="2:39">
      <c r="B1527" s="162"/>
      <c r="C1527" s="162"/>
      <c r="D1527" s="191"/>
      <c r="E1527" s="191"/>
      <c r="F1527" s="191"/>
      <c r="G1527" s="191"/>
      <c r="H1527" s="191"/>
      <c r="I1527" s="191"/>
      <c r="J1527" s="191"/>
      <c r="K1527" s="191"/>
      <c r="L1527" s="191"/>
      <c r="M1527" s="191"/>
      <c r="N1527" s="191"/>
      <c r="O1527" s="191"/>
      <c r="P1527" s="191"/>
      <c r="Q1527" s="191"/>
      <c r="R1527" s="191"/>
      <c r="S1527" s="191"/>
      <c r="T1527" s="191"/>
      <c r="U1527" s="191"/>
      <c r="V1527" s="191"/>
      <c r="W1527" s="191"/>
      <c r="X1527" s="191"/>
      <c r="Y1527" s="191"/>
      <c r="Z1527" s="191"/>
      <c r="AA1527" s="191"/>
      <c r="AB1527" s="191"/>
      <c r="AC1527" s="190"/>
      <c r="AD1527" s="190"/>
      <c r="AE1527" s="190"/>
      <c r="AF1527" s="190"/>
      <c r="AG1527" s="190"/>
      <c r="AH1527" s="190"/>
      <c r="AI1527" s="190"/>
      <c r="AJ1527" s="190"/>
      <c r="AK1527" s="190"/>
      <c r="AL1527" s="190"/>
      <c r="AM1527" s="190"/>
    </row>
    <row r="1528" spans="2:39">
      <c r="B1528" s="162"/>
      <c r="C1528" s="162"/>
      <c r="D1528" s="191"/>
      <c r="E1528" s="191"/>
      <c r="F1528" s="191"/>
      <c r="G1528" s="191"/>
      <c r="H1528" s="191"/>
      <c r="I1528" s="191"/>
      <c r="J1528" s="191"/>
      <c r="K1528" s="191"/>
      <c r="L1528" s="191"/>
      <c r="M1528" s="191"/>
      <c r="N1528" s="191"/>
      <c r="O1528" s="191"/>
      <c r="P1528" s="191"/>
      <c r="Q1528" s="191"/>
      <c r="R1528" s="191"/>
      <c r="S1528" s="191"/>
      <c r="T1528" s="191"/>
      <c r="U1528" s="191"/>
      <c r="V1528" s="191"/>
      <c r="W1528" s="191"/>
      <c r="X1528" s="191"/>
      <c r="Y1528" s="191"/>
      <c r="Z1528" s="191"/>
      <c r="AA1528" s="191"/>
      <c r="AB1528" s="191"/>
      <c r="AC1528" s="190"/>
      <c r="AD1528" s="190"/>
      <c r="AE1528" s="190"/>
      <c r="AF1528" s="190"/>
      <c r="AG1528" s="190"/>
      <c r="AH1528" s="190"/>
      <c r="AI1528" s="190"/>
      <c r="AJ1528" s="190"/>
      <c r="AK1528" s="190"/>
      <c r="AL1528" s="190"/>
      <c r="AM1528" s="190"/>
    </row>
    <row r="1529" spans="2:39">
      <c r="B1529" s="162"/>
      <c r="C1529" s="162"/>
      <c r="D1529" s="191"/>
      <c r="E1529" s="191"/>
      <c r="F1529" s="191"/>
      <c r="G1529" s="191"/>
      <c r="H1529" s="191"/>
      <c r="I1529" s="191"/>
      <c r="J1529" s="191"/>
      <c r="K1529" s="191"/>
      <c r="L1529" s="191"/>
      <c r="M1529" s="191"/>
      <c r="N1529" s="191"/>
      <c r="O1529" s="191"/>
      <c r="P1529" s="191"/>
      <c r="Q1529" s="191"/>
      <c r="R1529" s="191"/>
      <c r="S1529" s="191"/>
      <c r="T1529" s="191"/>
      <c r="U1529" s="191"/>
      <c r="V1529" s="191"/>
      <c r="W1529" s="191"/>
      <c r="X1529" s="191"/>
      <c r="Y1529" s="191"/>
      <c r="Z1529" s="191"/>
      <c r="AA1529" s="191"/>
      <c r="AB1529" s="191"/>
      <c r="AC1529" s="190"/>
      <c r="AD1529" s="190"/>
      <c r="AE1529" s="190"/>
      <c r="AF1529" s="190"/>
      <c r="AG1529" s="190"/>
      <c r="AH1529" s="190"/>
      <c r="AI1529" s="190"/>
      <c r="AJ1529" s="190"/>
      <c r="AK1529" s="190"/>
      <c r="AL1529" s="190"/>
      <c r="AM1529" s="190"/>
    </row>
    <row r="1530" spans="2:39">
      <c r="B1530" s="162"/>
      <c r="C1530" s="162"/>
      <c r="D1530" s="191"/>
      <c r="E1530" s="191"/>
      <c r="F1530" s="191"/>
      <c r="G1530" s="191"/>
      <c r="H1530" s="191"/>
      <c r="I1530" s="191"/>
      <c r="J1530" s="191"/>
      <c r="K1530" s="191"/>
      <c r="L1530" s="191"/>
      <c r="M1530" s="191"/>
      <c r="N1530" s="191"/>
      <c r="O1530" s="191"/>
      <c r="P1530" s="191"/>
      <c r="Q1530" s="191"/>
      <c r="R1530" s="191"/>
      <c r="S1530" s="191"/>
      <c r="T1530" s="191"/>
      <c r="U1530" s="191"/>
      <c r="V1530" s="191"/>
      <c r="W1530" s="191"/>
      <c r="X1530" s="191"/>
      <c r="Y1530" s="191"/>
      <c r="Z1530" s="191"/>
      <c r="AA1530" s="191"/>
      <c r="AB1530" s="191"/>
      <c r="AC1530" s="190"/>
      <c r="AD1530" s="190"/>
      <c r="AE1530" s="190"/>
      <c r="AF1530" s="190"/>
      <c r="AG1530" s="190"/>
      <c r="AH1530" s="190"/>
      <c r="AI1530" s="190"/>
      <c r="AJ1530" s="190"/>
      <c r="AK1530" s="190"/>
      <c r="AL1530" s="190"/>
      <c r="AM1530" s="190"/>
    </row>
    <row r="1531" spans="2:39">
      <c r="B1531" s="162"/>
      <c r="C1531" s="162"/>
      <c r="D1531" s="191"/>
      <c r="E1531" s="191"/>
      <c r="F1531" s="191"/>
      <c r="G1531" s="191"/>
      <c r="H1531" s="191"/>
      <c r="I1531" s="191"/>
      <c r="J1531" s="191"/>
      <c r="K1531" s="191"/>
      <c r="L1531" s="191"/>
      <c r="M1531" s="191"/>
      <c r="N1531" s="191"/>
      <c r="O1531" s="191"/>
      <c r="P1531" s="191"/>
      <c r="Q1531" s="191"/>
      <c r="R1531" s="191"/>
      <c r="S1531" s="191"/>
      <c r="T1531" s="191"/>
      <c r="U1531" s="191"/>
      <c r="V1531" s="191"/>
      <c r="W1531" s="191"/>
      <c r="X1531" s="191"/>
      <c r="Y1531" s="191"/>
      <c r="Z1531" s="191"/>
      <c r="AA1531" s="191"/>
      <c r="AB1531" s="191"/>
      <c r="AC1531" s="190"/>
      <c r="AD1531" s="190"/>
      <c r="AE1531" s="190"/>
      <c r="AF1531" s="190"/>
      <c r="AG1531" s="190"/>
      <c r="AH1531" s="190"/>
      <c r="AI1531" s="190"/>
      <c r="AJ1531" s="190"/>
      <c r="AK1531" s="190"/>
      <c r="AL1531" s="190"/>
      <c r="AM1531" s="190"/>
    </row>
    <row r="1532" spans="2:39">
      <c r="B1532" s="162"/>
      <c r="C1532" s="162"/>
      <c r="D1532" s="191"/>
      <c r="E1532" s="191"/>
      <c r="F1532" s="191"/>
      <c r="G1532" s="191"/>
      <c r="H1532" s="191"/>
      <c r="I1532" s="191"/>
      <c r="J1532" s="191"/>
      <c r="K1532" s="191"/>
      <c r="L1532" s="191"/>
      <c r="M1532" s="191"/>
      <c r="N1532" s="191"/>
      <c r="O1532" s="191"/>
      <c r="P1532" s="191"/>
      <c r="Q1532" s="191"/>
      <c r="R1532" s="191"/>
      <c r="S1532" s="191"/>
      <c r="T1532" s="191"/>
      <c r="U1532" s="191"/>
      <c r="V1532" s="191"/>
      <c r="W1532" s="191"/>
      <c r="X1532" s="191"/>
      <c r="Y1532" s="191"/>
      <c r="Z1532" s="191"/>
      <c r="AA1532" s="191"/>
      <c r="AB1532" s="191"/>
      <c r="AC1532" s="190"/>
      <c r="AD1532" s="190"/>
      <c r="AE1532" s="190"/>
      <c r="AF1532" s="190"/>
      <c r="AG1532" s="190"/>
      <c r="AH1532" s="190"/>
      <c r="AI1532" s="190"/>
      <c r="AJ1532" s="190"/>
      <c r="AK1532" s="190"/>
      <c r="AL1532" s="190"/>
      <c r="AM1532" s="190"/>
    </row>
    <row r="1533" spans="2:39">
      <c r="B1533" s="162"/>
      <c r="C1533" s="162"/>
      <c r="D1533" s="191"/>
      <c r="E1533" s="191"/>
      <c r="F1533" s="191"/>
      <c r="G1533" s="191"/>
      <c r="H1533" s="191"/>
      <c r="I1533" s="191"/>
      <c r="J1533" s="191"/>
      <c r="K1533" s="191"/>
      <c r="L1533" s="191"/>
      <c r="M1533" s="191"/>
      <c r="N1533" s="191"/>
      <c r="O1533" s="191"/>
      <c r="P1533" s="191"/>
      <c r="Q1533" s="191"/>
      <c r="R1533" s="191"/>
      <c r="S1533" s="191"/>
      <c r="T1533" s="191"/>
      <c r="U1533" s="191"/>
      <c r="V1533" s="191"/>
      <c r="W1533" s="191"/>
      <c r="X1533" s="191"/>
      <c r="Y1533" s="191"/>
      <c r="Z1533" s="191"/>
      <c r="AA1533" s="191"/>
      <c r="AB1533" s="191"/>
      <c r="AC1533" s="190"/>
      <c r="AD1533" s="190"/>
      <c r="AE1533" s="190"/>
      <c r="AF1533" s="190"/>
      <c r="AG1533" s="190"/>
      <c r="AH1533" s="190"/>
      <c r="AI1533" s="190"/>
      <c r="AJ1533" s="190"/>
      <c r="AK1533" s="190"/>
      <c r="AL1533" s="190"/>
      <c r="AM1533" s="190"/>
    </row>
    <row r="1534" spans="2:39">
      <c r="B1534" s="162"/>
      <c r="C1534" s="162"/>
      <c r="D1534" s="191"/>
      <c r="E1534" s="191"/>
      <c r="F1534" s="191"/>
      <c r="G1534" s="191"/>
      <c r="H1534" s="191"/>
      <c r="I1534" s="191"/>
      <c r="J1534" s="191"/>
      <c r="K1534" s="191"/>
      <c r="L1534" s="191"/>
      <c r="M1534" s="191"/>
      <c r="N1534" s="191"/>
      <c r="O1534" s="191"/>
      <c r="P1534" s="191"/>
      <c r="Q1534" s="191"/>
      <c r="R1534" s="191"/>
      <c r="S1534" s="191"/>
      <c r="T1534" s="191"/>
      <c r="U1534" s="191"/>
      <c r="V1534" s="191"/>
      <c r="W1534" s="191"/>
      <c r="X1534" s="191"/>
      <c r="Y1534" s="191"/>
      <c r="Z1534" s="191"/>
      <c r="AA1534" s="191"/>
      <c r="AB1534" s="191"/>
      <c r="AC1534" s="190"/>
      <c r="AD1534" s="190"/>
      <c r="AE1534" s="190"/>
      <c r="AF1534" s="190"/>
      <c r="AG1534" s="190"/>
      <c r="AH1534" s="190"/>
      <c r="AI1534" s="190"/>
      <c r="AJ1534" s="190"/>
      <c r="AK1534" s="190"/>
      <c r="AL1534" s="190"/>
      <c r="AM1534" s="190"/>
    </row>
    <row r="1535" spans="2:39">
      <c r="B1535" s="162"/>
      <c r="C1535" s="162"/>
      <c r="D1535" s="191"/>
      <c r="E1535" s="191"/>
      <c r="F1535" s="191"/>
      <c r="G1535" s="191"/>
      <c r="H1535" s="191"/>
      <c r="I1535" s="191"/>
      <c r="J1535" s="191"/>
      <c r="K1535" s="191"/>
      <c r="L1535" s="191"/>
      <c r="M1535" s="191"/>
      <c r="N1535" s="191"/>
      <c r="O1535" s="191"/>
      <c r="P1535" s="191"/>
      <c r="Q1535" s="191"/>
      <c r="R1535" s="191"/>
      <c r="S1535" s="191"/>
      <c r="T1535" s="191"/>
      <c r="U1535" s="191"/>
      <c r="V1535" s="191"/>
      <c r="W1535" s="191"/>
      <c r="X1535" s="191"/>
      <c r="Y1535" s="191"/>
      <c r="Z1535" s="191"/>
      <c r="AA1535" s="191"/>
      <c r="AB1535" s="191"/>
      <c r="AC1535" s="190"/>
      <c r="AD1535" s="190"/>
      <c r="AE1535" s="190"/>
      <c r="AF1535" s="190"/>
      <c r="AG1535" s="190"/>
      <c r="AH1535" s="190"/>
      <c r="AI1535" s="190"/>
      <c r="AJ1535" s="190"/>
      <c r="AK1535" s="190"/>
      <c r="AL1535" s="190"/>
      <c r="AM1535" s="190"/>
    </row>
    <row r="1536" spans="2:39">
      <c r="B1536" s="162"/>
      <c r="C1536" s="162"/>
      <c r="D1536" s="191"/>
      <c r="E1536" s="191"/>
      <c r="F1536" s="191"/>
      <c r="G1536" s="191"/>
      <c r="H1536" s="191"/>
      <c r="I1536" s="191"/>
      <c r="J1536" s="191"/>
      <c r="K1536" s="191"/>
      <c r="L1536" s="191"/>
      <c r="M1536" s="191"/>
      <c r="N1536" s="191"/>
      <c r="O1536" s="191"/>
      <c r="P1536" s="191"/>
      <c r="Q1536" s="191"/>
      <c r="R1536" s="191"/>
      <c r="S1536" s="191"/>
      <c r="T1536" s="191"/>
      <c r="U1536" s="191"/>
      <c r="V1536" s="191"/>
      <c r="W1536" s="191"/>
      <c r="X1536" s="191"/>
      <c r="Y1536" s="191"/>
      <c r="Z1536" s="191"/>
      <c r="AA1536" s="191"/>
      <c r="AB1536" s="191"/>
      <c r="AC1536" s="190"/>
      <c r="AD1536" s="190"/>
      <c r="AE1536" s="190"/>
      <c r="AF1536" s="190"/>
      <c r="AG1536" s="190"/>
      <c r="AH1536" s="190"/>
      <c r="AI1536" s="190"/>
      <c r="AJ1536" s="190"/>
      <c r="AK1536" s="190"/>
      <c r="AL1536" s="190"/>
      <c r="AM1536" s="190"/>
    </row>
    <row r="1537" spans="2:39">
      <c r="B1537" s="162"/>
      <c r="C1537" s="162"/>
      <c r="D1537" s="191"/>
      <c r="E1537" s="191"/>
      <c r="F1537" s="191"/>
      <c r="G1537" s="191"/>
      <c r="H1537" s="191"/>
      <c r="I1537" s="191"/>
      <c r="J1537" s="191"/>
      <c r="K1537" s="191"/>
      <c r="L1537" s="191"/>
      <c r="M1537" s="191"/>
      <c r="N1537" s="191"/>
      <c r="O1537" s="191"/>
      <c r="P1537" s="191"/>
      <c r="Q1537" s="191"/>
      <c r="R1537" s="191"/>
      <c r="S1537" s="191"/>
      <c r="T1537" s="191"/>
      <c r="U1537" s="191"/>
      <c r="V1537" s="191"/>
      <c r="W1537" s="191"/>
      <c r="X1537" s="191"/>
      <c r="Y1537" s="191"/>
      <c r="Z1537" s="191"/>
      <c r="AA1537" s="191"/>
      <c r="AB1537" s="191"/>
      <c r="AC1537" s="190"/>
      <c r="AD1537" s="190"/>
      <c r="AE1537" s="190"/>
      <c r="AF1537" s="190"/>
      <c r="AG1537" s="190"/>
      <c r="AH1537" s="190"/>
      <c r="AI1537" s="190"/>
      <c r="AJ1537" s="190"/>
      <c r="AK1537" s="190"/>
      <c r="AL1537" s="190"/>
      <c r="AM1537" s="190"/>
    </row>
    <row r="1538" spans="2:39">
      <c r="B1538" s="162"/>
      <c r="C1538" s="162"/>
      <c r="D1538" s="191"/>
      <c r="E1538" s="191"/>
      <c r="F1538" s="191"/>
      <c r="G1538" s="191"/>
      <c r="H1538" s="191"/>
      <c r="I1538" s="191"/>
      <c r="J1538" s="191"/>
      <c r="K1538" s="191"/>
      <c r="L1538" s="191"/>
      <c r="M1538" s="191"/>
      <c r="N1538" s="191"/>
      <c r="O1538" s="191"/>
      <c r="P1538" s="191"/>
      <c r="Q1538" s="191"/>
      <c r="R1538" s="191"/>
      <c r="S1538" s="191"/>
      <c r="T1538" s="191"/>
      <c r="U1538" s="191"/>
      <c r="V1538" s="191"/>
      <c r="W1538" s="191"/>
      <c r="X1538" s="191"/>
      <c r="Y1538" s="191"/>
      <c r="Z1538" s="191"/>
      <c r="AA1538" s="191"/>
      <c r="AB1538" s="191"/>
      <c r="AC1538" s="190"/>
      <c r="AD1538" s="190"/>
      <c r="AE1538" s="190"/>
      <c r="AF1538" s="190"/>
      <c r="AG1538" s="190"/>
      <c r="AH1538" s="190"/>
      <c r="AI1538" s="190"/>
      <c r="AJ1538" s="190"/>
      <c r="AK1538" s="190"/>
      <c r="AL1538" s="190"/>
      <c r="AM1538" s="190"/>
    </row>
    <row r="1539" spans="2:39">
      <c r="B1539" s="162"/>
      <c r="C1539" s="162"/>
      <c r="D1539" s="191"/>
      <c r="E1539" s="191"/>
      <c r="F1539" s="191"/>
      <c r="G1539" s="191"/>
      <c r="H1539" s="191"/>
      <c r="I1539" s="191"/>
      <c r="J1539" s="191"/>
      <c r="K1539" s="191"/>
      <c r="L1539" s="191"/>
      <c r="M1539" s="191"/>
      <c r="N1539" s="191"/>
      <c r="O1539" s="191"/>
      <c r="P1539" s="191"/>
      <c r="Q1539" s="191"/>
      <c r="R1539" s="191"/>
      <c r="S1539" s="191"/>
      <c r="T1539" s="191"/>
      <c r="U1539" s="191"/>
      <c r="V1539" s="191"/>
      <c r="W1539" s="191"/>
      <c r="X1539" s="191"/>
      <c r="Y1539" s="191"/>
      <c r="Z1539" s="191"/>
      <c r="AA1539" s="191"/>
      <c r="AB1539" s="191"/>
      <c r="AC1539" s="190"/>
      <c r="AD1539" s="190"/>
      <c r="AE1539" s="190"/>
      <c r="AF1539" s="190"/>
      <c r="AG1539" s="190"/>
      <c r="AH1539" s="190"/>
      <c r="AI1539" s="190"/>
      <c r="AJ1539" s="190"/>
      <c r="AK1539" s="190"/>
      <c r="AL1539" s="190"/>
      <c r="AM1539" s="190"/>
    </row>
    <row r="1540" spans="2:39">
      <c r="B1540" s="162"/>
      <c r="C1540" s="162"/>
      <c r="D1540" s="191"/>
      <c r="E1540" s="191"/>
      <c r="F1540" s="191"/>
      <c r="G1540" s="191"/>
      <c r="H1540" s="191"/>
      <c r="I1540" s="191"/>
      <c r="J1540" s="191"/>
      <c r="K1540" s="191"/>
      <c r="L1540" s="191"/>
      <c r="M1540" s="191"/>
      <c r="N1540" s="191"/>
      <c r="O1540" s="191"/>
      <c r="P1540" s="191"/>
      <c r="Q1540" s="191"/>
      <c r="R1540" s="191"/>
      <c r="S1540" s="191"/>
      <c r="T1540" s="191"/>
      <c r="U1540" s="191"/>
      <c r="V1540" s="191"/>
      <c r="W1540" s="191"/>
      <c r="X1540" s="191"/>
      <c r="Y1540" s="191"/>
      <c r="Z1540" s="191"/>
      <c r="AA1540" s="191"/>
      <c r="AB1540" s="191"/>
      <c r="AC1540" s="190"/>
      <c r="AD1540" s="190"/>
      <c r="AE1540" s="190"/>
      <c r="AF1540" s="190"/>
      <c r="AG1540" s="190"/>
      <c r="AH1540" s="190"/>
      <c r="AI1540" s="190"/>
      <c r="AJ1540" s="190"/>
      <c r="AK1540" s="190"/>
      <c r="AL1540" s="190"/>
      <c r="AM1540" s="190"/>
    </row>
    <row r="1541" spans="2:39">
      <c r="B1541" s="162"/>
      <c r="C1541" s="162"/>
      <c r="D1541" s="191"/>
      <c r="E1541" s="191"/>
      <c r="F1541" s="191"/>
      <c r="G1541" s="191"/>
      <c r="H1541" s="191"/>
      <c r="I1541" s="191"/>
      <c r="J1541" s="191"/>
      <c r="K1541" s="191"/>
      <c r="L1541" s="191"/>
      <c r="M1541" s="191"/>
      <c r="N1541" s="191"/>
      <c r="O1541" s="191"/>
      <c r="P1541" s="191"/>
      <c r="Q1541" s="191"/>
      <c r="R1541" s="191"/>
      <c r="S1541" s="191"/>
      <c r="T1541" s="191"/>
      <c r="U1541" s="191"/>
      <c r="V1541" s="191"/>
      <c r="W1541" s="191"/>
      <c r="X1541" s="191"/>
      <c r="Y1541" s="191"/>
      <c r="Z1541" s="191"/>
      <c r="AA1541" s="191"/>
      <c r="AB1541" s="191"/>
      <c r="AC1541" s="190"/>
      <c r="AD1541" s="190"/>
      <c r="AE1541" s="190"/>
      <c r="AF1541" s="190"/>
      <c r="AG1541" s="190"/>
      <c r="AH1541" s="190"/>
      <c r="AI1541" s="190"/>
      <c r="AJ1541" s="190"/>
      <c r="AK1541" s="190"/>
      <c r="AL1541" s="190"/>
      <c r="AM1541" s="190"/>
    </row>
    <row r="1542" spans="2:39">
      <c r="B1542" s="162"/>
      <c r="C1542" s="162"/>
      <c r="D1542" s="191"/>
      <c r="E1542" s="191"/>
      <c r="F1542" s="191"/>
      <c r="G1542" s="191"/>
      <c r="H1542" s="191"/>
      <c r="I1542" s="191"/>
      <c r="J1542" s="191"/>
      <c r="K1542" s="191"/>
      <c r="L1542" s="191"/>
      <c r="M1542" s="191"/>
      <c r="N1542" s="191"/>
      <c r="O1542" s="191"/>
      <c r="P1542" s="191"/>
      <c r="Q1542" s="191"/>
      <c r="R1542" s="191"/>
      <c r="S1542" s="191"/>
      <c r="T1542" s="191"/>
      <c r="U1542" s="191"/>
      <c r="V1542" s="191"/>
      <c r="W1542" s="191"/>
      <c r="X1542" s="191"/>
      <c r="Y1542" s="191"/>
      <c r="Z1542" s="191"/>
      <c r="AA1542" s="191"/>
      <c r="AB1542" s="191"/>
      <c r="AC1542" s="190"/>
      <c r="AD1542" s="190"/>
      <c r="AE1542" s="190"/>
      <c r="AF1542" s="190"/>
      <c r="AG1542" s="190"/>
      <c r="AH1542" s="190"/>
      <c r="AI1542" s="190"/>
      <c r="AJ1542" s="190"/>
      <c r="AK1542" s="190"/>
      <c r="AL1542" s="190"/>
      <c r="AM1542" s="190"/>
    </row>
    <row r="1543" spans="2:39">
      <c r="B1543" s="162"/>
      <c r="C1543" s="162"/>
      <c r="D1543" s="191"/>
      <c r="E1543" s="191"/>
      <c r="F1543" s="191"/>
      <c r="G1543" s="191"/>
      <c r="H1543" s="191"/>
      <c r="I1543" s="191"/>
      <c r="J1543" s="191"/>
      <c r="K1543" s="191"/>
      <c r="L1543" s="191"/>
      <c r="M1543" s="191"/>
      <c r="N1543" s="191"/>
      <c r="O1543" s="191"/>
      <c r="P1543" s="191"/>
      <c r="Q1543" s="191"/>
      <c r="R1543" s="191"/>
      <c r="S1543" s="191"/>
      <c r="T1543" s="191"/>
      <c r="U1543" s="191"/>
      <c r="V1543" s="191"/>
      <c r="W1543" s="191"/>
      <c r="X1543" s="191"/>
      <c r="Y1543" s="191"/>
      <c r="Z1543" s="191"/>
      <c r="AA1543" s="191"/>
      <c r="AB1543" s="191"/>
      <c r="AC1543" s="190"/>
      <c r="AD1543" s="190"/>
      <c r="AE1543" s="190"/>
      <c r="AF1543" s="190"/>
      <c r="AG1543" s="190"/>
      <c r="AH1543" s="190"/>
      <c r="AI1543" s="190"/>
      <c r="AJ1543" s="190"/>
      <c r="AK1543" s="190"/>
      <c r="AL1543" s="190"/>
      <c r="AM1543" s="190"/>
    </row>
    <row r="1544" spans="2:39">
      <c r="B1544" s="162"/>
      <c r="C1544" s="162"/>
      <c r="D1544" s="191"/>
      <c r="E1544" s="191"/>
      <c r="F1544" s="191"/>
      <c r="G1544" s="191"/>
      <c r="H1544" s="191"/>
      <c r="I1544" s="191"/>
      <c r="J1544" s="191"/>
      <c r="K1544" s="191"/>
      <c r="L1544" s="191"/>
      <c r="M1544" s="191"/>
      <c r="N1544" s="191"/>
      <c r="O1544" s="191"/>
      <c r="P1544" s="191"/>
      <c r="Q1544" s="191"/>
      <c r="R1544" s="191"/>
      <c r="S1544" s="191"/>
      <c r="T1544" s="191"/>
      <c r="U1544" s="191"/>
      <c r="V1544" s="191"/>
      <c r="W1544" s="191"/>
      <c r="X1544" s="191"/>
      <c r="Y1544" s="191"/>
      <c r="Z1544" s="191"/>
      <c r="AA1544" s="191"/>
      <c r="AB1544" s="191"/>
      <c r="AC1544" s="190"/>
      <c r="AD1544" s="190"/>
      <c r="AE1544" s="190"/>
      <c r="AF1544" s="190"/>
      <c r="AG1544" s="190"/>
      <c r="AH1544" s="190"/>
      <c r="AI1544" s="190"/>
      <c r="AJ1544" s="190"/>
      <c r="AK1544" s="190"/>
      <c r="AL1544" s="190"/>
      <c r="AM1544" s="190"/>
    </row>
    <row r="1545" spans="2:39">
      <c r="B1545" s="162"/>
      <c r="C1545" s="162"/>
      <c r="D1545" s="191"/>
      <c r="E1545" s="191"/>
      <c r="F1545" s="191"/>
      <c r="G1545" s="191"/>
      <c r="H1545" s="191"/>
      <c r="I1545" s="191"/>
      <c r="J1545" s="191"/>
      <c r="K1545" s="191"/>
      <c r="L1545" s="191"/>
      <c r="M1545" s="191"/>
      <c r="N1545" s="191"/>
      <c r="O1545" s="191"/>
      <c r="P1545" s="191"/>
      <c r="Q1545" s="191"/>
      <c r="R1545" s="191"/>
      <c r="S1545" s="191"/>
      <c r="T1545" s="191"/>
      <c r="U1545" s="191"/>
      <c r="V1545" s="191"/>
      <c r="W1545" s="191"/>
      <c r="X1545" s="191"/>
      <c r="Y1545" s="191"/>
      <c r="Z1545" s="191"/>
      <c r="AA1545" s="191"/>
      <c r="AB1545" s="191"/>
      <c r="AC1545" s="190"/>
      <c r="AD1545" s="190"/>
      <c r="AE1545" s="190"/>
      <c r="AF1545" s="190"/>
      <c r="AG1545" s="190"/>
      <c r="AH1545" s="190"/>
      <c r="AI1545" s="190"/>
      <c r="AJ1545" s="190"/>
      <c r="AK1545" s="190"/>
      <c r="AL1545" s="190"/>
      <c r="AM1545" s="190"/>
    </row>
    <row r="1546" spans="2:39">
      <c r="B1546" s="162"/>
      <c r="C1546" s="162"/>
      <c r="D1546" s="191"/>
      <c r="E1546" s="191"/>
      <c r="F1546" s="191"/>
      <c r="G1546" s="191"/>
      <c r="H1546" s="191"/>
      <c r="I1546" s="191"/>
      <c r="J1546" s="191"/>
      <c r="K1546" s="191"/>
      <c r="L1546" s="191"/>
      <c r="M1546" s="191"/>
      <c r="N1546" s="191"/>
      <c r="O1546" s="191"/>
      <c r="P1546" s="191"/>
      <c r="Q1546" s="191"/>
      <c r="R1546" s="191"/>
      <c r="S1546" s="191"/>
      <c r="T1546" s="191"/>
      <c r="U1546" s="191"/>
      <c r="V1546" s="191"/>
      <c r="W1546" s="191"/>
      <c r="X1546" s="191"/>
      <c r="Y1546" s="191"/>
      <c r="Z1546" s="191"/>
      <c r="AA1546" s="191"/>
      <c r="AB1546" s="191"/>
      <c r="AC1546" s="190"/>
      <c r="AD1546" s="190"/>
      <c r="AE1546" s="190"/>
      <c r="AF1546" s="190"/>
      <c r="AG1546" s="190"/>
      <c r="AH1546" s="190"/>
      <c r="AI1546" s="190"/>
      <c r="AJ1546" s="190"/>
      <c r="AK1546" s="190"/>
      <c r="AL1546" s="190"/>
      <c r="AM1546" s="190"/>
    </row>
    <row r="1547" spans="2:39">
      <c r="B1547" s="162"/>
      <c r="C1547" s="162"/>
      <c r="D1547" s="191"/>
      <c r="E1547" s="191"/>
      <c r="F1547" s="191"/>
      <c r="G1547" s="191"/>
      <c r="H1547" s="191"/>
      <c r="I1547" s="191"/>
      <c r="J1547" s="191"/>
      <c r="K1547" s="191"/>
      <c r="L1547" s="191"/>
      <c r="M1547" s="191"/>
      <c r="N1547" s="191"/>
      <c r="O1547" s="191"/>
      <c r="P1547" s="191"/>
      <c r="Q1547" s="191"/>
      <c r="R1547" s="191"/>
      <c r="S1547" s="191"/>
      <c r="T1547" s="191"/>
      <c r="U1547" s="191"/>
      <c r="V1547" s="191"/>
      <c r="W1547" s="191"/>
      <c r="X1547" s="191"/>
      <c r="Y1547" s="191"/>
      <c r="Z1547" s="191"/>
      <c r="AA1547" s="191"/>
      <c r="AB1547" s="191"/>
      <c r="AC1547" s="190"/>
      <c r="AD1547" s="190"/>
      <c r="AE1547" s="190"/>
      <c r="AF1547" s="190"/>
      <c r="AG1547" s="190"/>
      <c r="AH1547" s="190"/>
      <c r="AI1547" s="190"/>
      <c r="AJ1547" s="190"/>
      <c r="AK1547" s="190"/>
      <c r="AL1547" s="190"/>
      <c r="AM1547" s="190"/>
    </row>
    <row r="1548" spans="2:39">
      <c r="B1548" s="162"/>
      <c r="C1548" s="162"/>
      <c r="D1548" s="191"/>
      <c r="E1548" s="191"/>
      <c r="F1548" s="191"/>
      <c r="G1548" s="191"/>
      <c r="H1548" s="191"/>
      <c r="I1548" s="191"/>
      <c r="J1548" s="191"/>
      <c r="K1548" s="191"/>
      <c r="L1548" s="191"/>
      <c r="M1548" s="191"/>
      <c r="N1548" s="191"/>
      <c r="O1548" s="191"/>
      <c r="P1548" s="191"/>
      <c r="Q1548" s="191"/>
      <c r="R1548" s="191"/>
      <c r="S1548" s="191"/>
      <c r="T1548" s="191"/>
      <c r="U1548" s="191"/>
      <c r="V1548" s="191"/>
      <c r="W1548" s="191"/>
      <c r="X1548" s="191"/>
      <c r="Y1548" s="191"/>
      <c r="Z1548" s="191"/>
      <c r="AA1548" s="191"/>
      <c r="AB1548" s="191"/>
      <c r="AC1548" s="190"/>
      <c r="AD1548" s="190"/>
      <c r="AE1548" s="190"/>
      <c r="AF1548" s="190"/>
      <c r="AG1548" s="190"/>
      <c r="AH1548" s="190"/>
      <c r="AI1548" s="190"/>
      <c r="AJ1548" s="190"/>
      <c r="AK1548" s="190"/>
      <c r="AL1548" s="190"/>
      <c r="AM1548" s="190"/>
    </row>
    <row r="1549" spans="2:39">
      <c r="B1549" s="162"/>
      <c r="C1549" s="162"/>
      <c r="D1549" s="191"/>
      <c r="E1549" s="191"/>
      <c r="F1549" s="191"/>
      <c r="G1549" s="191"/>
      <c r="H1549" s="191"/>
      <c r="I1549" s="191"/>
      <c r="J1549" s="191"/>
      <c r="K1549" s="191"/>
      <c r="L1549" s="191"/>
      <c r="M1549" s="191"/>
      <c r="N1549" s="191"/>
      <c r="O1549" s="191"/>
      <c r="P1549" s="191"/>
      <c r="Q1549" s="191"/>
      <c r="R1549" s="191"/>
      <c r="S1549" s="191"/>
      <c r="T1549" s="191"/>
      <c r="U1549" s="191"/>
      <c r="V1549" s="191"/>
      <c r="W1549" s="191"/>
      <c r="X1549" s="191"/>
      <c r="Y1549" s="191"/>
      <c r="Z1549" s="191"/>
      <c r="AA1549" s="191"/>
      <c r="AB1549" s="191"/>
      <c r="AC1549" s="190"/>
      <c r="AD1549" s="190"/>
      <c r="AE1549" s="190"/>
      <c r="AF1549" s="190"/>
      <c r="AG1549" s="190"/>
      <c r="AH1549" s="190"/>
      <c r="AI1549" s="190"/>
      <c r="AJ1549" s="190"/>
      <c r="AK1549" s="190"/>
      <c r="AL1549" s="190"/>
      <c r="AM1549" s="190"/>
    </row>
    <row r="1550" spans="2:39">
      <c r="B1550" s="162"/>
      <c r="C1550" s="162"/>
      <c r="D1550" s="191"/>
      <c r="E1550" s="191"/>
      <c r="F1550" s="191"/>
      <c r="G1550" s="191"/>
      <c r="H1550" s="191"/>
      <c r="I1550" s="191"/>
      <c r="J1550" s="191"/>
      <c r="K1550" s="191"/>
      <c r="L1550" s="191"/>
      <c r="M1550" s="191"/>
      <c r="N1550" s="191"/>
      <c r="O1550" s="191"/>
      <c r="P1550" s="191"/>
      <c r="Q1550" s="191"/>
      <c r="R1550" s="191"/>
      <c r="S1550" s="191"/>
      <c r="T1550" s="191"/>
      <c r="U1550" s="191"/>
      <c r="V1550" s="191"/>
      <c r="W1550" s="191"/>
      <c r="X1550" s="191"/>
      <c r="Y1550" s="191"/>
      <c r="Z1550" s="191"/>
      <c r="AA1550" s="191"/>
      <c r="AB1550" s="191"/>
      <c r="AC1550" s="190"/>
      <c r="AD1550" s="190"/>
      <c r="AE1550" s="190"/>
      <c r="AF1550" s="190"/>
      <c r="AG1550" s="190"/>
      <c r="AH1550" s="190"/>
      <c r="AI1550" s="190"/>
      <c r="AJ1550" s="190"/>
      <c r="AK1550" s="190"/>
      <c r="AL1550" s="190"/>
      <c r="AM1550" s="190"/>
    </row>
    <row r="1551" spans="2:39">
      <c r="B1551" s="162"/>
      <c r="C1551" s="162"/>
      <c r="D1551" s="191"/>
      <c r="E1551" s="191"/>
      <c r="F1551" s="191"/>
      <c r="G1551" s="191"/>
      <c r="H1551" s="191"/>
      <c r="I1551" s="191"/>
      <c r="J1551" s="191"/>
      <c r="K1551" s="191"/>
      <c r="L1551" s="191"/>
      <c r="M1551" s="191"/>
      <c r="N1551" s="191"/>
      <c r="O1551" s="191"/>
      <c r="P1551" s="191"/>
      <c r="Q1551" s="191"/>
      <c r="R1551" s="191"/>
      <c r="S1551" s="191"/>
      <c r="T1551" s="191"/>
      <c r="U1551" s="191"/>
      <c r="V1551" s="191"/>
      <c r="W1551" s="191"/>
      <c r="X1551" s="191"/>
      <c r="Y1551" s="191"/>
      <c r="Z1551" s="191"/>
      <c r="AA1551" s="191"/>
      <c r="AB1551" s="191"/>
      <c r="AC1551" s="190"/>
      <c r="AD1551" s="190"/>
      <c r="AE1551" s="190"/>
      <c r="AF1551" s="190"/>
      <c r="AG1551" s="190"/>
      <c r="AH1551" s="190"/>
      <c r="AI1551" s="190"/>
      <c r="AJ1551" s="190"/>
      <c r="AK1551" s="190"/>
      <c r="AL1551" s="190"/>
      <c r="AM1551" s="190"/>
    </row>
    <row r="1552" spans="2:39">
      <c r="B1552" s="162"/>
      <c r="C1552" s="162"/>
      <c r="D1552" s="191"/>
      <c r="E1552" s="191"/>
      <c r="F1552" s="191"/>
      <c r="G1552" s="191"/>
      <c r="H1552" s="191"/>
      <c r="I1552" s="191"/>
      <c r="J1552" s="191"/>
      <c r="K1552" s="191"/>
      <c r="L1552" s="191"/>
      <c r="M1552" s="191"/>
      <c r="N1552" s="191"/>
      <c r="O1552" s="191"/>
      <c r="P1552" s="191"/>
      <c r="Q1552" s="191"/>
      <c r="R1552" s="191"/>
      <c r="S1552" s="191"/>
      <c r="T1552" s="191"/>
      <c r="U1552" s="191"/>
      <c r="V1552" s="191"/>
      <c r="W1552" s="191"/>
      <c r="X1552" s="191"/>
      <c r="Y1552" s="191"/>
      <c r="Z1552" s="191"/>
      <c r="AA1552" s="191"/>
      <c r="AB1552" s="191"/>
      <c r="AC1552" s="190"/>
      <c r="AD1552" s="190"/>
      <c r="AE1552" s="190"/>
      <c r="AF1552" s="190"/>
      <c r="AG1552" s="190"/>
      <c r="AH1552" s="190"/>
      <c r="AI1552" s="190"/>
      <c r="AJ1552" s="190"/>
      <c r="AK1552" s="190"/>
      <c r="AL1552" s="190"/>
      <c r="AM1552" s="190"/>
    </row>
    <row r="1553" spans="2:39">
      <c r="B1553" s="162"/>
      <c r="C1553" s="162"/>
      <c r="D1553" s="191"/>
      <c r="E1553" s="191"/>
      <c r="F1553" s="191"/>
      <c r="G1553" s="191"/>
      <c r="H1553" s="191"/>
      <c r="I1553" s="191"/>
      <c r="J1553" s="191"/>
      <c r="K1553" s="191"/>
      <c r="L1553" s="191"/>
      <c r="M1553" s="191"/>
      <c r="N1553" s="191"/>
      <c r="O1553" s="191"/>
      <c r="P1553" s="191"/>
      <c r="Q1553" s="191"/>
      <c r="R1553" s="191"/>
      <c r="S1553" s="191"/>
      <c r="T1553" s="191"/>
      <c r="U1553" s="191"/>
      <c r="V1553" s="191"/>
      <c r="W1553" s="191"/>
      <c r="X1553" s="191"/>
      <c r="Y1553" s="191"/>
      <c r="Z1553" s="191"/>
      <c r="AA1553" s="191"/>
      <c r="AB1553" s="191"/>
      <c r="AC1553" s="190"/>
      <c r="AD1553" s="190"/>
      <c r="AE1553" s="190"/>
      <c r="AF1553" s="190"/>
      <c r="AG1553" s="190"/>
      <c r="AH1553" s="190"/>
      <c r="AI1553" s="190"/>
      <c r="AJ1553" s="190"/>
      <c r="AK1553" s="190"/>
      <c r="AL1553" s="190"/>
      <c r="AM1553" s="190"/>
    </row>
    <row r="1554" spans="2:39">
      <c r="B1554" s="162"/>
      <c r="C1554" s="162"/>
      <c r="D1554" s="191"/>
      <c r="E1554" s="191"/>
      <c r="F1554" s="191"/>
      <c r="G1554" s="191"/>
      <c r="H1554" s="191"/>
      <c r="I1554" s="191"/>
      <c r="J1554" s="191"/>
      <c r="K1554" s="191"/>
      <c r="L1554" s="191"/>
      <c r="M1554" s="191"/>
      <c r="N1554" s="191"/>
      <c r="O1554" s="191"/>
      <c r="P1554" s="191"/>
      <c r="Q1554" s="191"/>
      <c r="R1554" s="191"/>
      <c r="S1554" s="191"/>
      <c r="T1554" s="191"/>
      <c r="U1554" s="191"/>
      <c r="V1554" s="191"/>
      <c r="W1554" s="191"/>
      <c r="X1554" s="191"/>
      <c r="Y1554" s="191"/>
      <c r="Z1554" s="191"/>
      <c r="AA1554" s="191"/>
      <c r="AB1554" s="191"/>
      <c r="AC1554" s="190"/>
      <c r="AD1554" s="190"/>
      <c r="AE1554" s="190"/>
      <c r="AF1554" s="190"/>
      <c r="AG1554" s="190"/>
      <c r="AH1554" s="190"/>
      <c r="AI1554" s="190"/>
      <c r="AJ1554" s="190"/>
      <c r="AK1554" s="190"/>
      <c r="AL1554" s="190"/>
      <c r="AM1554" s="190"/>
    </row>
    <row r="1555" spans="2:39">
      <c r="B1555" s="162"/>
      <c r="C1555" s="162"/>
      <c r="D1555" s="191"/>
      <c r="E1555" s="191"/>
      <c r="F1555" s="191"/>
      <c r="G1555" s="191"/>
      <c r="H1555" s="191"/>
      <c r="I1555" s="191"/>
      <c r="J1555" s="191"/>
      <c r="K1555" s="191"/>
      <c r="L1555" s="191"/>
      <c r="M1555" s="191"/>
      <c r="N1555" s="191"/>
      <c r="O1555" s="191"/>
      <c r="P1555" s="191"/>
      <c r="Q1555" s="191"/>
      <c r="R1555" s="191"/>
      <c r="S1555" s="191"/>
      <c r="T1555" s="191"/>
      <c r="U1555" s="191"/>
      <c r="V1555" s="191"/>
      <c r="W1555" s="191"/>
      <c r="X1555" s="191"/>
      <c r="Y1555" s="191"/>
      <c r="Z1555" s="191"/>
      <c r="AA1555" s="191"/>
      <c r="AB1555" s="191"/>
      <c r="AC1555" s="190"/>
      <c r="AD1555" s="190"/>
      <c r="AE1555" s="190"/>
      <c r="AF1555" s="190"/>
      <c r="AG1555" s="190"/>
      <c r="AH1555" s="190"/>
      <c r="AI1555" s="190"/>
      <c r="AJ1555" s="190"/>
      <c r="AK1555" s="190"/>
      <c r="AL1555" s="190"/>
      <c r="AM1555" s="190"/>
    </row>
    <row r="1556" spans="2:39">
      <c r="B1556" s="162"/>
      <c r="C1556" s="162"/>
      <c r="D1556" s="191"/>
      <c r="E1556" s="191"/>
      <c r="F1556" s="191"/>
      <c r="G1556" s="191"/>
      <c r="H1556" s="191"/>
      <c r="I1556" s="191"/>
      <c r="J1556" s="191"/>
      <c r="K1556" s="191"/>
      <c r="L1556" s="191"/>
      <c r="M1556" s="191"/>
      <c r="N1556" s="191"/>
      <c r="O1556" s="191"/>
      <c r="P1556" s="191"/>
      <c r="Q1556" s="191"/>
      <c r="R1556" s="191"/>
      <c r="S1556" s="191"/>
      <c r="T1556" s="191"/>
      <c r="U1556" s="191"/>
      <c r="V1556" s="191"/>
      <c r="W1556" s="191"/>
      <c r="X1556" s="191"/>
      <c r="Y1556" s="191"/>
      <c r="Z1556" s="191"/>
      <c r="AA1556" s="191"/>
      <c r="AB1556" s="191"/>
      <c r="AC1556" s="190"/>
      <c r="AD1556" s="190"/>
      <c r="AE1556" s="190"/>
      <c r="AF1556" s="190"/>
      <c r="AG1556" s="190"/>
      <c r="AH1556" s="190"/>
      <c r="AI1556" s="190"/>
      <c r="AJ1556" s="190"/>
      <c r="AK1556" s="190"/>
      <c r="AL1556" s="190"/>
      <c r="AM1556" s="190"/>
    </row>
    <row r="1557" spans="2:39">
      <c r="B1557" s="162"/>
      <c r="C1557" s="162"/>
      <c r="D1557" s="191"/>
      <c r="E1557" s="191"/>
      <c r="F1557" s="191"/>
      <c r="G1557" s="191"/>
      <c r="H1557" s="191"/>
      <c r="I1557" s="191"/>
      <c r="J1557" s="191"/>
      <c r="K1557" s="191"/>
      <c r="L1557" s="191"/>
      <c r="M1557" s="191"/>
      <c r="N1557" s="191"/>
      <c r="O1557" s="191"/>
      <c r="P1557" s="191"/>
      <c r="Q1557" s="191"/>
      <c r="R1557" s="191"/>
      <c r="S1557" s="191"/>
      <c r="T1557" s="191"/>
      <c r="U1557" s="191"/>
      <c r="V1557" s="191"/>
      <c r="W1557" s="191"/>
      <c r="X1557" s="191"/>
      <c r="Y1557" s="191"/>
      <c r="Z1557" s="191"/>
      <c r="AA1557" s="191"/>
      <c r="AB1557" s="191"/>
      <c r="AC1557" s="190"/>
      <c r="AD1557" s="190"/>
      <c r="AE1557" s="190"/>
      <c r="AF1557" s="190"/>
      <c r="AG1557" s="190"/>
      <c r="AH1557" s="190"/>
      <c r="AI1557" s="190"/>
      <c r="AJ1557" s="190"/>
      <c r="AK1557" s="190"/>
      <c r="AL1557" s="190"/>
      <c r="AM1557" s="190"/>
    </row>
    <row r="1558" spans="2:39">
      <c r="B1558" s="162"/>
      <c r="C1558" s="162"/>
      <c r="D1558" s="191"/>
      <c r="E1558" s="191"/>
      <c r="F1558" s="191"/>
      <c r="G1558" s="191"/>
      <c r="H1558" s="191"/>
      <c r="I1558" s="191"/>
      <c r="J1558" s="191"/>
      <c r="K1558" s="191"/>
      <c r="L1558" s="191"/>
      <c r="M1558" s="191"/>
      <c r="N1558" s="191"/>
      <c r="O1558" s="191"/>
      <c r="P1558" s="191"/>
      <c r="Q1558" s="191"/>
      <c r="R1558" s="191"/>
      <c r="S1558" s="191"/>
      <c r="T1558" s="191"/>
      <c r="U1558" s="191"/>
      <c r="V1558" s="191"/>
      <c r="W1558" s="191"/>
      <c r="X1558" s="191"/>
      <c r="Y1558" s="191"/>
      <c r="Z1558" s="191"/>
      <c r="AA1558" s="191"/>
      <c r="AB1558" s="191"/>
      <c r="AC1558" s="190"/>
      <c r="AD1558" s="190"/>
      <c r="AE1558" s="190"/>
      <c r="AF1558" s="190"/>
      <c r="AG1558" s="190"/>
      <c r="AH1558" s="190"/>
      <c r="AI1558" s="190"/>
      <c r="AJ1558" s="190"/>
      <c r="AK1558" s="190"/>
      <c r="AL1558" s="190"/>
      <c r="AM1558" s="190"/>
    </row>
    <row r="1559" spans="2:39">
      <c r="B1559" s="162"/>
      <c r="C1559" s="162"/>
      <c r="D1559" s="191"/>
      <c r="E1559" s="191"/>
      <c r="F1559" s="191"/>
      <c r="G1559" s="191"/>
      <c r="H1559" s="191"/>
      <c r="I1559" s="191"/>
      <c r="J1559" s="191"/>
      <c r="K1559" s="191"/>
      <c r="L1559" s="191"/>
      <c r="M1559" s="191"/>
      <c r="N1559" s="191"/>
      <c r="O1559" s="191"/>
      <c r="P1559" s="191"/>
      <c r="Q1559" s="191"/>
      <c r="R1559" s="191"/>
      <c r="S1559" s="191"/>
      <c r="T1559" s="191"/>
      <c r="U1559" s="191"/>
      <c r="V1559" s="191"/>
      <c r="W1559" s="191"/>
      <c r="X1559" s="191"/>
      <c r="Y1559" s="191"/>
      <c r="Z1559" s="191"/>
      <c r="AA1559" s="191"/>
      <c r="AB1559" s="191"/>
      <c r="AC1559" s="190"/>
      <c r="AD1559" s="190"/>
      <c r="AE1559" s="190"/>
      <c r="AF1559" s="190"/>
      <c r="AG1559" s="190"/>
      <c r="AH1559" s="190"/>
      <c r="AI1559" s="190"/>
      <c r="AJ1559" s="190"/>
      <c r="AK1559" s="190"/>
      <c r="AL1559" s="190"/>
      <c r="AM1559" s="190"/>
    </row>
    <row r="1560" spans="2:39">
      <c r="B1560" s="162"/>
      <c r="C1560" s="162"/>
      <c r="D1560" s="191"/>
      <c r="E1560" s="191"/>
      <c r="F1560" s="191"/>
      <c r="G1560" s="191"/>
      <c r="H1560" s="191"/>
      <c r="I1560" s="191"/>
      <c r="J1560" s="191"/>
      <c r="K1560" s="191"/>
      <c r="L1560" s="191"/>
      <c r="M1560" s="191"/>
      <c r="N1560" s="191"/>
      <c r="O1560" s="191"/>
      <c r="P1560" s="191"/>
      <c r="Q1560" s="191"/>
      <c r="R1560" s="191"/>
      <c r="S1560" s="191"/>
      <c r="T1560" s="191"/>
      <c r="U1560" s="191"/>
      <c r="V1560" s="191"/>
      <c r="W1560" s="191"/>
      <c r="X1560" s="191"/>
      <c r="Y1560" s="191"/>
      <c r="Z1560" s="191"/>
      <c r="AA1560" s="191"/>
      <c r="AB1560" s="191"/>
      <c r="AC1560" s="190"/>
      <c r="AD1560" s="190"/>
      <c r="AE1560" s="190"/>
      <c r="AF1560" s="190"/>
      <c r="AG1560" s="190"/>
      <c r="AH1560" s="190"/>
      <c r="AI1560" s="190"/>
      <c r="AJ1560" s="190"/>
      <c r="AK1560" s="190"/>
      <c r="AL1560" s="190"/>
      <c r="AM1560" s="190"/>
    </row>
    <row r="1561" spans="2:39">
      <c r="B1561" s="162"/>
      <c r="C1561" s="162"/>
      <c r="D1561" s="191"/>
      <c r="E1561" s="191"/>
      <c r="F1561" s="191"/>
      <c r="G1561" s="191"/>
      <c r="H1561" s="191"/>
      <c r="I1561" s="191"/>
      <c r="J1561" s="191"/>
      <c r="K1561" s="191"/>
      <c r="L1561" s="191"/>
      <c r="M1561" s="191"/>
      <c r="N1561" s="191"/>
      <c r="O1561" s="191"/>
      <c r="P1561" s="191"/>
      <c r="Q1561" s="191"/>
      <c r="R1561" s="191"/>
      <c r="S1561" s="191"/>
      <c r="T1561" s="191"/>
      <c r="U1561" s="191"/>
      <c r="V1561" s="191"/>
      <c r="W1561" s="191"/>
      <c r="X1561" s="191"/>
      <c r="Y1561" s="191"/>
      <c r="Z1561" s="191"/>
      <c r="AA1561" s="191"/>
      <c r="AB1561" s="191"/>
      <c r="AC1561" s="190"/>
      <c r="AD1561" s="190"/>
      <c r="AE1561" s="190"/>
      <c r="AF1561" s="190"/>
      <c r="AG1561" s="190"/>
      <c r="AH1561" s="190"/>
      <c r="AI1561" s="190"/>
      <c r="AJ1561" s="190"/>
      <c r="AK1561" s="190"/>
      <c r="AL1561" s="190"/>
      <c r="AM1561" s="190"/>
    </row>
    <row r="1562" spans="2:39">
      <c r="B1562" s="162"/>
      <c r="C1562" s="162"/>
      <c r="D1562" s="191"/>
      <c r="E1562" s="191"/>
      <c r="F1562" s="191"/>
      <c r="G1562" s="191"/>
      <c r="H1562" s="191"/>
      <c r="I1562" s="191"/>
      <c r="J1562" s="191"/>
      <c r="K1562" s="191"/>
      <c r="L1562" s="191"/>
      <c r="M1562" s="191"/>
      <c r="N1562" s="191"/>
      <c r="O1562" s="191"/>
      <c r="P1562" s="191"/>
      <c r="Q1562" s="191"/>
      <c r="R1562" s="191"/>
      <c r="S1562" s="191"/>
      <c r="T1562" s="191"/>
      <c r="U1562" s="191"/>
      <c r="V1562" s="191"/>
      <c r="W1562" s="191"/>
      <c r="X1562" s="191"/>
      <c r="Y1562" s="191"/>
      <c r="Z1562" s="191"/>
      <c r="AA1562" s="191"/>
      <c r="AB1562" s="191"/>
      <c r="AC1562" s="190"/>
      <c r="AD1562" s="190"/>
      <c r="AE1562" s="190"/>
      <c r="AF1562" s="190"/>
      <c r="AG1562" s="190"/>
      <c r="AH1562" s="190"/>
      <c r="AI1562" s="190"/>
      <c r="AJ1562" s="190"/>
      <c r="AK1562" s="190"/>
      <c r="AL1562" s="190"/>
      <c r="AM1562" s="190"/>
    </row>
    <row r="1563" spans="2:39">
      <c r="B1563" s="162"/>
      <c r="C1563" s="162"/>
      <c r="D1563" s="191"/>
      <c r="E1563" s="191"/>
      <c r="F1563" s="191"/>
      <c r="G1563" s="191"/>
      <c r="H1563" s="191"/>
      <c r="I1563" s="191"/>
      <c r="J1563" s="191"/>
      <c r="K1563" s="191"/>
      <c r="L1563" s="191"/>
      <c r="M1563" s="191"/>
      <c r="N1563" s="191"/>
      <c r="O1563" s="191"/>
      <c r="P1563" s="191"/>
      <c r="Q1563" s="191"/>
      <c r="R1563" s="191"/>
      <c r="S1563" s="191"/>
      <c r="T1563" s="191"/>
      <c r="U1563" s="191"/>
      <c r="V1563" s="191"/>
      <c r="W1563" s="191"/>
      <c r="X1563" s="191"/>
      <c r="Y1563" s="191"/>
      <c r="Z1563" s="191"/>
      <c r="AA1563" s="191"/>
      <c r="AB1563" s="191"/>
      <c r="AC1563" s="190"/>
      <c r="AD1563" s="190"/>
      <c r="AE1563" s="190"/>
      <c r="AF1563" s="190"/>
      <c r="AG1563" s="190"/>
      <c r="AH1563" s="190"/>
      <c r="AI1563" s="190"/>
      <c r="AJ1563" s="190"/>
      <c r="AK1563" s="190"/>
      <c r="AL1563" s="190"/>
      <c r="AM1563" s="190"/>
    </row>
    <row r="1564" spans="2:39">
      <c r="B1564" s="162"/>
      <c r="C1564" s="162"/>
      <c r="D1564" s="191"/>
      <c r="E1564" s="191"/>
      <c r="F1564" s="191"/>
      <c r="G1564" s="191"/>
      <c r="H1564" s="191"/>
      <c r="I1564" s="191"/>
      <c r="J1564" s="191"/>
      <c r="K1564" s="191"/>
      <c r="L1564" s="191"/>
      <c r="M1564" s="191"/>
      <c r="N1564" s="191"/>
      <c r="O1564" s="191"/>
      <c r="P1564" s="191"/>
      <c r="Q1564" s="191"/>
      <c r="R1564" s="191"/>
      <c r="S1564" s="191"/>
      <c r="T1564" s="191"/>
      <c r="U1564" s="191"/>
      <c r="V1564" s="191"/>
      <c r="W1564" s="191"/>
      <c r="X1564" s="191"/>
      <c r="Y1564" s="191"/>
      <c r="Z1564" s="191"/>
      <c r="AA1564" s="191"/>
      <c r="AB1564" s="191"/>
      <c r="AC1564" s="190"/>
      <c r="AD1564" s="190"/>
      <c r="AE1564" s="190"/>
      <c r="AF1564" s="190"/>
      <c r="AG1564" s="190"/>
      <c r="AH1564" s="190"/>
      <c r="AI1564" s="190"/>
      <c r="AJ1564" s="190"/>
      <c r="AK1564" s="190"/>
      <c r="AL1564" s="190"/>
      <c r="AM1564" s="190"/>
    </row>
    <row r="1565" spans="2:39">
      <c r="B1565" s="162"/>
      <c r="C1565" s="162"/>
      <c r="D1565" s="191"/>
      <c r="E1565" s="191"/>
      <c r="F1565" s="191"/>
      <c r="G1565" s="191"/>
      <c r="H1565" s="191"/>
      <c r="I1565" s="191"/>
      <c r="J1565" s="191"/>
      <c r="K1565" s="191"/>
      <c r="L1565" s="191"/>
      <c r="M1565" s="191"/>
      <c r="N1565" s="191"/>
      <c r="O1565" s="191"/>
      <c r="P1565" s="191"/>
      <c r="Q1565" s="191"/>
      <c r="R1565" s="191"/>
      <c r="S1565" s="191"/>
      <c r="T1565" s="191"/>
      <c r="U1565" s="191"/>
      <c r="V1565" s="191"/>
      <c r="W1565" s="191"/>
      <c r="X1565" s="191"/>
      <c r="Y1565" s="191"/>
      <c r="Z1565" s="191"/>
      <c r="AA1565" s="191"/>
      <c r="AB1565" s="191"/>
      <c r="AC1565" s="190"/>
      <c r="AD1565" s="190"/>
      <c r="AE1565" s="190"/>
      <c r="AF1565" s="190"/>
      <c r="AG1565" s="190"/>
      <c r="AH1565" s="190"/>
      <c r="AI1565" s="190"/>
      <c r="AJ1565" s="190"/>
      <c r="AK1565" s="190"/>
      <c r="AL1565" s="190"/>
      <c r="AM1565" s="190"/>
    </row>
    <row r="1566" spans="2:39">
      <c r="B1566" s="162"/>
      <c r="C1566" s="162"/>
      <c r="D1566" s="191"/>
      <c r="E1566" s="191"/>
      <c r="F1566" s="191"/>
      <c r="G1566" s="191"/>
      <c r="H1566" s="191"/>
      <c r="I1566" s="191"/>
      <c r="J1566" s="191"/>
      <c r="K1566" s="191"/>
      <c r="L1566" s="191"/>
      <c r="M1566" s="191"/>
      <c r="N1566" s="191"/>
      <c r="O1566" s="191"/>
      <c r="P1566" s="191"/>
      <c r="Q1566" s="191"/>
      <c r="R1566" s="191"/>
      <c r="S1566" s="191"/>
      <c r="T1566" s="191"/>
      <c r="U1566" s="191"/>
      <c r="V1566" s="191"/>
      <c r="W1566" s="191"/>
      <c r="X1566" s="191"/>
      <c r="Y1566" s="191"/>
      <c r="Z1566" s="191"/>
      <c r="AA1566" s="191"/>
      <c r="AB1566" s="191"/>
      <c r="AC1566" s="190"/>
      <c r="AD1566" s="190"/>
      <c r="AE1566" s="190"/>
      <c r="AF1566" s="190"/>
      <c r="AG1566" s="190"/>
      <c r="AH1566" s="190"/>
      <c r="AI1566" s="190"/>
      <c r="AJ1566" s="190"/>
      <c r="AK1566" s="190"/>
      <c r="AL1566" s="190"/>
      <c r="AM1566" s="190"/>
    </row>
    <row r="1567" spans="2:39">
      <c r="B1567" s="162"/>
      <c r="C1567" s="162"/>
      <c r="D1567" s="191"/>
      <c r="E1567" s="191"/>
      <c r="F1567" s="191"/>
      <c r="G1567" s="191"/>
      <c r="H1567" s="191"/>
      <c r="I1567" s="191"/>
      <c r="J1567" s="191"/>
      <c r="K1567" s="191"/>
      <c r="L1567" s="191"/>
      <c r="M1567" s="191"/>
      <c r="N1567" s="191"/>
      <c r="O1567" s="191"/>
      <c r="P1567" s="191"/>
      <c r="Q1567" s="191"/>
      <c r="R1567" s="191"/>
      <c r="S1567" s="191"/>
      <c r="T1567" s="191"/>
      <c r="U1567" s="191"/>
      <c r="V1567" s="191"/>
      <c r="W1567" s="191"/>
      <c r="X1567" s="191"/>
      <c r="Y1567" s="191"/>
      <c r="Z1567" s="191"/>
      <c r="AA1567" s="191"/>
      <c r="AB1567" s="191"/>
      <c r="AC1567" s="190"/>
      <c r="AD1567" s="190"/>
      <c r="AE1567" s="190"/>
      <c r="AF1567" s="190"/>
      <c r="AG1567" s="190"/>
      <c r="AH1567" s="190"/>
      <c r="AI1567" s="190"/>
      <c r="AJ1567" s="190"/>
      <c r="AK1567" s="190"/>
      <c r="AL1567" s="190"/>
      <c r="AM1567" s="190"/>
    </row>
    <row r="1568" spans="2:39">
      <c r="B1568" s="162"/>
      <c r="C1568" s="162"/>
      <c r="D1568" s="191"/>
      <c r="E1568" s="191"/>
      <c r="F1568" s="191"/>
      <c r="G1568" s="191"/>
      <c r="H1568" s="191"/>
      <c r="I1568" s="191"/>
      <c r="J1568" s="191"/>
      <c r="K1568" s="191"/>
      <c r="L1568" s="191"/>
      <c r="M1568" s="191"/>
      <c r="N1568" s="191"/>
      <c r="O1568" s="191"/>
      <c r="P1568" s="191"/>
      <c r="Q1568" s="191"/>
      <c r="R1568" s="191"/>
      <c r="S1568" s="191"/>
      <c r="T1568" s="191"/>
      <c r="U1568" s="191"/>
      <c r="V1568" s="191"/>
      <c r="W1568" s="191"/>
      <c r="X1568" s="191"/>
      <c r="Y1568" s="191"/>
      <c r="Z1568" s="191"/>
      <c r="AA1568" s="191"/>
      <c r="AB1568" s="191"/>
      <c r="AC1568" s="190"/>
      <c r="AD1568" s="190"/>
      <c r="AE1568" s="190"/>
      <c r="AF1568" s="190"/>
      <c r="AG1568" s="190"/>
      <c r="AH1568" s="190"/>
      <c r="AI1568" s="190"/>
      <c r="AJ1568" s="190"/>
      <c r="AK1568" s="190"/>
      <c r="AL1568" s="190"/>
      <c r="AM1568" s="190"/>
    </row>
    <row r="1569" spans="2:39">
      <c r="B1569" s="162"/>
      <c r="C1569" s="162"/>
      <c r="D1569" s="191"/>
      <c r="E1569" s="191"/>
      <c r="F1569" s="191"/>
      <c r="G1569" s="191"/>
      <c r="H1569" s="191"/>
      <c r="I1569" s="191"/>
      <c r="J1569" s="191"/>
      <c r="K1569" s="191"/>
      <c r="L1569" s="191"/>
      <c r="M1569" s="191"/>
      <c r="N1569" s="191"/>
      <c r="O1569" s="191"/>
      <c r="P1569" s="191"/>
      <c r="Q1569" s="191"/>
      <c r="R1569" s="191"/>
      <c r="S1569" s="191"/>
      <c r="T1569" s="191"/>
      <c r="U1569" s="191"/>
      <c r="V1569" s="191"/>
      <c r="W1569" s="191"/>
      <c r="X1569" s="191"/>
      <c r="Y1569" s="191"/>
      <c r="Z1569" s="191"/>
      <c r="AA1569" s="191"/>
      <c r="AB1569" s="191"/>
      <c r="AC1569" s="190"/>
      <c r="AD1569" s="190"/>
      <c r="AE1569" s="190"/>
      <c r="AF1569" s="190"/>
      <c r="AG1569" s="190"/>
      <c r="AH1569" s="190"/>
      <c r="AI1569" s="190"/>
      <c r="AJ1569" s="190"/>
      <c r="AK1569" s="190"/>
      <c r="AL1569" s="190"/>
      <c r="AM1569" s="190"/>
    </row>
    <row r="1570" spans="2:39">
      <c r="B1570" s="162"/>
      <c r="C1570" s="162"/>
      <c r="D1570" s="191"/>
      <c r="E1570" s="191"/>
      <c r="F1570" s="191"/>
      <c r="G1570" s="191"/>
      <c r="H1570" s="191"/>
      <c r="I1570" s="191"/>
      <c r="J1570" s="191"/>
      <c r="K1570" s="191"/>
      <c r="L1570" s="191"/>
      <c r="M1570" s="191"/>
      <c r="N1570" s="191"/>
      <c r="O1570" s="191"/>
      <c r="P1570" s="191"/>
      <c r="Q1570" s="191"/>
      <c r="R1570" s="191"/>
      <c r="S1570" s="191"/>
      <c r="T1570" s="191"/>
      <c r="U1570" s="191"/>
      <c r="V1570" s="191"/>
      <c r="W1570" s="191"/>
      <c r="X1570" s="191"/>
      <c r="Y1570" s="191"/>
      <c r="Z1570" s="191"/>
      <c r="AA1570" s="191"/>
      <c r="AB1570" s="191"/>
      <c r="AC1570" s="190"/>
      <c r="AD1570" s="190"/>
      <c r="AE1570" s="190"/>
      <c r="AF1570" s="190"/>
      <c r="AG1570" s="190"/>
      <c r="AH1570" s="190"/>
      <c r="AI1570" s="190"/>
      <c r="AJ1570" s="190"/>
      <c r="AK1570" s="190"/>
      <c r="AL1570" s="190"/>
      <c r="AM1570" s="190"/>
    </row>
    <row r="1571" spans="2:39">
      <c r="B1571" s="162"/>
      <c r="C1571" s="162"/>
      <c r="D1571" s="191"/>
      <c r="E1571" s="191"/>
      <c r="F1571" s="191"/>
      <c r="G1571" s="191"/>
      <c r="H1571" s="191"/>
      <c r="I1571" s="191"/>
      <c r="J1571" s="191"/>
      <c r="K1571" s="191"/>
      <c r="L1571" s="191"/>
      <c r="M1571" s="191"/>
      <c r="N1571" s="191"/>
      <c r="O1571" s="191"/>
      <c r="P1571" s="191"/>
      <c r="Q1571" s="191"/>
      <c r="R1571" s="191"/>
      <c r="S1571" s="191"/>
      <c r="T1571" s="191"/>
      <c r="U1571" s="191"/>
      <c r="V1571" s="191"/>
      <c r="W1571" s="191"/>
      <c r="X1571" s="191"/>
      <c r="Y1571" s="191"/>
      <c r="Z1571" s="191"/>
      <c r="AA1571" s="191"/>
      <c r="AB1571" s="191"/>
      <c r="AC1571" s="190"/>
      <c r="AD1571" s="190"/>
      <c r="AE1571" s="190"/>
      <c r="AF1571" s="190"/>
      <c r="AG1571" s="190"/>
      <c r="AH1571" s="190"/>
      <c r="AI1571" s="190"/>
      <c r="AJ1571" s="190"/>
      <c r="AK1571" s="190"/>
      <c r="AL1571" s="190"/>
      <c r="AM1571" s="190"/>
    </row>
    <row r="1572" spans="2:39">
      <c r="B1572" s="162"/>
      <c r="C1572" s="162"/>
      <c r="D1572" s="191"/>
      <c r="E1572" s="191"/>
      <c r="F1572" s="191"/>
      <c r="G1572" s="191"/>
      <c r="H1572" s="191"/>
      <c r="I1572" s="191"/>
      <c r="J1572" s="191"/>
      <c r="K1572" s="191"/>
      <c r="L1572" s="191"/>
      <c r="M1572" s="191"/>
      <c r="N1572" s="191"/>
      <c r="O1572" s="191"/>
      <c r="P1572" s="191"/>
      <c r="Q1572" s="191"/>
      <c r="R1572" s="191"/>
      <c r="S1572" s="191"/>
      <c r="T1572" s="191"/>
      <c r="U1572" s="191"/>
      <c r="V1572" s="191"/>
      <c r="W1572" s="191"/>
      <c r="X1572" s="191"/>
      <c r="Y1572" s="191"/>
      <c r="Z1572" s="191"/>
      <c r="AA1572" s="191"/>
      <c r="AB1572" s="191"/>
      <c r="AC1572" s="190"/>
      <c r="AD1572" s="190"/>
      <c r="AE1572" s="190"/>
      <c r="AF1572" s="190"/>
      <c r="AG1572" s="190"/>
      <c r="AH1572" s="190"/>
      <c r="AI1572" s="190"/>
      <c r="AJ1572" s="190"/>
      <c r="AK1572" s="190"/>
      <c r="AL1572" s="190"/>
      <c r="AM1572" s="190"/>
    </row>
    <row r="1573" spans="2:39">
      <c r="B1573" s="162"/>
      <c r="C1573" s="162"/>
      <c r="D1573" s="191"/>
      <c r="E1573" s="191"/>
      <c r="F1573" s="191"/>
      <c r="G1573" s="191"/>
      <c r="H1573" s="191"/>
      <c r="I1573" s="191"/>
      <c r="J1573" s="191"/>
      <c r="K1573" s="191"/>
      <c r="L1573" s="191"/>
      <c r="M1573" s="191"/>
      <c r="N1573" s="191"/>
      <c r="O1573" s="191"/>
      <c r="P1573" s="191"/>
      <c r="Q1573" s="191"/>
      <c r="R1573" s="191"/>
      <c r="S1573" s="191"/>
      <c r="T1573" s="191"/>
      <c r="U1573" s="191"/>
      <c r="V1573" s="191"/>
      <c r="W1573" s="191"/>
      <c r="X1573" s="191"/>
      <c r="Y1573" s="191"/>
      <c r="Z1573" s="191"/>
      <c r="AA1573" s="191"/>
      <c r="AB1573" s="191"/>
      <c r="AC1573" s="190"/>
      <c r="AD1573" s="190"/>
      <c r="AE1573" s="190"/>
      <c r="AF1573" s="190"/>
      <c r="AG1573" s="190"/>
      <c r="AH1573" s="190"/>
      <c r="AI1573" s="190"/>
      <c r="AJ1573" s="190"/>
      <c r="AK1573" s="190"/>
      <c r="AL1573" s="190"/>
      <c r="AM1573" s="190"/>
    </row>
    <row r="1574" spans="2:39">
      <c r="B1574" s="162"/>
      <c r="C1574" s="162"/>
      <c r="D1574" s="191"/>
      <c r="E1574" s="191"/>
      <c r="F1574" s="191"/>
      <c r="G1574" s="191"/>
      <c r="H1574" s="191"/>
      <c r="I1574" s="191"/>
      <c r="J1574" s="191"/>
      <c r="K1574" s="191"/>
      <c r="L1574" s="191"/>
      <c r="M1574" s="191"/>
      <c r="N1574" s="191"/>
      <c r="O1574" s="191"/>
      <c r="P1574" s="191"/>
      <c r="Q1574" s="191"/>
      <c r="R1574" s="191"/>
      <c r="S1574" s="191"/>
      <c r="T1574" s="191"/>
      <c r="U1574" s="191"/>
      <c r="V1574" s="191"/>
      <c r="W1574" s="191"/>
      <c r="X1574" s="191"/>
      <c r="Y1574" s="191"/>
      <c r="Z1574" s="191"/>
      <c r="AA1574" s="191"/>
      <c r="AB1574" s="191"/>
      <c r="AC1574" s="190"/>
      <c r="AD1574" s="190"/>
      <c r="AE1574" s="190"/>
      <c r="AF1574" s="190"/>
      <c r="AG1574" s="190"/>
      <c r="AH1574" s="190"/>
      <c r="AI1574" s="190"/>
      <c r="AJ1574" s="190"/>
      <c r="AK1574" s="190"/>
      <c r="AL1574" s="190"/>
      <c r="AM1574" s="190"/>
    </row>
    <row r="1575" spans="2:39">
      <c r="B1575" s="162"/>
      <c r="C1575" s="162"/>
      <c r="D1575" s="191"/>
      <c r="E1575" s="191"/>
      <c r="F1575" s="191"/>
      <c r="G1575" s="191"/>
      <c r="H1575" s="191"/>
      <c r="I1575" s="191"/>
      <c r="J1575" s="191"/>
      <c r="K1575" s="191"/>
      <c r="L1575" s="191"/>
      <c r="M1575" s="191"/>
      <c r="N1575" s="191"/>
      <c r="O1575" s="191"/>
      <c r="P1575" s="191"/>
      <c r="Q1575" s="191"/>
      <c r="R1575" s="191"/>
      <c r="S1575" s="191"/>
      <c r="T1575" s="191"/>
      <c r="U1575" s="191"/>
      <c r="V1575" s="191"/>
      <c r="W1575" s="191"/>
      <c r="X1575" s="191"/>
      <c r="Y1575" s="191"/>
      <c r="Z1575" s="191"/>
      <c r="AA1575" s="191"/>
      <c r="AB1575" s="191"/>
      <c r="AC1575" s="190"/>
      <c r="AD1575" s="190"/>
      <c r="AE1575" s="190"/>
      <c r="AF1575" s="190"/>
      <c r="AG1575" s="190"/>
      <c r="AH1575" s="190"/>
      <c r="AI1575" s="190"/>
      <c r="AJ1575" s="190"/>
      <c r="AK1575" s="190"/>
      <c r="AL1575" s="190"/>
      <c r="AM1575" s="190"/>
    </row>
    <row r="1576" spans="2:39">
      <c r="B1576" s="162"/>
      <c r="C1576" s="162"/>
      <c r="D1576" s="191"/>
      <c r="E1576" s="191"/>
      <c r="F1576" s="191"/>
      <c r="G1576" s="191"/>
      <c r="H1576" s="191"/>
      <c r="I1576" s="191"/>
      <c r="J1576" s="191"/>
      <c r="K1576" s="191"/>
      <c r="L1576" s="191"/>
      <c r="M1576" s="191"/>
      <c r="N1576" s="191"/>
      <c r="O1576" s="191"/>
      <c r="P1576" s="191"/>
      <c r="Q1576" s="191"/>
      <c r="R1576" s="191"/>
      <c r="S1576" s="191"/>
      <c r="T1576" s="191"/>
      <c r="U1576" s="191"/>
      <c r="V1576" s="191"/>
      <c r="W1576" s="191"/>
      <c r="X1576" s="191"/>
      <c r="Y1576" s="191"/>
      <c r="Z1576" s="191"/>
      <c r="AA1576" s="191"/>
      <c r="AB1576" s="191"/>
      <c r="AC1576" s="190"/>
      <c r="AD1576" s="190"/>
      <c r="AE1576" s="190"/>
      <c r="AF1576" s="190"/>
      <c r="AG1576" s="190"/>
      <c r="AH1576" s="190"/>
      <c r="AI1576" s="190"/>
      <c r="AJ1576" s="190"/>
      <c r="AK1576" s="190"/>
      <c r="AL1576" s="190"/>
      <c r="AM1576" s="190"/>
    </row>
    <row r="1577" spans="2:39">
      <c r="B1577" s="162"/>
      <c r="C1577" s="162"/>
      <c r="D1577" s="191"/>
      <c r="E1577" s="191"/>
      <c r="F1577" s="191"/>
      <c r="G1577" s="191"/>
      <c r="H1577" s="191"/>
      <c r="I1577" s="191"/>
      <c r="J1577" s="191"/>
      <c r="K1577" s="191"/>
      <c r="L1577" s="191"/>
      <c r="M1577" s="191"/>
      <c r="N1577" s="191"/>
      <c r="O1577" s="191"/>
      <c r="P1577" s="191"/>
      <c r="Q1577" s="191"/>
      <c r="R1577" s="191"/>
      <c r="S1577" s="191"/>
      <c r="T1577" s="191"/>
      <c r="U1577" s="191"/>
      <c r="V1577" s="191"/>
      <c r="W1577" s="191"/>
      <c r="X1577" s="191"/>
      <c r="Y1577" s="191"/>
      <c r="Z1577" s="191"/>
      <c r="AA1577" s="191"/>
      <c r="AB1577" s="191"/>
      <c r="AC1577" s="190"/>
      <c r="AD1577" s="190"/>
      <c r="AE1577" s="190"/>
      <c r="AF1577" s="190"/>
      <c r="AG1577" s="190"/>
      <c r="AH1577" s="190"/>
      <c r="AI1577" s="190"/>
      <c r="AJ1577" s="190"/>
      <c r="AK1577" s="190"/>
      <c r="AL1577" s="190"/>
      <c r="AM1577" s="190"/>
    </row>
    <row r="1578" spans="2:39">
      <c r="B1578" s="162"/>
      <c r="C1578" s="162"/>
      <c r="D1578" s="191"/>
      <c r="E1578" s="191"/>
      <c r="F1578" s="191"/>
      <c r="G1578" s="191"/>
      <c r="H1578" s="191"/>
      <c r="I1578" s="191"/>
      <c r="J1578" s="191"/>
      <c r="K1578" s="191"/>
      <c r="L1578" s="191"/>
      <c r="M1578" s="191"/>
      <c r="N1578" s="191"/>
      <c r="O1578" s="191"/>
      <c r="P1578" s="191"/>
      <c r="Q1578" s="191"/>
      <c r="R1578" s="191"/>
      <c r="S1578" s="191"/>
      <c r="T1578" s="191"/>
      <c r="U1578" s="191"/>
      <c r="V1578" s="191"/>
      <c r="W1578" s="191"/>
      <c r="X1578" s="191"/>
      <c r="Y1578" s="191"/>
      <c r="Z1578" s="191"/>
      <c r="AA1578" s="191"/>
      <c r="AB1578" s="191"/>
      <c r="AC1578" s="190"/>
      <c r="AD1578" s="190"/>
      <c r="AE1578" s="190"/>
      <c r="AF1578" s="190"/>
      <c r="AG1578" s="190"/>
      <c r="AH1578" s="190"/>
      <c r="AI1578" s="190"/>
      <c r="AJ1578" s="190"/>
      <c r="AK1578" s="190"/>
      <c r="AL1578" s="190"/>
      <c r="AM1578" s="190"/>
    </row>
    <row r="1579" spans="2:39">
      <c r="B1579" s="162"/>
      <c r="C1579" s="162"/>
      <c r="D1579" s="191"/>
      <c r="E1579" s="191"/>
      <c r="F1579" s="191"/>
      <c r="G1579" s="191"/>
      <c r="H1579" s="191"/>
      <c r="I1579" s="191"/>
      <c r="J1579" s="191"/>
      <c r="K1579" s="191"/>
      <c r="L1579" s="191"/>
      <c r="M1579" s="191"/>
      <c r="N1579" s="191"/>
      <c r="O1579" s="191"/>
      <c r="P1579" s="191"/>
      <c r="Q1579" s="191"/>
      <c r="R1579" s="191"/>
      <c r="S1579" s="191"/>
      <c r="T1579" s="191"/>
      <c r="U1579" s="191"/>
      <c r="V1579" s="191"/>
      <c r="W1579" s="191"/>
      <c r="X1579" s="191"/>
      <c r="Y1579" s="191"/>
      <c r="Z1579" s="191"/>
      <c r="AA1579" s="191"/>
      <c r="AB1579" s="191"/>
      <c r="AC1579" s="190"/>
      <c r="AD1579" s="190"/>
      <c r="AE1579" s="190"/>
      <c r="AF1579" s="190"/>
      <c r="AG1579" s="190"/>
      <c r="AH1579" s="190"/>
      <c r="AI1579" s="190"/>
      <c r="AJ1579" s="190"/>
      <c r="AK1579" s="190"/>
      <c r="AL1579" s="190"/>
      <c r="AM1579" s="190"/>
    </row>
    <row r="1580" spans="2:39">
      <c r="B1580" s="162"/>
      <c r="C1580" s="162"/>
      <c r="D1580" s="191"/>
      <c r="E1580" s="191"/>
      <c r="F1580" s="191"/>
      <c r="G1580" s="191"/>
      <c r="H1580" s="191"/>
      <c r="I1580" s="191"/>
      <c r="J1580" s="191"/>
      <c r="K1580" s="191"/>
      <c r="L1580" s="191"/>
      <c r="M1580" s="191"/>
      <c r="N1580" s="191"/>
      <c r="O1580" s="191"/>
      <c r="P1580" s="191"/>
      <c r="Q1580" s="191"/>
      <c r="R1580" s="191"/>
      <c r="S1580" s="191"/>
      <c r="T1580" s="191"/>
      <c r="U1580" s="191"/>
      <c r="V1580" s="191"/>
      <c r="W1580" s="191"/>
      <c r="X1580" s="191"/>
      <c r="Y1580" s="191"/>
      <c r="Z1580" s="191"/>
      <c r="AA1580" s="191"/>
      <c r="AB1580" s="191"/>
      <c r="AC1580" s="190"/>
      <c r="AD1580" s="190"/>
      <c r="AE1580" s="190"/>
      <c r="AF1580" s="190"/>
      <c r="AG1580" s="190"/>
      <c r="AH1580" s="190"/>
      <c r="AI1580" s="190"/>
      <c r="AJ1580" s="190"/>
      <c r="AK1580" s="190"/>
      <c r="AL1580" s="190"/>
      <c r="AM1580" s="190"/>
    </row>
    <row r="1581" spans="2:39">
      <c r="B1581" s="162"/>
      <c r="C1581" s="162"/>
      <c r="D1581" s="191"/>
      <c r="E1581" s="191"/>
      <c r="F1581" s="191"/>
      <c r="G1581" s="191"/>
      <c r="H1581" s="191"/>
      <c r="I1581" s="191"/>
      <c r="J1581" s="191"/>
      <c r="K1581" s="191"/>
      <c r="L1581" s="191"/>
      <c r="M1581" s="191"/>
      <c r="N1581" s="191"/>
      <c r="O1581" s="191"/>
      <c r="P1581" s="191"/>
      <c r="Q1581" s="191"/>
      <c r="R1581" s="191"/>
      <c r="S1581" s="191"/>
      <c r="T1581" s="191"/>
      <c r="U1581" s="191"/>
      <c r="V1581" s="191"/>
      <c r="W1581" s="191"/>
      <c r="X1581" s="191"/>
      <c r="Y1581" s="191"/>
      <c r="Z1581" s="191"/>
      <c r="AA1581" s="191"/>
      <c r="AB1581" s="191"/>
      <c r="AC1581" s="190"/>
      <c r="AD1581" s="190"/>
      <c r="AE1581" s="190"/>
      <c r="AF1581" s="190"/>
      <c r="AG1581" s="190"/>
      <c r="AH1581" s="190"/>
      <c r="AI1581" s="190"/>
      <c r="AJ1581" s="190"/>
      <c r="AK1581" s="190"/>
      <c r="AL1581" s="190"/>
      <c r="AM1581" s="190"/>
    </row>
    <row r="1582" spans="2:39">
      <c r="B1582" s="162"/>
      <c r="C1582" s="162"/>
      <c r="D1582" s="191"/>
      <c r="E1582" s="191"/>
      <c r="F1582" s="191"/>
      <c r="G1582" s="191"/>
      <c r="H1582" s="191"/>
      <c r="I1582" s="191"/>
      <c r="J1582" s="191"/>
      <c r="K1582" s="191"/>
      <c r="L1582" s="191"/>
      <c r="M1582" s="191"/>
      <c r="N1582" s="191"/>
      <c r="O1582" s="191"/>
      <c r="P1582" s="191"/>
      <c r="Q1582" s="191"/>
      <c r="R1582" s="191"/>
      <c r="S1582" s="191"/>
      <c r="T1582" s="191"/>
      <c r="U1582" s="191"/>
      <c r="V1582" s="191"/>
      <c r="W1582" s="191"/>
      <c r="X1582" s="191"/>
      <c r="Y1582" s="191"/>
      <c r="Z1582" s="191"/>
      <c r="AA1582" s="191"/>
      <c r="AB1582" s="191"/>
      <c r="AC1582" s="190"/>
      <c r="AD1582" s="190"/>
      <c r="AE1582" s="190"/>
      <c r="AF1582" s="190"/>
      <c r="AG1582" s="190"/>
      <c r="AH1582" s="190"/>
      <c r="AI1582" s="190"/>
      <c r="AJ1582" s="190"/>
      <c r="AK1582" s="190"/>
      <c r="AL1582" s="190"/>
      <c r="AM1582" s="190"/>
    </row>
    <row r="1583" spans="2:39">
      <c r="B1583" s="162"/>
      <c r="C1583" s="162"/>
      <c r="D1583" s="191"/>
      <c r="E1583" s="191"/>
      <c r="F1583" s="191"/>
      <c r="G1583" s="191"/>
      <c r="H1583" s="191"/>
      <c r="I1583" s="191"/>
      <c r="J1583" s="191"/>
      <c r="K1583" s="191"/>
      <c r="L1583" s="191"/>
      <c r="M1583" s="191"/>
      <c r="N1583" s="191"/>
      <c r="O1583" s="191"/>
      <c r="P1583" s="191"/>
      <c r="Q1583" s="191"/>
      <c r="R1583" s="191"/>
      <c r="S1583" s="191"/>
      <c r="T1583" s="191"/>
      <c r="U1583" s="191"/>
      <c r="V1583" s="191"/>
      <c r="W1583" s="191"/>
      <c r="X1583" s="191"/>
      <c r="Y1583" s="191"/>
      <c r="Z1583" s="191"/>
      <c r="AA1583" s="191"/>
      <c r="AB1583" s="191"/>
      <c r="AC1583" s="190"/>
      <c r="AD1583" s="190"/>
      <c r="AE1583" s="190"/>
      <c r="AF1583" s="190"/>
      <c r="AG1583" s="190"/>
      <c r="AH1583" s="190"/>
      <c r="AI1583" s="190"/>
      <c r="AJ1583" s="190"/>
      <c r="AK1583" s="190"/>
      <c r="AL1583" s="190"/>
      <c r="AM1583" s="190"/>
    </row>
    <row r="1584" spans="2:39">
      <c r="B1584" s="162"/>
      <c r="C1584" s="162"/>
      <c r="D1584" s="191"/>
      <c r="E1584" s="191"/>
      <c r="F1584" s="191"/>
      <c r="G1584" s="191"/>
      <c r="H1584" s="191"/>
      <c r="I1584" s="191"/>
      <c r="J1584" s="191"/>
      <c r="K1584" s="191"/>
      <c r="L1584" s="191"/>
      <c r="M1584" s="191"/>
      <c r="N1584" s="191"/>
      <c r="O1584" s="191"/>
      <c r="P1584" s="191"/>
      <c r="Q1584" s="191"/>
      <c r="R1584" s="191"/>
      <c r="S1584" s="191"/>
      <c r="T1584" s="191"/>
      <c r="U1584" s="191"/>
      <c r="V1584" s="191"/>
      <c r="W1584" s="191"/>
      <c r="X1584" s="191"/>
      <c r="Y1584" s="191"/>
      <c r="Z1584" s="191"/>
      <c r="AA1584" s="191"/>
      <c r="AB1584" s="191"/>
      <c r="AC1584" s="190"/>
      <c r="AD1584" s="190"/>
      <c r="AE1584" s="190"/>
      <c r="AF1584" s="190"/>
      <c r="AG1584" s="190"/>
      <c r="AH1584" s="190"/>
      <c r="AI1584" s="190"/>
      <c r="AJ1584" s="190"/>
      <c r="AK1584" s="190"/>
      <c r="AL1584" s="190"/>
      <c r="AM1584" s="190"/>
    </row>
    <row r="1585" spans="2:39">
      <c r="B1585" s="162"/>
      <c r="C1585" s="162"/>
      <c r="D1585" s="191"/>
      <c r="E1585" s="191"/>
      <c r="F1585" s="191"/>
      <c r="G1585" s="191"/>
      <c r="H1585" s="191"/>
      <c r="I1585" s="191"/>
      <c r="J1585" s="191"/>
      <c r="K1585" s="191"/>
      <c r="L1585" s="191"/>
      <c r="M1585" s="191"/>
      <c r="N1585" s="191"/>
      <c r="O1585" s="191"/>
      <c r="P1585" s="191"/>
      <c r="Q1585" s="191"/>
      <c r="R1585" s="191"/>
      <c r="S1585" s="191"/>
      <c r="T1585" s="191"/>
      <c r="U1585" s="191"/>
      <c r="V1585" s="191"/>
      <c r="W1585" s="191"/>
      <c r="X1585" s="191"/>
      <c r="Y1585" s="191"/>
      <c r="Z1585" s="191"/>
      <c r="AA1585" s="191"/>
      <c r="AB1585" s="191"/>
      <c r="AC1585" s="190"/>
      <c r="AD1585" s="190"/>
      <c r="AE1585" s="190"/>
      <c r="AF1585" s="190"/>
      <c r="AG1585" s="190"/>
      <c r="AH1585" s="190"/>
      <c r="AI1585" s="190"/>
      <c r="AJ1585" s="190"/>
      <c r="AK1585" s="190"/>
      <c r="AL1585" s="190"/>
      <c r="AM1585" s="190"/>
    </row>
    <row r="1586" spans="2:39">
      <c r="B1586" s="162"/>
      <c r="C1586" s="162"/>
      <c r="D1586" s="191"/>
      <c r="E1586" s="191"/>
      <c r="F1586" s="191"/>
      <c r="G1586" s="191"/>
      <c r="H1586" s="191"/>
      <c r="I1586" s="191"/>
      <c r="J1586" s="191"/>
      <c r="K1586" s="191"/>
      <c r="L1586" s="191"/>
      <c r="M1586" s="191"/>
      <c r="N1586" s="191"/>
      <c r="O1586" s="191"/>
      <c r="P1586" s="191"/>
      <c r="Q1586" s="191"/>
      <c r="R1586" s="191"/>
      <c r="S1586" s="191"/>
      <c r="T1586" s="191"/>
      <c r="U1586" s="191"/>
      <c r="V1586" s="191"/>
      <c r="W1586" s="191"/>
      <c r="X1586" s="191"/>
      <c r="Y1586" s="191"/>
      <c r="Z1586" s="191"/>
      <c r="AA1586" s="191"/>
      <c r="AB1586" s="191"/>
      <c r="AC1586" s="190"/>
      <c r="AD1586" s="190"/>
      <c r="AE1586" s="190"/>
      <c r="AF1586" s="190"/>
      <c r="AG1586" s="190"/>
      <c r="AH1586" s="190"/>
      <c r="AI1586" s="190"/>
      <c r="AJ1586" s="190"/>
      <c r="AK1586" s="190"/>
      <c r="AL1586" s="190"/>
      <c r="AM1586" s="190"/>
    </row>
    <row r="1587" spans="2:39">
      <c r="B1587" s="162"/>
      <c r="C1587" s="162"/>
      <c r="D1587" s="191"/>
      <c r="E1587" s="191"/>
      <c r="F1587" s="191"/>
      <c r="G1587" s="191"/>
      <c r="H1587" s="191"/>
      <c r="I1587" s="191"/>
      <c r="J1587" s="191"/>
      <c r="K1587" s="191"/>
      <c r="L1587" s="191"/>
      <c r="M1587" s="191"/>
      <c r="N1587" s="191"/>
      <c r="O1587" s="191"/>
      <c r="P1587" s="191"/>
      <c r="Q1587" s="191"/>
      <c r="R1587" s="191"/>
      <c r="S1587" s="191"/>
      <c r="T1587" s="191"/>
      <c r="U1587" s="191"/>
      <c r="V1587" s="191"/>
      <c r="W1587" s="191"/>
      <c r="X1587" s="191"/>
      <c r="Y1587" s="191"/>
      <c r="Z1587" s="191"/>
      <c r="AA1587" s="191"/>
      <c r="AB1587" s="191"/>
      <c r="AC1587" s="190"/>
      <c r="AD1587" s="190"/>
      <c r="AE1587" s="190"/>
      <c r="AF1587" s="190"/>
      <c r="AG1587" s="190"/>
      <c r="AH1587" s="190"/>
      <c r="AI1587" s="190"/>
      <c r="AJ1587" s="190"/>
      <c r="AK1587" s="190"/>
      <c r="AL1587" s="190"/>
      <c r="AM1587" s="190"/>
    </row>
    <row r="1588" spans="2:39">
      <c r="B1588" s="162"/>
      <c r="C1588" s="162"/>
      <c r="D1588" s="191"/>
      <c r="E1588" s="191"/>
      <c r="F1588" s="191"/>
      <c r="G1588" s="191"/>
      <c r="H1588" s="191"/>
      <c r="I1588" s="191"/>
      <c r="J1588" s="191"/>
      <c r="K1588" s="191"/>
      <c r="L1588" s="191"/>
      <c r="M1588" s="191"/>
      <c r="N1588" s="191"/>
      <c r="O1588" s="191"/>
      <c r="P1588" s="191"/>
      <c r="Q1588" s="191"/>
      <c r="R1588" s="191"/>
      <c r="S1588" s="191"/>
      <c r="T1588" s="191"/>
      <c r="U1588" s="191"/>
      <c r="V1588" s="191"/>
      <c r="W1588" s="191"/>
      <c r="X1588" s="191"/>
      <c r="Y1588" s="191"/>
      <c r="Z1588" s="191"/>
      <c r="AA1588" s="191"/>
      <c r="AB1588" s="191"/>
      <c r="AC1588" s="190"/>
      <c r="AD1588" s="190"/>
      <c r="AE1588" s="190"/>
      <c r="AF1588" s="190"/>
      <c r="AG1588" s="190"/>
      <c r="AH1588" s="190"/>
      <c r="AI1588" s="190"/>
      <c r="AJ1588" s="190"/>
      <c r="AK1588" s="190"/>
      <c r="AL1588" s="190"/>
      <c r="AM1588" s="190"/>
    </row>
    <row r="1589" spans="2:39">
      <c r="B1589" s="162"/>
      <c r="C1589" s="162"/>
      <c r="D1589" s="191"/>
      <c r="E1589" s="191"/>
      <c r="F1589" s="191"/>
      <c r="G1589" s="191"/>
      <c r="H1589" s="191"/>
      <c r="I1589" s="191"/>
      <c r="J1589" s="191"/>
      <c r="K1589" s="191"/>
      <c r="L1589" s="191"/>
      <c r="M1589" s="191"/>
      <c r="N1589" s="191"/>
      <c r="O1589" s="191"/>
      <c r="P1589" s="191"/>
      <c r="Q1589" s="191"/>
      <c r="R1589" s="191"/>
      <c r="S1589" s="191"/>
      <c r="T1589" s="191"/>
      <c r="U1589" s="191"/>
      <c r="V1589" s="191"/>
      <c r="W1589" s="191"/>
      <c r="X1589" s="191"/>
      <c r="Y1589" s="191"/>
      <c r="Z1589" s="191"/>
      <c r="AA1589" s="191"/>
      <c r="AB1589" s="191"/>
      <c r="AC1589" s="190"/>
      <c r="AD1589" s="190"/>
      <c r="AE1589" s="190"/>
      <c r="AF1589" s="190"/>
      <c r="AG1589" s="190"/>
      <c r="AH1589" s="190"/>
      <c r="AI1589" s="190"/>
      <c r="AJ1589" s="190"/>
      <c r="AK1589" s="190"/>
      <c r="AL1589" s="190"/>
      <c r="AM1589" s="190"/>
    </row>
    <row r="1590" spans="2:39">
      <c r="B1590" s="162"/>
      <c r="C1590" s="162"/>
      <c r="D1590" s="191"/>
      <c r="E1590" s="191"/>
      <c r="F1590" s="191"/>
      <c r="G1590" s="191"/>
      <c r="H1590" s="191"/>
      <c r="I1590" s="191"/>
      <c r="J1590" s="191"/>
      <c r="K1590" s="191"/>
      <c r="L1590" s="191"/>
      <c r="M1590" s="191"/>
      <c r="N1590" s="191"/>
      <c r="O1590" s="191"/>
      <c r="P1590" s="191"/>
      <c r="Q1590" s="191"/>
      <c r="R1590" s="191"/>
      <c r="S1590" s="191"/>
      <c r="T1590" s="191"/>
      <c r="U1590" s="191"/>
      <c r="V1590" s="191"/>
      <c r="W1590" s="191"/>
      <c r="X1590" s="191"/>
      <c r="Y1590" s="191"/>
      <c r="Z1590" s="191"/>
      <c r="AA1590" s="191"/>
      <c r="AB1590" s="191"/>
      <c r="AC1590" s="190"/>
      <c r="AD1590" s="190"/>
      <c r="AE1590" s="190"/>
      <c r="AF1590" s="190"/>
      <c r="AG1590" s="190"/>
      <c r="AH1590" s="190"/>
      <c r="AI1590" s="190"/>
      <c r="AJ1590" s="190"/>
      <c r="AK1590" s="190"/>
      <c r="AL1590" s="190"/>
      <c r="AM1590" s="190"/>
    </row>
    <row r="1591" spans="2:39">
      <c r="B1591" s="162"/>
      <c r="C1591" s="162"/>
      <c r="D1591" s="191"/>
      <c r="E1591" s="191"/>
      <c r="F1591" s="191"/>
      <c r="G1591" s="191"/>
      <c r="H1591" s="191"/>
      <c r="I1591" s="191"/>
      <c r="J1591" s="191"/>
      <c r="K1591" s="191"/>
      <c r="L1591" s="191"/>
      <c r="M1591" s="191"/>
      <c r="N1591" s="191"/>
      <c r="O1591" s="191"/>
      <c r="P1591" s="191"/>
      <c r="Q1591" s="191"/>
      <c r="R1591" s="191"/>
      <c r="S1591" s="191"/>
      <c r="T1591" s="191"/>
      <c r="U1591" s="191"/>
      <c r="V1591" s="191"/>
      <c r="W1591" s="191"/>
      <c r="X1591" s="191"/>
      <c r="Y1591" s="191"/>
      <c r="Z1591" s="191"/>
      <c r="AA1591" s="191"/>
      <c r="AB1591" s="191"/>
      <c r="AC1591" s="190"/>
      <c r="AD1591" s="190"/>
      <c r="AE1591" s="190"/>
      <c r="AF1591" s="190"/>
      <c r="AG1591" s="190"/>
      <c r="AH1591" s="190"/>
      <c r="AI1591" s="190"/>
      <c r="AJ1591" s="190"/>
      <c r="AK1591" s="190"/>
      <c r="AL1591" s="190"/>
      <c r="AM1591" s="190"/>
    </row>
    <row r="1592" spans="2:39">
      <c r="B1592" s="162"/>
      <c r="C1592" s="162"/>
      <c r="D1592" s="191"/>
      <c r="E1592" s="191"/>
      <c r="F1592" s="191"/>
      <c r="G1592" s="191"/>
      <c r="H1592" s="191"/>
      <c r="I1592" s="191"/>
      <c r="J1592" s="191"/>
      <c r="K1592" s="191"/>
      <c r="L1592" s="191"/>
      <c r="M1592" s="191"/>
      <c r="N1592" s="191"/>
      <c r="O1592" s="191"/>
      <c r="P1592" s="191"/>
      <c r="Q1592" s="191"/>
      <c r="R1592" s="191"/>
      <c r="S1592" s="191"/>
      <c r="T1592" s="191"/>
      <c r="U1592" s="191"/>
      <c r="V1592" s="191"/>
      <c r="W1592" s="191"/>
      <c r="X1592" s="191"/>
      <c r="Y1592" s="191"/>
      <c r="Z1592" s="191"/>
      <c r="AA1592" s="191"/>
      <c r="AB1592" s="191"/>
      <c r="AC1592" s="190"/>
      <c r="AD1592" s="190"/>
      <c r="AE1592" s="190"/>
      <c r="AF1592" s="190"/>
      <c r="AG1592" s="190"/>
      <c r="AH1592" s="190"/>
      <c r="AI1592" s="190"/>
      <c r="AJ1592" s="190"/>
      <c r="AK1592" s="190"/>
      <c r="AL1592" s="190"/>
      <c r="AM1592" s="190"/>
    </row>
    <row r="1593" spans="2:39">
      <c r="B1593" s="162"/>
      <c r="C1593" s="162"/>
      <c r="D1593" s="191"/>
      <c r="E1593" s="191"/>
      <c r="F1593" s="191"/>
      <c r="G1593" s="191"/>
      <c r="H1593" s="191"/>
      <c r="I1593" s="191"/>
      <c r="J1593" s="191"/>
      <c r="K1593" s="191"/>
      <c r="L1593" s="191"/>
      <c r="M1593" s="191"/>
      <c r="N1593" s="191"/>
      <c r="O1593" s="191"/>
      <c r="P1593" s="191"/>
      <c r="Q1593" s="191"/>
      <c r="R1593" s="191"/>
      <c r="S1593" s="191"/>
      <c r="T1593" s="191"/>
      <c r="U1593" s="191"/>
      <c r="V1593" s="191"/>
      <c r="W1593" s="191"/>
      <c r="X1593" s="191"/>
      <c r="Y1593" s="191"/>
      <c r="Z1593" s="191"/>
      <c r="AA1593" s="191"/>
      <c r="AB1593" s="191"/>
      <c r="AC1593" s="190"/>
      <c r="AD1593" s="190"/>
      <c r="AE1593" s="190"/>
      <c r="AF1593" s="190"/>
      <c r="AG1593" s="190"/>
      <c r="AH1593" s="190"/>
      <c r="AI1593" s="190"/>
      <c r="AJ1593" s="190"/>
      <c r="AK1593" s="190"/>
      <c r="AL1593" s="190"/>
      <c r="AM1593" s="190"/>
    </row>
    <row r="1594" spans="2:39">
      <c r="B1594" s="162"/>
      <c r="C1594" s="162"/>
      <c r="D1594" s="191"/>
      <c r="E1594" s="191"/>
      <c r="F1594" s="191"/>
      <c r="G1594" s="191"/>
      <c r="H1594" s="191"/>
      <c r="I1594" s="191"/>
      <c r="J1594" s="191"/>
      <c r="K1594" s="191"/>
      <c r="L1594" s="191"/>
      <c r="M1594" s="191"/>
      <c r="N1594" s="191"/>
      <c r="O1594" s="191"/>
      <c r="P1594" s="191"/>
      <c r="Q1594" s="191"/>
      <c r="R1594" s="191"/>
      <c r="S1594" s="191"/>
      <c r="T1594" s="191"/>
      <c r="U1594" s="191"/>
      <c r="V1594" s="191"/>
      <c r="W1594" s="191"/>
      <c r="X1594" s="191"/>
      <c r="Y1594" s="191"/>
      <c r="Z1594" s="191"/>
      <c r="AA1594" s="191"/>
      <c r="AB1594" s="191"/>
      <c r="AC1594" s="190"/>
      <c r="AD1594" s="190"/>
      <c r="AE1594" s="190"/>
      <c r="AF1594" s="190"/>
      <c r="AG1594" s="190"/>
      <c r="AH1594" s="190"/>
      <c r="AI1594" s="190"/>
      <c r="AJ1594" s="190"/>
      <c r="AK1594" s="190"/>
      <c r="AL1594" s="190"/>
      <c r="AM1594" s="190"/>
    </row>
    <row r="1595" spans="2:39">
      <c r="B1595" s="162"/>
      <c r="C1595" s="162"/>
      <c r="D1595" s="191"/>
      <c r="E1595" s="191"/>
      <c r="F1595" s="191"/>
      <c r="G1595" s="191"/>
      <c r="H1595" s="191"/>
      <c r="I1595" s="191"/>
      <c r="J1595" s="191"/>
      <c r="K1595" s="191"/>
      <c r="L1595" s="191"/>
      <c r="M1595" s="191"/>
      <c r="N1595" s="191"/>
      <c r="O1595" s="191"/>
      <c r="P1595" s="191"/>
      <c r="Q1595" s="191"/>
      <c r="R1595" s="191"/>
      <c r="S1595" s="191"/>
      <c r="T1595" s="191"/>
      <c r="U1595" s="191"/>
      <c r="V1595" s="191"/>
      <c r="W1595" s="191"/>
      <c r="X1595" s="191"/>
      <c r="Y1595" s="191"/>
      <c r="Z1595" s="191"/>
      <c r="AA1595" s="191"/>
      <c r="AB1595" s="191"/>
      <c r="AC1595" s="190"/>
      <c r="AD1595" s="190"/>
      <c r="AE1595" s="190"/>
      <c r="AF1595" s="190"/>
      <c r="AG1595" s="190"/>
      <c r="AH1595" s="190"/>
      <c r="AI1595" s="190"/>
      <c r="AJ1595" s="190"/>
      <c r="AK1595" s="190"/>
      <c r="AL1595" s="190"/>
      <c r="AM1595" s="190"/>
    </row>
    <row r="1596" spans="2:39">
      <c r="B1596" s="162"/>
      <c r="C1596" s="162"/>
      <c r="D1596" s="191"/>
      <c r="E1596" s="191"/>
      <c r="F1596" s="191"/>
      <c r="G1596" s="191"/>
      <c r="H1596" s="191"/>
      <c r="I1596" s="191"/>
      <c r="J1596" s="191"/>
      <c r="K1596" s="191"/>
      <c r="L1596" s="191"/>
      <c r="M1596" s="191"/>
      <c r="N1596" s="191"/>
      <c r="O1596" s="191"/>
      <c r="P1596" s="191"/>
      <c r="Q1596" s="191"/>
      <c r="R1596" s="191"/>
      <c r="S1596" s="191"/>
      <c r="T1596" s="191"/>
      <c r="U1596" s="191"/>
      <c r="V1596" s="191"/>
      <c r="W1596" s="191"/>
      <c r="X1596" s="191"/>
      <c r="Y1596" s="191"/>
      <c r="Z1596" s="191"/>
      <c r="AA1596" s="191"/>
      <c r="AB1596" s="191"/>
      <c r="AC1596" s="190"/>
      <c r="AD1596" s="190"/>
      <c r="AE1596" s="190"/>
      <c r="AF1596" s="190"/>
      <c r="AG1596" s="190"/>
      <c r="AH1596" s="190"/>
      <c r="AI1596" s="190"/>
      <c r="AJ1596" s="190"/>
      <c r="AK1596" s="190"/>
      <c r="AL1596" s="190"/>
      <c r="AM1596" s="190"/>
    </row>
    <row r="1597" spans="2:39">
      <c r="B1597" s="162"/>
      <c r="C1597" s="162"/>
      <c r="D1597" s="191"/>
      <c r="E1597" s="191"/>
      <c r="F1597" s="191"/>
      <c r="G1597" s="191"/>
      <c r="H1597" s="191"/>
      <c r="I1597" s="191"/>
      <c r="J1597" s="191"/>
      <c r="K1597" s="191"/>
      <c r="L1597" s="191"/>
      <c r="M1597" s="191"/>
      <c r="N1597" s="191"/>
      <c r="O1597" s="191"/>
      <c r="P1597" s="191"/>
      <c r="Q1597" s="191"/>
      <c r="R1597" s="191"/>
      <c r="S1597" s="191"/>
      <c r="T1597" s="191"/>
      <c r="U1597" s="191"/>
      <c r="V1597" s="191"/>
      <c r="W1597" s="191"/>
      <c r="X1597" s="191"/>
      <c r="Y1597" s="191"/>
      <c r="Z1597" s="191"/>
      <c r="AA1597" s="191"/>
      <c r="AB1597" s="191"/>
      <c r="AC1597" s="190"/>
      <c r="AD1597" s="190"/>
      <c r="AE1597" s="190"/>
      <c r="AF1597" s="190"/>
      <c r="AG1597" s="190"/>
      <c r="AH1597" s="190"/>
      <c r="AI1597" s="190"/>
      <c r="AJ1597" s="190"/>
      <c r="AK1597" s="190"/>
      <c r="AL1597" s="190"/>
      <c r="AM1597" s="190"/>
    </row>
    <row r="1598" spans="2:39">
      <c r="B1598" s="162"/>
      <c r="C1598" s="162"/>
      <c r="D1598" s="191"/>
      <c r="E1598" s="191"/>
      <c r="F1598" s="191"/>
      <c r="G1598" s="191"/>
      <c r="H1598" s="191"/>
      <c r="I1598" s="191"/>
      <c r="J1598" s="191"/>
      <c r="K1598" s="191"/>
      <c r="L1598" s="191"/>
      <c r="M1598" s="191"/>
      <c r="N1598" s="191"/>
      <c r="O1598" s="191"/>
      <c r="P1598" s="191"/>
      <c r="Q1598" s="191"/>
      <c r="R1598" s="191"/>
      <c r="S1598" s="191"/>
      <c r="T1598" s="191"/>
      <c r="U1598" s="191"/>
      <c r="V1598" s="191"/>
      <c r="W1598" s="191"/>
      <c r="X1598" s="191"/>
      <c r="Y1598" s="191"/>
      <c r="Z1598" s="191"/>
      <c r="AA1598" s="191"/>
      <c r="AB1598" s="191"/>
      <c r="AC1598" s="190"/>
      <c r="AD1598" s="190"/>
      <c r="AE1598" s="190"/>
      <c r="AF1598" s="190"/>
      <c r="AG1598" s="190"/>
      <c r="AH1598" s="190"/>
      <c r="AI1598" s="190"/>
      <c r="AJ1598" s="190"/>
      <c r="AK1598" s="190"/>
      <c r="AL1598" s="190"/>
      <c r="AM1598" s="190"/>
    </row>
    <row r="1599" spans="2:39">
      <c r="B1599" s="162"/>
      <c r="C1599" s="162"/>
      <c r="D1599" s="191"/>
      <c r="E1599" s="191"/>
      <c r="F1599" s="191"/>
      <c r="G1599" s="191"/>
      <c r="H1599" s="191"/>
      <c r="I1599" s="191"/>
      <c r="J1599" s="191"/>
      <c r="K1599" s="191"/>
      <c r="L1599" s="191"/>
      <c r="M1599" s="191"/>
      <c r="N1599" s="191"/>
      <c r="O1599" s="191"/>
      <c r="P1599" s="191"/>
      <c r="Q1599" s="191"/>
      <c r="R1599" s="191"/>
      <c r="S1599" s="191"/>
      <c r="T1599" s="191"/>
      <c r="U1599" s="191"/>
      <c r="V1599" s="191"/>
      <c r="W1599" s="191"/>
      <c r="X1599" s="191"/>
      <c r="Y1599" s="191"/>
      <c r="Z1599" s="191"/>
      <c r="AA1599" s="191"/>
      <c r="AB1599" s="191"/>
      <c r="AC1599" s="190"/>
      <c r="AD1599" s="190"/>
      <c r="AE1599" s="190"/>
      <c r="AF1599" s="190"/>
      <c r="AG1599" s="190"/>
      <c r="AH1599" s="190"/>
      <c r="AI1599" s="190"/>
      <c r="AJ1599" s="190"/>
      <c r="AK1599" s="190"/>
      <c r="AL1599" s="190"/>
      <c r="AM1599" s="190"/>
    </row>
    <row r="1600" spans="2:39">
      <c r="B1600" s="162"/>
      <c r="C1600" s="162"/>
      <c r="D1600" s="191"/>
      <c r="E1600" s="191"/>
      <c r="F1600" s="191"/>
      <c r="G1600" s="191"/>
      <c r="H1600" s="191"/>
      <c r="I1600" s="191"/>
      <c r="J1600" s="191"/>
      <c r="K1600" s="191"/>
      <c r="L1600" s="191"/>
      <c r="M1600" s="191"/>
      <c r="N1600" s="191"/>
      <c r="O1600" s="191"/>
      <c r="P1600" s="191"/>
      <c r="Q1600" s="191"/>
      <c r="R1600" s="191"/>
      <c r="S1600" s="191"/>
      <c r="T1600" s="191"/>
      <c r="U1600" s="191"/>
      <c r="V1600" s="191"/>
      <c r="W1600" s="191"/>
      <c r="X1600" s="191"/>
      <c r="Y1600" s="191"/>
      <c r="Z1600" s="191"/>
      <c r="AA1600" s="191"/>
      <c r="AB1600" s="191"/>
      <c r="AC1600" s="190"/>
      <c r="AD1600" s="190"/>
      <c r="AE1600" s="190"/>
      <c r="AF1600" s="190"/>
      <c r="AG1600" s="190"/>
      <c r="AH1600" s="190"/>
      <c r="AI1600" s="190"/>
      <c r="AJ1600" s="190"/>
      <c r="AK1600" s="190"/>
      <c r="AL1600" s="190"/>
      <c r="AM1600" s="190"/>
    </row>
    <row r="1601" spans="2:39">
      <c r="B1601" s="162"/>
      <c r="C1601" s="162"/>
      <c r="D1601" s="191"/>
      <c r="E1601" s="191"/>
      <c r="F1601" s="191"/>
      <c r="G1601" s="191"/>
      <c r="H1601" s="191"/>
      <c r="I1601" s="191"/>
      <c r="J1601" s="191"/>
      <c r="K1601" s="191"/>
      <c r="L1601" s="191"/>
      <c r="M1601" s="191"/>
      <c r="N1601" s="191"/>
      <c r="O1601" s="191"/>
      <c r="P1601" s="191"/>
      <c r="Q1601" s="191"/>
      <c r="R1601" s="191"/>
      <c r="S1601" s="191"/>
      <c r="T1601" s="191"/>
      <c r="U1601" s="191"/>
      <c r="V1601" s="191"/>
      <c r="W1601" s="191"/>
      <c r="X1601" s="191"/>
      <c r="Y1601" s="191"/>
      <c r="Z1601" s="191"/>
      <c r="AA1601" s="191"/>
      <c r="AB1601" s="191"/>
      <c r="AC1601" s="190"/>
      <c r="AD1601" s="190"/>
      <c r="AE1601" s="190"/>
      <c r="AF1601" s="190"/>
      <c r="AG1601" s="190"/>
      <c r="AH1601" s="190"/>
      <c r="AI1601" s="190"/>
      <c r="AJ1601" s="190"/>
      <c r="AK1601" s="190"/>
      <c r="AL1601" s="190"/>
      <c r="AM1601" s="190"/>
    </row>
    <row r="1602" spans="2:39">
      <c r="B1602" s="162"/>
      <c r="C1602" s="162"/>
      <c r="D1602" s="191"/>
      <c r="E1602" s="191"/>
      <c r="F1602" s="191"/>
      <c r="G1602" s="191"/>
      <c r="H1602" s="191"/>
      <c r="I1602" s="191"/>
      <c r="J1602" s="191"/>
      <c r="K1602" s="191"/>
      <c r="L1602" s="191"/>
      <c r="M1602" s="191"/>
      <c r="N1602" s="191"/>
      <c r="O1602" s="191"/>
      <c r="P1602" s="191"/>
      <c r="Q1602" s="191"/>
      <c r="R1602" s="191"/>
      <c r="S1602" s="191"/>
      <c r="T1602" s="191"/>
      <c r="U1602" s="191"/>
      <c r="V1602" s="191"/>
      <c r="W1602" s="191"/>
      <c r="X1602" s="191"/>
      <c r="Y1602" s="191"/>
      <c r="Z1602" s="191"/>
      <c r="AA1602" s="191"/>
      <c r="AB1602" s="191"/>
      <c r="AC1602" s="190"/>
      <c r="AD1602" s="190"/>
      <c r="AE1602" s="190"/>
      <c r="AF1602" s="190"/>
      <c r="AG1602" s="190"/>
      <c r="AH1602" s="190"/>
      <c r="AI1602" s="190"/>
      <c r="AJ1602" s="190"/>
      <c r="AK1602" s="190"/>
      <c r="AL1602" s="190"/>
      <c r="AM1602" s="190"/>
    </row>
    <row r="1603" spans="2:39">
      <c r="B1603" s="162"/>
      <c r="C1603" s="162"/>
      <c r="D1603" s="191"/>
      <c r="E1603" s="191"/>
      <c r="F1603" s="191"/>
      <c r="G1603" s="191"/>
      <c r="H1603" s="191"/>
      <c r="I1603" s="191"/>
      <c r="J1603" s="191"/>
      <c r="K1603" s="191"/>
      <c r="L1603" s="191"/>
      <c r="M1603" s="191"/>
      <c r="N1603" s="191"/>
      <c r="O1603" s="191"/>
      <c r="P1603" s="191"/>
      <c r="Q1603" s="191"/>
      <c r="R1603" s="191"/>
      <c r="S1603" s="191"/>
      <c r="T1603" s="191"/>
      <c r="U1603" s="191"/>
      <c r="V1603" s="191"/>
      <c r="W1603" s="191"/>
      <c r="X1603" s="191"/>
      <c r="Y1603" s="191"/>
      <c r="Z1603" s="191"/>
      <c r="AA1603" s="191"/>
      <c r="AB1603" s="191"/>
      <c r="AC1603" s="190"/>
      <c r="AD1603" s="190"/>
      <c r="AE1603" s="190"/>
      <c r="AF1603" s="190"/>
      <c r="AG1603" s="190"/>
      <c r="AH1603" s="190"/>
      <c r="AI1603" s="190"/>
      <c r="AJ1603" s="190"/>
      <c r="AK1603" s="190"/>
      <c r="AL1603" s="190"/>
      <c r="AM1603" s="190"/>
    </row>
    <row r="1604" spans="2:39">
      <c r="B1604" s="162"/>
      <c r="C1604" s="162"/>
      <c r="D1604" s="191"/>
      <c r="E1604" s="191"/>
      <c r="F1604" s="191"/>
      <c r="G1604" s="191"/>
      <c r="H1604" s="191"/>
      <c r="I1604" s="191"/>
      <c r="J1604" s="191"/>
      <c r="K1604" s="191"/>
      <c r="L1604" s="191"/>
      <c r="M1604" s="191"/>
      <c r="N1604" s="191"/>
      <c r="O1604" s="191"/>
      <c r="P1604" s="191"/>
      <c r="Q1604" s="191"/>
      <c r="R1604" s="191"/>
      <c r="S1604" s="191"/>
      <c r="T1604" s="191"/>
      <c r="U1604" s="191"/>
      <c r="V1604" s="191"/>
      <c r="W1604" s="191"/>
      <c r="X1604" s="191"/>
      <c r="Y1604" s="191"/>
      <c r="Z1604" s="191"/>
      <c r="AA1604" s="191"/>
      <c r="AB1604" s="191"/>
      <c r="AC1604" s="190"/>
      <c r="AD1604" s="190"/>
      <c r="AE1604" s="190"/>
      <c r="AF1604" s="190"/>
      <c r="AG1604" s="190"/>
      <c r="AH1604" s="190"/>
      <c r="AI1604" s="190"/>
      <c r="AJ1604" s="190"/>
      <c r="AK1604" s="190"/>
      <c r="AL1604" s="190"/>
      <c r="AM1604" s="190"/>
    </row>
    <row r="1605" spans="2:39">
      <c r="B1605" s="162"/>
      <c r="C1605" s="162"/>
      <c r="D1605" s="191"/>
      <c r="E1605" s="191"/>
      <c r="F1605" s="191"/>
      <c r="G1605" s="191"/>
      <c r="H1605" s="191"/>
      <c r="I1605" s="191"/>
      <c r="J1605" s="191"/>
      <c r="K1605" s="191"/>
      <c r="L1605" s="191"/>
      <c r="M1605" s="191"/>
      <c r="N1605" s="191"/>
      <c r="O1605" s="191"/>
      <c r="P1605" s="191"/>
      <c r="Q1605" s="191"/>
      <c r="R1605" s="191"/>
      <c r="S1605" s="191"/>
      <c r="T1605" s="191"/>
      <c r="U1605" s="191"/>
      <c r="V1605" s="191"/>
      <c r="W1605" s="191"/>
      <c r="X1605" s="191"/>
      <c r="Y1605" s="191"/>
      <c r="Z1605" s="191"/>
      <c r="AA1605" s="191"/>
      <c r="AB1605" s="191"/>
      <c r="AC1605" s="190"/>
      <c r="AD1605" s="190"/>
      <c r="AE1605" s="190"/>
      <c r="AF1605" s="190"/>
      <c r="AG1605" s="190"/>
      <c r="AH1605" s="190"/>
      <c r="AI1605" s="190"/>
      <c r="AJ1605" s="190"/>
      <c r="AK1605" s="190"/>
      <c r="AL1605" s="190"/>
      <c r="AM1605" s="190"/>
    </row>
    <row r="1606" spans="2:39">
      <c r="B1606" s="162"/>
      <c r="C1606" s="162"/>
      <c r="D1606" s="191"/>
      <c r="E1606" s="191"/>
      <c r="F1606" s="191"/>
      <c r="G1606" s="191"/>
      <c r="H1606" s="191"/>
      <c r="I1606" s="191"/>
      <c r="J1606" s="191"/>
      <c r="K1606" s="191"/>
      <c r="L1606" s="191"/>
      <c r="M1606" s="191"/>
      <c r="N1606" s="191"/>
      <c r="O1606" s="191"/>
      <c r="P1606" s="191"/>
      <c r="Q1606" s="191"/>
      <c r="R1606" s="191"/>
      <c r="S1606" s="191"/>
      <c r="T1606" s="191"/>
      <c r="U1606" s="191"/>
      <c r="V1606" s="191"/>
      <c r="W1606" s="191"/>
      <c r="X1606" s="191"/>
      <c r="Y1606" s="191"/>
      <c r="Z1606" s="191"/>
      <c r="AA1606" s="191"/>
      <c r="AB1606" s="191"/>
      <c r="AC1606" s="190"/>
      <c r="AD1606" s="190"/>
      <c r="AE1606" s="190"/>
      <c r="AF1606" s="190"/>
      <c r="AG1606" s="190"/>
      <c r="AH1606" s="190"/>
      <c r="AI1606" s="190"/>
      <c r="AJ1606" s="190"/>
      <c r="AK1606" s="190"/>
      <c r="AL1606" s="190"/>
      <c r="AM1606" s="190"/>
    </row>
    <row r="1607" spans="2:39">
      <c r="B1607" s="162"/>
      <c r="C1607" s="162"/>
      <c r="D1607" s="191"/>
      <c r="E1607" s="191"/>
      <c r="F1607" s="191"/>
      <c r="G1607" s="191"/>
      <c r="H1607" s="191"/>
      <c r="I1607" s="191"/>
      <c r="J1607" s="191"/>
      <c r="K1607" s="191"/>
      <c r="L1607" s="191"/>
      <c r="M1607" s="191"/>
      <c r="N1607" s="191"/>
      <c r="O1607" s="191"/>
      <c r="P1607" s="191"/>
      <c r="Q1607" s="191"/>
      <c r="R1607" s="191"/>
      <c r="S1607" s="191"/>
      <c r="T1607" s="191"/>
      <c r="U1607" s="191"/>
      <c r="V1607" s="191"/>
      <c r="W1607" s="191"/>
      <c r="X1607" s="191"/>
      <c r="Y1607" s="191"/>
      <c r="Z1607" s="191"/>
      <c r="AA1607" s="191"/>
      <c r="AB1607" s="191"/>
      <c r="AC1607" s="190"/>
      <c r="AD1607" s="190"/>
      <c r="AE1607" s="190"/>
      <c r="AF1607" s="190"/>
      <c r="AG1607" s="190"/>
      <c r="AH1607" s="190"/>
      <c r="AI1607" s="190"/>
      <c r="AJ1607" s="190"/>
      <c r="AK1607" s="190"/>
      <c r="AL1607" s="190"/>
      <c r="AM1607" s="190"/>
    </row>
    <row r="1608" spans="2:39">
      <c r="B1608" s="162"/>
      <c r="C1608" s="162"/>
      <c r="D1608" s="191"/>
      <c r="E1608" s="191"/>
      <c r="F1608" s="191"/>
      <c r="G1608" s="191"/>
      <c r="H1608" s="191"/>
      <c r="I1608" s="191"/>
      <c r="J1608" s="191"/>
      <c r="K1608" s="191"/>
      <c r="L1608" s="191"/>
      <c r="M1608" s="191"/>
      <c r="N1608" s="191"/>
      <c r="O1608" s="191"/>
      <c r="P1608" s="191"/>
      <c r="Q1608" s="191"/>
      <c r="R1608" s="191"/>
      <c r="S1608" s="191"/>
      <c r="T1608" s="191"/>
      <c r="U1608" s="191"/>
      <c r="V1608" s="191"/>
      <c r="W1608" s="191"/>
      <c r="X1608" s="191"/>
      <c r="Y1608" s="191"/>
      <c r="Z1608" s="191"/>
      <c r="AA1608" s="191"/>
      <c r="AB1608" s="191"/>
      <c r="AC1608" s="190"/>
      <c r="AD1608" s="190"/>
      <c r="AE1608" s="190"/>
      <c r="AF1608" s="190"/>
      <c r="AG1608" s="190"/>
      <c r="AH1608" s="190"/>
      <c r="AI1608" s="190"/>
      <c r="AJ1608" s="190"/>
      <c r="AK1608" s="190"/>
      <c r="AL1608" s="190"/>
      <c r="AM1608" s="190"/>
    </row>
    <row r="1609" spans="2:39">
      <c r="B1609" s="162"/>
      <c r="C1609" s="162"/>
      <c r="D1609" s="191"/>
      <c r="E1609" s="191"/>
      <c r="F1609" s="191"/>
      <c r="G1609" s="191"/>
      <c r="H1609" s="191"/>
      <c r="I1609" s="191"/>
      <c r="J1609" s="191"/>
      <c r="K1609" s="191"/>
      <c r="L1609" s="191"/>
      <c r="M1609" s="191"/>
      <c r="N1609" s="191"/>
      <c r="O1609" s="191"/>
      <c r="P1609" s="191"/>
      <c r="Q1609" s="191"/>
      <c r="R1609" s="191"/>
      <c r="S1609" s="191"/>
      <c r="T1609" s="191"/>
      <c r="U1609" s="191"/>
      <c r="V1609" s="191"/>
      <c r="W1609" s="191"/>
      <c r="X1609" s="191"/>
      <c r="Y1609" s="191"/>
      <c r="Z1609" s="191"/>
      <c r="AA1609" s="191"/>
      <c r="AB1609" s="191"/>
      <c r="AC1609" s="190"/>
      <c r="AD1609" s="190"/>
      <c r="AE1609" s="190"/>
      <c r="AF1609" s="190"/>
      <c r="AG1609" s="190"/>
      <c r="AH1609" s="190"/>
      <c r="AI1609" s="190"/>
      <c r="AJ1609" s="190"/>
      <c r="AK1609" s="190"/>
      <c r="AL1609" s="190"/>
      <c r="AM1609" s="190"/>
    </row>
  </sheetData>
  <mergeCells count="2">
    <mergeCell ref="BL19:BN19"/>
    <mergeCell ref="BL63:BN63"/>
  </mergeCells>
  <pageMargins left="0.75" right="0.75" top="1" bottom="1" header="0.5" footer="0.5"/>
  <pageSetup paperSize="9" orientation="landscape"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2:AE76"/>
  <sheetViews>
    <sheetView topLeftCell="D22" zoomScale="60" zoomScaleNormal="60" workbookViewId="0">
      <selection activeCell="AC36" sqref="AC36"/>
    </sheetView>
  </sheetViews>
  <sheetFormatPr defaultColWidth="8.77734375" defaultRowHeight="13.2"/>
  <cols>
    <col min="2" max="2" width="13.33203125" bestFit="1" customWidth="1"/>
    <col min="3" max="3" width="66.77734375" bestFit="1" customWidth="1"/>
    <col min="4" max="4" width="14" bestFit="1" customWidth="1"/>
    <col min="5" max="5" width="9.44140625" bestFit="1" customWidth="1"/>
    <col min="19" max="19" width="16.21875" bestFit="1" customWidth="1"/>
    <col min="20" max="20" width="14.6640625" bestFit="1" customWidth="1"/>
    <col min="21" max="21" width="6.6640625" customWidth="1"/>
  </cols>
  <sheetData>
    <row r="2" spans="2:31" ht="21.6" thickBot="1">
      <c r="B2" s="508" t="s">
        <v>284</v>
      </c>
      <c r="C2" s="227"/>
      <c r="D2" s="228"/>
      <c r="E2" s="229" t="s">
        <v>181</v>
      </c>
      <c r="F2" s="229"/>
      <c r="G2" s="271">
        <v>1.02</v>
      </c>
      <c r="H2" s="271"/>
      <c r="I2" s="271"/>
      <c r="J2" s="230"/>
      <c r="K2" s="230"/>
      <c r="L2" s="643" t="s">
        <v>905</v>
      </c>
      <c r="M2" s="231"/>
      <c r="N2" s="232"/>
      <c r="O2" s="232"/>
      <c r="P2" s="227"/>
      <c r="Q2" s="227"/>
      <c r="R2" s="233"/>
      <c r="S2" s="295"/>
      <c r="T2" s="233"/>
      <c r="U2" s="233"/>
      <c r="V2" s="233"/>
      <c r="W2" s="233"/>
      <c r="X2" s="233"/>
      <c r="Y2" s="233"/>
      <c r="Z2" s="227"/>
      <c r="AA2" s="227"/>
    </row>
    <row r="3" spans="2:31" ht="14.4">
      <c r="B3" s="226"/>
      <c r="C3" s="227"/>
      <c r="D3" s="228"/>
      <c r="E3" s="229"/>
      <c r="F3" s="229"/>
      <c r="G3" s="271"/>
      <c r="H3" s="271"/>
      <c r="I3" s="271"/>
      <c r="J3" s="230"/>
      <c r="K3" s="230"/>
      <c r="L3" s="230"/>
      <c r="M3" s="232"/>
      <c r="N3" s="227"/>
      <c r="O3" s="227"/>
      <c r="P3" s="233"/>
      <c r="Q3" s="295"/>
      <c r="R3" s="233"/>
      <c r="S3" s="233"/>
      <c r="T3" s="266" t="s">
        <v>193</v>
      </c>
      <c r="U3" s="233"/>
      <c r="V3" s="233"/>
      <c r="W3" s="233"/>
      <c r="X3" s="227"/>
      <c r="Y3" s="227"/>
      <c r="Z3" s="227"/>
      <c r="AA3" s="227"/>
    </row>
    <row r="4" spans="2:31" ht="14.4" thickBot="1">
      <c r="B4" s="227"/>
      <c r="C4" s="227"/>
      <c r="D4" s="230"/>
      <c r="E4" s="230"/>
      <c r="F4" s="234" t="s">
        <v>8</v>
      </c>
      <c r="G4" s="230"/>
      <c r="H4" s="234"/>
      <c r="I4" s="234"/>
      <c r="J4" s="234"/>
      <c r="K4" s="234"/>
      <c r="L4" s="234"/>
      <c r="M4" s="235"/>
      <c r="N4" s="227"/>
      <c r="O4" s="233"/>
      <c r="P4" s="233"/>
      <c r="Q4" s="268"/>
      <c r="R4" s="233"/>
      <c r="S4" s="233"/>
      <c r="T4" s="267">
        <v>3.5999999999999999E-3</v>
      </c>
      <c r="U4" s="233"/>
      <c r="V4" s="438" t="s">
        <v>906</v>
      </c>
      <c r="W4" s="439" t="s">
        <v>933</v>
      </c>
      <c r="X4" s="440" t="s">
        <v>934</v>
      </c>
      <c r="Y4" s="438" t="s">
        <v>906</v>
      </c>
      <c r="Z4" s="439" t="s">
        <v>933</v>
      </c>
      <c r="AA4" s="440" t="s">
        <v>934</v>
      </c>
    </row>
    <row r="5" spans="2:31" ht="27.6">
      <c r="B5" s="238" t="s">
        <v>2</v>
      </c>
      <c r="C5" s="238" t="s">
        <v>26</v>
      </c>
      <c r="D5" s="238" t="s">
        <v>14</v>
      </c>
      <c r="E5" s="238" t="s">
        <v>15</v>
      </c>
      <c r="F5" s="422" t="s">
        <v>108</v>
      </c>
      <c r="G5" s="239" t="s">
        <v>907</v>
      </c>
      <c r="H5" s="239" t="s">
        <v>935</v>
      </c>
      <c r="I5" s="239" t="s">
        <v>936</v>
      </c>
      <c r="J5" s="240" t="s">
        <v>908</v>
      </c>
      <c r="K5" s="240" t="s">
        <v>937</v>
      </c>
      <c r="L5" s="240" t="s">
        <v>938</v>
      </c>
      <c r="M5" s="238" t="s">
        <v>0</v>
      </c>
      <c r="N5" s="238" t="s">
        <v>184</v>
      </c>
      <c r="O5" s="239" t="s">
        <v>107</v>
      </c>
      <c r="P5" s="227"/>
      <c r="Q5" s="227"/>
      <c r="R5" s="227"/>
      <c r="S5" s="227"/>
      <c r="T5" s="227"/>
      <c r="U5" s="227"/>
      <c r="V5" s="273" t="s">
        <v>81</v>
      </c>
      <c r="W5" s="272" t="s">
        <v>81</v>
      </c>
      <c r="X5" s="441" t="s">
        <v>81</v>
      </c>
      <c r="Y5" s="273" t="s">
        <v>77</v>
      </c>
      <c r="Z5" s="272" t="s">
        <v>77</v>
      </c>
      <c r="AA5" s="441" t="s">
        <v>77</v>
      </c>
    </row>
    <row r="6" spans="2:31" ht="21" thickBot="1">
      <c r="B6" s="242" t="s">
        <v>27</v>
      </c>
      <c r="C6" s="242"/>
      <c r="D6" s="242"/>
      <c r="E6" s="242"/>
      <c r="F6" s="243"/>
      <c r="G6" s="243" t="s">
        <v>65</v>
      </c>
      <c r="H6" s="243" t="s">
        <v>65</v>
      </c>
      <c r="I6" s="243" t="s">
        <v>65</v>
      </c>
      <c r="J6" s="243" t="s">
        <v>75</v>
      </c>
      <c r="K6" s="243" t="s">
        <v>75</v>
      </c>
      <c r="L6" s="243" t="s">
        <v>75</v>
      </c>
      <c r="M6" s="242"/>
      <c r="N6" s="242" t="s">
        <v>775</v>
      </c>
      <c r="O6" s="242" t="s">
        <v>108</v>
      </c>
      <c r="P6" s="227"/>
      <c r="Q6" s="227"/>
      <c r="R6" s="227"/>
      <c r="S6" s="227"/>
      <c r="T6" s="227"/>
      <c r="U6" s="227" t="s">
        <v>108</v>
      </c>
      <c r="V6" s="275" t="s">
        <v>48</v>
      </c>
      <c r="W6" s="459" t="s">
        <v>48</v>
      </c>
      <c r="X6" s="442" t="s">
        <v>48</v>
      </c>
      <c r="Y6" s="275" t="s">
        <v>76</v>
      </c>
      <c r="Z6" s="274" t="s">
        <v>76</v>
      </c>
      <c r="AA6" s="442" t="s">
        <v>76</v>
      </c>
    </row>
    <row r="7" spans="2:31" ht="14.4">
      <c r="B7" s="233" t="str">
        <f>Processes!D39</f>
        <v>RFTLPGE1</v>
      </c>
      <c r="C7" s="233" t="str">
        <f>Processes!E39</f>
        <v>Residential Food (Cooking) Technology   - LPG - Existing 1</v>
      </c>
      <c r="D7" s="230" t="str">
        <f>Commodities!$C$20</f>
        <v>RESLPG</v>
      </c>
      <c r="E7" s="230" t="str">
        <f>Commodities!$C$17</f>
        <v>RFDEM</v>
      </c>
      <c r="F7" s="230">
        <v>2010</v>
      </c>
      <c r="G7" s="250">
        <f t="shared" ref="G7:H9" si="0">ROUNDUP(Y7/($M7*$N7)*$G$2,2)</f>
        <v>0</v>
      </c>
      <c r="H7" s="250">
        <f t="shared" si="0"/>
        <v>0</v>
      </c>
      <c r="I7" s="250">
        <f t="shared" ref="I7:I16" si="1">ROUNDUP(AA7/($M7*$N7)*$G$2,2)</f>
        <v>0</v>
      </c>
      <c r="J7" s="462">
        <v>0.5</v>
      </c>
      <c r="K7" s="462">
        <v>0.5</v>
      </c>
      <c r="L7" s="462">
        <v>0.5</v>
      </c>
      <c r="M7" s="244">
        <f t="shared" ref="M7:M22" si="2">31.536/1000</f>
        <v>3.1536000000000002E-2</v>
      </c>
      <c r="N7" s="460">
        <v>1</v>
      </c>
      <c r="O7" s="245">
        <v>30</v>
      </c>
      <c r="P7" s="227"/>
      <c r="Q7" s="268"/>
      <c r="R7" s="268" t="str">
        <f>B2</f>
        <v>Cooking</v>
      </c>
      <c r="S7" s="603" t="s">
        <v>790</v>
      </c>
      <c r="T7" s="246" t="s">
        <v>187</v>
      </c>
      <c r="U7" s="246">
        <v>2010</v>
      </c>
      <c r="V7" s="434" cm="1">
        <f t="array" ref="V7">_xlfn.IFNA(INDEX('Data manipulation'!$C$23:$N$125,MATCH($S7&amp;$R7,'Data manipulation'!$B$23:$B$125&amp;'Data manipulation'!$A$23:$A$125,0),MATCH($U7,'Data manipulation'!$C$22:$N$22,0))/1000,0)*SUMIFS('Regional split'!$F$4:$F$6,'Regional split'!$B$4:$B$6,V$4)</f>
        <v>0</v>
      </c>
      <c r="W7" s="434" cm="1">
        <f t="array" ref="W7">_xlfn.IFNA(INDEX('Data manipulation'!$C$23:$N$125,MATCH($S7&amp;$R7,'Data manipulation'!$B$23:$B$125&amp;'Data manipulation'!$A$23:$A$125,0),MATCH($U7,'Data manipulation'!$C$22:$N$22,0))/1000,0)*SUMIFS('Regional split'!$F$4:$F$6,'Regional split'!$B$4:$B$6,W$4)</f>
        <v>0</v>
      </c>
      <c r="X7" s="434" cm="1">
        <f t="array" ref="X7">_xlfn.IFNA(INDEX('Data manipulation'!$C$23:$N$125,MATCH($S7&amp;$R7,'Data manipulation'!$B$23:$B$125&amp;'Data manipulation'!$A$23:$A$125,0),MATCH($U7,'Data manipulation'!$C$22:$N$22,0))/1000,0)*SUMIFS('Regional split'!$F$4:$F$6,'Regional split'!$B$4:$B$6,X$4)</f>
        <v>0</v>
      </c>
      <c r="Y7" s="445">
        <f t="shared" ref="Y7:Z16" si="3">V7*J7</f>
        <v>0</v>
      </c>
      <c r="Z7" s="570">
        <f t="shared" si="3"/>
        <v>0</v>
      </c>
      <c r="AA7" s="446">
        <f t="shared" ref="AA7" si="4">X7*L7</f>
        <v>0</v>
      </c>
      <c r="AC7" s="568"/>
      <c r="AD7" s="569"/>
      <c r="AE7" s="569"/>
    </row>
    <row r="8" spans="2:31" ht="15" customHeight="1">
      <c r="B8" s="233" t="str">
        <f>Processes!D40</f>
        <v>RFTNGAE1</v>
      </c>
      <c r="C8" s="233" t="str">
        <f>Processes!E40</f>
        <v>Residential Food (Cooking) Technology   - Natural Gas - Existing 1</v>
      </c>
      <c r="D8" s="230" t="str">
        <f>Commodities!$C$18</f>
        <v>RESNGA</v>
      </c>
      <c r="E8" s="230" t="str">
        <f>Commodities!$C$17</f>
        <v>RFDEM</v>
      </c>
      <c r="F8" s="259">
        <v>2010</v>
      </c>
      <c r="G8" s="250">
        <f t="shared" si="0"/>
        <v>39.44</v>
      </c>
      <c r="H8" s="250">
        <f t="shared" si="0"/>
        <v>0</v>
      </c>
      <c r="I8" s="250">
        <f t="shared" si="1"/>
        <v>0</v>
      </c>
      <c r="J8" s="462">
        <v>0.5</v>
      </c>
      <c r="K8" s="462">
        <v>0.5</v>
      </c>
      <c r="L8" s="462">
        <v>0.5</v>
      </c>
      <c r="M8" s="244">
        <f t="shared" si="2"/>
        <v>3.1536000000000002E-2</v>
      </c>
      <c r="N8" s="460">
        <v>1</v>
      </c>
      <c r="O8" s="245">
        <v>30</v>
      </c>
      <c r="P8" s="227"/>
      <c r="Q8" s="268"/>
      <c r="R8" s="268" t="str">
        <f>R7</f>
        <v>Cooking</v>
      </c>
      <c r="S8" s="604" t="str">
        <f>'Data manipulation'!$B$36</f>
        <v>Natural gas, biogas and LNG</v>
      </c>
      <c r="T8" s="246" t="s">
        <v>187</v>
      </c>
      <c r="U8" s="246">
        <v>2010</v>
      </c>
      <c r="V8" s="434" cm="1">
        <f t="array" ref="V8">_xlfn.IFNA(INDEX('Data manipulation'!$C$23:$N$125,MATCH($S8&amp;$R8,'Data manipulation'!$B$23:$B$125&amp;'Data manipulation'!$A$23:$A$125,0),MATCH($U8,'Data manipulation'!$C$22:$N$22,0))/1000,0)*SUMIFS('Regional split'!$F$4:$F$6,'Regional split'!$B$4:$B$6,V$4)</f>
        <v>2.4387130000000004</v>
      </c>
      <c r="W8" s="434" cm="1">
        <f t="array" ref="W8">_xlfn.IFNA(INDEX('Data manipulation'!$C$23:$N$125,MATCH($S8&amp;$R8,'Data manipulation'!$B$23:$B$125&amp;'Data manipulation'!$A$23:$A$125,0),MATCH($U8,'Data manipulation'!$C$22:$N$22,0))/1000,0)*SUMIFS('Regional split'!$F$4:$F$6,'Regional split'!$B$4:$B$6,W$4)</f>
        <v>0</v>
      </c>
      <c r="X8" s="434" cm="1">
        <f t="array" ref="X8">_xlfn.IFNA(INDEX('Data manipulation'!$C$23:$N$125,MATCH($S8&amp;$R8,'Data manipulation'!$B$23:$B$125&amp;'Data manipulation'!$A$23:$A$125,0),MATCH($U8,'Data manipulation'!$C$22:$N$22,0))/1000,0)*SUMIFS('Regional split'!$F$4:$F$6,'Regional split'!$B$4:$B$6,X$4)</f>
        <v>0</v>
      </c>
      <c r="Y8" s="445">
        <f t="shared" si="3"/>
        <v>1.2193565000000002</v>
      </c>
      <c r="Z8" s="570">
        <f t="shared" si="3"/>
        <v>0</v>
      </c>
      <c r="AA8" s="446">
        <f>X8*L8</f>
        <v>0</v>
      </c>
      <c r="AC8" s="568"/>
      <c r="AD8" s="569"/>
      <c r="AE8" s="569"/>
    </row>
    <row r="9" spans="2:31" ht="15" customHeight="1">
      <c r="B9" s="233" t="str">
        <f>Processes!D41</f>
        <v>RFTELCOE1</v>
      </c>
      <c r="C9" s="233" t="str">
        <f>Processes!E41</f>
        <v>Residential Food (Cooking) Technology   - Electricity Cooking - Existing 1</v>
      </c>
      <c r="D9" s="230" t="str">
        <f>Commodities!$C$31</f>
        <v>RESELCO</v>
      </c>
      <c r="E9" s="230" t="str">
        <f>Commodities!$C$17</f>
        <v>RFDEM</v>
      </c>
      <c r="F9" s="259">
        <v>2010</v>
      </c>
      <c r="G9" s="250">
        <f t="shared" si="0"/>
        <v>4310.45</v>
      </c>
      <c r="H9" s="250">
        <f t="shared" si="0"/>
        <v>0</v>
      </c>
      <c r="I9" s="250">
        <f t="shared" ref="I9" si="5">ROUNDUP(AA9/($M9*$N9)*$G$2,2)</f>
        <v>0</v>
      </c>
      <c r="J9" s="640">
        <v>0.95</v>
      </c>
      <c r="K9" s="640">
        <v>0.95</v>
      </c>
      <c r="L9" s="640">
        <v>0.95</v>
      </c>
      <c r="M9" s="244">
        <f t="shared" si="2"/>
        <v>3.1536000000000002E-2</v>
      </c>
      <c r="N9" s="460">
        <v>1</v>
      </c>
      <c r="O9" s="245">
        <v>30</v>
      </c>
      <c r="P9" s="227"/>
      <c r="Q9" s="268"/>
      <c r="R9" s="268" t="str">
        <f>R8</f>
        <v>Cooking</v>
      </c>
      <c r="S9" s="227" t="s">
        <v>79</v>
      </c>
      <c r="T9" s="246" t="s">
        <v>79</v>
      </c>
      <c r="U9" s="246">
        <v>2010</v>
      </c>
      <c r="V9" s="434" cm="1">
        <f t="array" ref="V9">_xlfn.IFNA(INDEX('Data manipulation'!$C$23:$N$125,MATCH($S9&amp;$R9,'Data manipulation'!$B$23:$B$125&amp;'Data manipulation'!$A$23:$A$125,0),MATCH($U9,'Data manipulation'!$C$22:$N$22,0))/1000,0)*SUMIFS('Regional split'!$F$4:$F$6,'Regional split'!$B$4:$B$6,V$4)</f>
        <v>140.28299999999999</v>
      </c>
      <c r="W9" s="434" cm="1">
        <f t="array" ref="W9">_xlfn.IFNA(INDEX('Data manipulation'!$C$23:$N$125,MATCH($S9&amp;$R9,'Data manipulation'!$B$23:$B$125&amp;'Data manipulation'!$A$23:$A$125,0),MATCH($U9,'Data manipulation'!$C$22:$N$22,0))/1000,0)*SUMIFS('Regional split'!$F$4:$F$6,'Regional split'!$B$4:$B$6,W$4)</f>
        <v>0</v>
      </c>
      <c r="X9" s="434" cm="1">
        <f t="array" ref="X9">_xlfn.IFNA(INDEX('Data manipulation'!$C$23:$N$125,MATCH($S9&amp;$R9,'Data manipulation'!$B$23:$B$125&amp;'Data manipulation'!$A$23:$A$125,0),MATCH($U9,'Data manipulation'!$C$22:$N$22,0))/1000,0)*SUMIFS('Regional split'!$F$4:$F$6,'Regional split'!$B$4:$B$6,X$4)</f>
        <v>0</v>
      </c>
      <c r="Y9" s="445">
        <f t="shared" ref="Y9" si="6">V9*J9</f>
        <v>133.26884999999999</v>
      </c>
      <c r="Z9" s="570">
        <f t="shared" ref="Z9" si="7">W9*K9</f>
        <v>0</v>
      </c>
      <c r="AA9" s="446">
        <f>X9*L9</f>
        <v>0</v>
      </c>
      <c r="AC9" s="568"/>
      <c r="AD9" s="569"/>
      <c r="AE9" s="569"/>
    </row>
    <row r="10" spans="2:31" ht="15" customHeight="1">
      <c r="B10" s="233" t="str">
        <f>Processes!D42</f>
        <v>RFTFIWE1</v>
      </c>
      <c r="C10" s="233" t="str">
        <f>Processes!E42</f>
        <v>Residential Food (Cooking) Technology   - Fire wood - Existing 1</v>
      </c>
      <c r="D10" s="230" t="str">
        <f>Commodities!$C$24</f>
        <v>RESFIW</v>
      </c>
      <c r="E10" s="230" t="str">
        <f>Commodities!$C$17</f>
        <v>RFDEM</v>
      </c>
      <c r="F10" s="259">
        <v>2010</v>
      </c>
      <c r="G10" s="250">
        <f t="shared" ref="G10" si="8">ROUNDUP(Y10/($M10*$N10)*$G$2,2)</f>
        <v>59.62</v>
      </c>
      <c r="H10" s="250">
        <f t="shared" ref="H10" si="9">ROUNDUP(Z10/($M10*$N10)*$G$2,2)</f>
        <v>0</v>
      </c>
      <c r="I10" s="250">
        <f t="shared" ref="I10" si="10">ROUNDUP(AA10/($M10*$N10)*$G$2,2)</f>
        <v>0</v>
      </c>
      <c r="J10" s="642">
        <v>0.25600000000000001</v>
      </c>
      <c r="K10" s="642">
        <v>0.25600000000000001</v>
      </c>
      <c r="L10" s="642">
        <v>0.25600000000000001</v>
      </c>
      <c r="M10" s="244">
        <f t="shared" si="2"/>
        <v>3.1536000000000002E-2</v>
      </c>
      <c r="N10" s="460">
        <v>1</v>
      </c>
      <c r="O10" s="245">
        <v>30</v>
      </c>
      <c r="P10" s="227"/>
      <c r="Q10" s="268"/>
      <c r="R10" s="268" t="str">
        <f>R9</f>
        <v>Cooking</v>
      </c>
      <c r="S10" s="589" t="s">
        <v>853</v>
      </c>
      <c r="T10" s="246" t="s">
        <v>904</v>
      </c>
      <c r="U10" s="246">
        <v>2010</v>
      </c>
      <c r="V10" s="434" cm="1">
        <f t="array" ref="V10">_xlfn.IFNA(INDEX('Data manipulation'!$C$23:$N$125,MATCH($S10&amp;$R10,'Data manipulation'!$B$23:$B$125&amp;'Data manipulation'!$A$23:$A$125,0),MATCH($U10,'Data manipulation'!$C$22:$N$22,0))/1000,0)*SUMIFS('Regional split'!$F$4:$F$6,'Regional split'!$B$4:$B$6,V$4)</f>
        <v>7.2</v>
      </c>
      <c r="W10" s="434" cm="1">
        <f t="array" ref="W10">_xlfn.IFNA(INDEX('Data manipulation'!$C$23:$N$125,MATCH($S10&amp;$R10,'Data manipulation'!$B$23:$B$125&amp;'Data manipulation'!$A$23:$A$125,0),MATCH($U10,'Data manipulation'!$C$22:$N$22,0))/1000,0)*SUMIFS('Regional split'!$F$4:$F$6,'Regional split'!$B$4:$B$6,W$4)</f>
        <v>0</v>
      </c>
      <c r="X10" s="434" cm="1">
        <f t="array" ref="X10">_xlfn.IFNA(INDEX('Data manipulation'!$C$23:$N$125,MATCH($S10&amp;$R10,'Data manipulation'!$B$23:$B$125&amp;'Data manipulation'!$A$23:$A$125,0),MATCH($U10,'Data manipulation'!$C$22:$N$22,0))/1000,0)*SUMIFS('Regional split'!$F$4:$F$6,'Regional split'!$B$4:$B$6,X$4)</f>
        <v>0</v>
      </c>
      <c r="Y10" s="445">
        <f t="shared" ref="Y10" si="11">V10*J10</f>
        <v>1.8432000000000002</v>
      </c>
      <c r="Z10" s="570">
        <f t="shared" ref="Z10" si="12">W10*K10</f>
        <v>0</v>
      </c>
      <c r="AA10" s="446">
        <f>X10*L10</f>
        <v>0</v>
      </c>
      <c r="AC10" s="568"/>
      <c r="AD10" s="569"/>
      <c r="AE10" s="569"/>
    </row>
    <row r="11" spans="2:31" ht="14.4">
      <c r="B11" s="233" t="str">
        <f t="shared" ref="B11:E13" si="13">B7</f>
        <v>RFTLPGE1</v>
      </c>
      <c r="C11" s="233" t="str">
        <f t="shared" si="13"/>
        <v>Residential Food (Cooking) Technology   - LPG - Existing 1</v>
      </c>
      <c r="D11" s="233" t="str">
        <f t="shared" si="13"/>
        <v>RESLPG</v>
      </c>
      <c r="E11" s="233" t="str">
        <f t="shared" si="13"/>
        <v>RFDEM</v>
      </c>
      <c r="F11" s="259">
        <v>2015</v>
      </c>
      <c r="G11" s="250">
        <f t="shared" ref="G11:I13" si="14">ROUNDUP(Y11/($M11*$N11)*$G$25,2)</f>
        <v>0</v>
      </c>
      <c r="H11" s="250">
        <f t="shared" si="14"/>
        <v>0</v>
      </c>
      <c r="I11" s="250">
        <f t="shared" si="14"/>
        <v>0</v>
      </c>
      <c r="J11" s="640">
        <f t="shared" ref="J11:L13" si="15">J7</f>
        <v>0.5</v>
      </c>
      <c r="K11" s="640">
        <f t="shared" si="15"/>
        <v>0.5</v>
      </c>
      <c r="L11" s="640">
        <f t="shared" si="15"/>
        <v>0.5</v>
      </c>
      <c r="M11" s="244">
        <f t="shared" si="2"/>
        <v>3.1536000000000002E-2</v>
      </c>
      <c r="N11" s="460">
        <v>0.8</v>
      </c>
      <c r="O11" s="245">
        <v>30</v>
      </c>
      <c r="P11" s="227"/>
      <c r="Q11" s="227"/>
      <c r="R11" s="268" t="str">
        <f>R7</f>
        <v>Cooking</v>
      </c>
      <c r="S11" s="603" t="s">
        <v>790</v>
      </c>
      <c r="T11" s="246" t="s">
        <v>187</v>
      </c>
      <c r="U11" s="246">
        <v>2015</v>
      </c>
      <c r="V11" s="434" cm="1">
        <f t="array" ref="V11">_xlfn.IFNA(INDEX('Data manipulation'!$C$23:$N$125,MATCH($S11&amp;$R11,'Data manipulation'!$B$23:$B$125&amp;'Data manipulation'!$A$23:$A$125,0),MATCH($U11,'Data manipulation'!$C$22:$N$22,0))/1000,0)*SUMIFS('Regional split'!$F$4:$F$6,'Regional split'!$B$4:$B$6,V$4)</f>
        <v>0</v>
      </c>
      <c r="W11" s="434" cm="1">
        <f t="array" ref="W11">_xlfn.IFNA(INDEX('Data manipulation'!$C$23:$N$125,MATCH($S11&amp;$R11,'Data manipulation'!$B$23:$B$125&amp;'Data manipulation'!$A$23:$A$125,0),MATCH($U11,'Data manipulation'!$C$22:$N$22,0))/1000,0)*SUMIFS('Regional split'!$F$4:$F$6,'Regional split'!$B$4:$B$6,W$4)</f>
        <v>0</v>
      </c>
      <c r="X11" s="434" cm="1">
        <f t="array" ref="X11">_xlfn.IFNA(INDEX('Data manipulation'!$C$23:$N$125,MATCH($S11&amp;$R11,'Data manipulation'!$B$23:$B$125&amp;'Data manipulation'!$A$23:$A$125,0),MATCH($U11,'Data manipulation'!$C$22:$N$22,0))/1000,0)*SUMIFS('Regional split'!$F$4:$F$6,'Regional split'!$B$4:$B$6,X$4)</f>
        <v>0</v>
      </c>
      <c r="Y11" s="445">
        <f>V11*J11</f>
        <v>0</v>
      </c>
      <c r="Z11" s="251">
        <f t="shared" si="3"/>
        <v>0</v>
      </c>
      <c r="AA11" s="446">
        <f t="shared" ref="AA11:AA12" si="16">X11*L11</f>
        <v>0</v>
      </c>
    </row>
    <row r="12" spans="2:31" ht="14.4">
      <c r="B12" s="233" t="str">
        <f t="shared" si="13"/>
        <v>RFTNGAE1</v>
      </c>
      <c r="C12" s="233" t="str">
        <f t="shared" si="13"/>
        <v>Residential Food (Cooking) Technology   - Natural Gas - Existing 1</v>
      </c>
      <c r="D12" s="233" t="str">
        <f t="shared" si="13"/>
        <v>RESNGA</v>
      </c>
      <c r="E12" s="233" t="str">
        <f t="shared" si="13"/>
        <v>RFDEM</v>
      </c>
      <c r="F12" s="259">
        <v>2015</v>
      </c>
      <c r="G12" s="250">
        <f t="shared" si="14"/>
        <v>73.680000000000007</v>
      </c>
      <c r="H12" s="250">
        <f t="shared" si="14"/>
        <v>0</v>
      </c>
      <c r="I12" s="250">
        <f t="shared" si="14"/>
        <v>0</v>
      </c>
      <c r="J12" s="640">
        <f t="shared" si="15"/>
        <v>0.5</v>
      </c>
      <c r="K12" s="640">
        <f t="shared" si="15"/>
        <v>0.5</v>
      </c>
      <c r="L12" s="640">
        <f t="shared" si="15"/>
        <v>0.5</v>
      </c>
      <c r="M12" s="244">
        <f t="shared" si="2"/>
        <v>3.1536000000000002E-2</v>
      </c>
      <c r="N12" s="460">
        <v>0.8</v>
      </c>
      <c r="O12" s="245">
        <v>30</v>
      </c>
      <c r="P12" s="227"/>
      <c r="Q12" s="227"/>
      <c r="R12" s="268" t="str">
        <f>R8</f>
        <v>Cooking</v>
      </c>
      <c r="S12" s="604" t="str">
        <f>'Data manipulation'!$B$36</f>
        <v>Natural gas, biogas and LNG</v>
      </c>
      <c r="T12" s="246" t="s">
        <v>187</v>
      </c>
      <c r="U12" s="246">
        <v>2015</v>
      </c>
      <c r="V12" s="434" cm="1">
        <f t="array" ref="V12">_xlfn.IFNA(INDEX('Data manipulation'!$C$23:$N$125,MATCH($S12&amp;$R12,'Data manipulation'!$B$23:$B$125&amp;'Data manipulation'!$A$23:$A$125,0),MATCH($U12,'Data manipulation'!$C$22:$N$22,0))/1000,0)*SUMIFS('Regional split'!$F$4:$F$6,'Regional split'!$B$4:$B$6,V$4)</f>
        <v>3.6444559999999999</v>
      </c>
      <c r="W12" s="434" cm="1">
        <f t="array" ref="W12">_xlfn.IFNA(INDEX('Data manipulation'!$C$23:$N$125,MATCH($S12&amp;$R12,'Data manipulation'!$B$23:$B$125&amp;'Data manipulation'!$A$23:$A$125,0),MATCH($U12,'Data manipulation'!$C$22:$N$22,0))/1000,0)*SUMIFS('Regional split'!$F$4:$F$6,'Regional split'!$B$4:$B$6,W$4)</f>
        <v>0</v>
      </c>
      <c r="X12" s="434" cm="1">
        <f t="array" ref="X12">_xlfn.IFNA(INDEX('Data manipulation'!$C$23:$N$125,MATCH($S12&amp;$R12,'Data manipulation'!$B$23:$B$125&amp;'Data manipulation'!$A$23:$A$125,0),MATCH($U12,'Data manipulation'!$C$22:$N$22,0))/1000,0)*SUMIFS('Regional split'!$F$4:$F$6,'Regional split'!$B$4:$B$6,X$4)</f>
        <v>0</v>
      </c>
      <c r="Y12" s="445">
        <f t="shared" ref="Y12" si="17">V12*J12</f>
        <v>1.822228</v>
      </c>
      <c r="Z12" s="251">
        <f t="shared" si="3"/>
        <v>0</v>
      </c>
      <c r="AA12" s="446">
        <f t="shared" si="16"/>
        <v>0</v>
      </c>
    </row>
    <row r="13" spans="2:31" ht="14.4">
      <c r="B13" s="233" t="str">
        <f t="shared" si="13"/>
        <v>RFTELCOE1</v>
      </c>
      <c r="C13" s="233" t="str">
        <f t="shared" si="13"/>
        <v>Residential Food (Cooking) Technology   - Electricity Cooking - Existing 1</v>
      </c>
      <c r="D13" s="233" t="str">
        <f t="shared" si="13"/>
        <v>RESELCO</v>
      </c>
      <c r="E13" s="233" t="str">
        <f t="shared" si="13"/>
        <v>RFDEM</v>
      </c>
      <c r="F13" s="259">
        <v>2015</v>
      </c>
      <c r="G13" s="250">
        <f t="shared" si="14"/>
        <v>5140.05</v>
      </c>
      <c r="H13" s="250">
        <f t="shared" si="14"/>
        <v>0</v>
      </c>
      <c r="I13" s="250">
        <f t="shared" si="14"/>
        <v>0</v>
      </c>
      <c r="J13" s="640">
        <f t="shared" si="15"/>
        <v>0.95</v>
      </c>
      <c r="K13" s="640">
        <f t="shared" si="15"/>
        <v>0.95</v>
      </c>
      <c r="L13" s="640">
        <f t="shared" si="15"/>
        <v>0.95</v>
      </c>
      <c r="M13" s="244">
        <f t="shared" si="2"/>
        <v>3.1536000000000002E-2</v>
      </c>
      <c r="N13" s="460">
        <v>0.8</v>
      </c>
      <c r="O13" s="245">
        <v>30</v>
      </c>
      <c r="P13" s="227"/>
      <c r="Q13" s="227"/>
      <c r="R13" s="268" t="str">
        <f>R9</f>
        <v>Cooking</v>
      </c>
      <c r="S13" s="227" t="s">
        <v>79</v>
      </c>
      <c r="T13" s="246" t="s">
        <v>79</v>
      </c>
      <c r="U13" s="246">
        <v>2015</v>
      </c>
      <c r="V13" s="434" cm="1">
        <f t="array" ref="V13">_xlfn.IFNA(INDEX('Data manipulation'!$C$23:$N$125,MATCH($S13&amp;$R13,'Data manipulation'!$B$23:$B$125&amp;'Data manipulation'!$A$23:$A$125,0),MATCH($U13,'Data manipulation'!$C$22:$N$22,0))/1000,0)*SUMIFS('Regional split'!$F$4:$F$6,'Regional split'!$B$4:$B$6,V$4)</f>
        <v>133.82573399999998</v>
      </c>
      <c r="W13" s="434" cm="1">
        <f t="array" ref="W13">_xlfn.IFNA(INDEX('Data manipulation'!$C$23:$N$125,MATCH($S13&amp;$R13,'Data manipulation'!$B$23:$B$125&amp;'Data manipulation'!$A$23:$A$125,0),MATCH($U13,'Data manipulation'!$C$22:$N$22,0))/1000,0)*SUMIFS('Regional split'!$F$4:$F$6,'Regional split'!$B$4:$B$6,W$4)</f>
        <v>0</v>
      </c>
      <c r="X13" s="434" cm="1">
        <f t="array" ref="X13">_xlfn.IFNA(INDEX('Data manipulation'!$C$23:$N$125,MATCH($S13&amp;$R13,'Data manipulation'!$B$23:$B$125&amp;'Data manipulation'!$A$23:$A$125,0),MATCH($U13,'Data manipulation'!$C$22:$N$22,0))/1000,0)*SUMIFS('Regional split'!$F$4:$F$6,'Regional split'!$B$4:$B$6,X$4)</f>
        <v>0</v>
      </c>
      <c r="Y13" s="445">
        <f t="shared" ref="Y13:Y14" si="18">V13*J13</f>
        <v>127.13444729999998</v>
      </c>
      <c r="Z13" s="251">
        <f t="shared" ref="Z13:Z14" si="19">W13*K13</f>
        <v>0</v>
      </c>
      <c r="AA13" s="446">
        <f t="shared" ref="AA13" si="20">X13*L13</f>
        <v>0</v>
      </c>
    </row>
    <row r="14" spans="2:31" ht="15" customHeight="1">
      <c r="B14" s="233" t="str">
        <f>Processes!D42</f>
        <v>RFTFIWE1</v>
      </c>
      <c r="C14" s="233" t="str">
        <f>Processes!E42</f>
        <v>Residential Food (Cooking) Technology   - Fire wood - Existing 1</v>
      </c>
      <c r="D14" s="230" t="str">
        <f>Commodities!$C$24</f>
        <v>RESFIW</v>
      </c>
      <c r="E14" s="230" t="str">
        <f>Commodities!$C$17</f>
        <v>RFDEM</v>
      </c>
      <c r="F14" s="259">
        <v>2015</v>
      </c>
      <c r="G14" s="250">
        <f t="shared" ref="G14" si="21">ROUNDUP(Y14/($M14*$N14)*$G$2,2)</f>
        <v>62.01</v>
      </c>
      <c r="H14" s="250">
        <f t="shared" ref="H14" si="22">ROUNDUP(Z14/($M14*$N14)*$G$2,2)</f>
        <v>0</v>
      </c>
      <c r="I14" s="250">
        <f t="shared" ref="I14" si="23">ROUNDUP(AA14/($M14*$N14)*$G$2,2)</f>
        <v>0</v>
      </c>
      <c r="J14" s="642">
        <v>0.25600000000000001</v>
      </c>
      <c r="K14" s="642">
        <v>0.25600000000000001</v>
      </c>
      <c r="L14" s="642">
        <v>0.25600000000000001</v>
      </c>
      <c r="M14" s="244">
        <f t="shared" si="2"/>
        <v>3.1536000000000002E-2</v>
      </c>
      <c r="N14" s="460">
        <v>1</v>
      </c>
      <c r="O14" s="245">
        <v>30</v>
      </c>
      <c r="P14" s="227"/>
      <c r="Q14" s="268"/>
      <c r="R14" s="268" t="str">
        <f>R13</f>
        <v>Cooking</v>
      </c>
      <c r="S14" s="589" t="s">
        <v>853</v>
      </c>
      <c r="T14" s="246" t="s">
        <v>904</v>
      </c>
      <c r="U14" s="246">
        <v>2015</v>
      </c>
      <c r="V14" s="434" cm="1">
        <f t="array" ref="V14">_xlfn.IFNA(INDEX('Data manipulation'!$C$23:$N$125,MATCH($S14&amp;$R14,'Data manipulation'!$B$23:$B$125&amp;'Data manipulation'!$A$23:$A$125,0),MATCH($U14,'Data manipulation'!$C$22:$N$22,0))/1000,0)*SUMIFS('Regional split'!$F$4:$F$6,'Regional split'!$B$4:$B$6,V$4)</f>
        <v>7.4880000000000004</v>
      </c>
      <c r="W14" s="434" cm="1">
        <f t="array" ref="W14">_xlfn.IFNA(INDEX('Data manipulation'!$C$23:$N$125,MATCH($S14&amp;$R14,'Data manipulation'!$B$23:$B$125&amp;'Data manipulation'!$A$23:$A$125,0),MATCH($U14,'Data manipulation'!$C$22:$N$22,0))/1000,0)*SUMIFS('Regional split'!$F$4:$F$6,'Regional split'!$B$4:$B$6,W$4)</f>
        <v>0</v>
      </c>
      <c r="X14" s="434" cm="1">
        <f t="array" ref="X14">_xlfn.IFNA(INDEX('Data manipulation'!$C$23:$N$125,MATCH($S14&amp;$R14,'Data manipulation'!$B$23:$B$125&amp;'Data manipulation'!$A$23:$A$125,0),MATCH($U14,'Data manipulation'!$C$22:$N$22,0))/1000,0)*SUMIFS('Regional split'!$F$4:$F$6,'Regional split'!$B$4:$B$6,X$4)</f>
        <v>0</v>
      </c>
      <c r="Y14" s="445">
        <f t="shared" si="18"/>
        <v>1.9169280000000002</v>
      </c>
      <c r="Z14" s="570">
        <f t="shared" si="19"/>
        <v>0</v>
      </c>
      <c r="AA14" s="446">
        <f>X14*L14</f>
        <v>0</v>
      </c>
      <c r="AC14" s="568"/>
      <c r="AD14" s="569"/>
      <c r="AE14" s="569"/>
    </row>
    <row r="15" spans="2:31" ht="14.4">
      <c r="B15" s="233" t="str">
        <f t="shared" ref="B15:E17" si="24">B7</f>
        <v>RFTLPGE1</v>
      </c>
      <c r="C15" s="233" t="str">
        <f t="shared" si="24"/>
        <v>Residential Food (Cooking) Technology   - LPG - Existing 1</v>
      </c>
      <c r="D15" s="233" t="str">
        <f t="shared" si="24"/>
        <v>RESLPG</v>
      </c>
      <c r="E15" s="233" t="str">
        <f t="shared" si="24"/>
        <v>RFDEM</v>
      </c>
      <c r="F15" s="230">
        <v>2018</v>
      </c>
      <c r="G15" s="250">
        <f t="shared" ref="G15" si="25">ROUNDUP(Y15/($M15*$N15)*$G$2,2)</f>
        <v>0</v>
      </c>
      <c r="H15" s="250">
        <f t="shared" ref="H15" si="26">ROUNDUP(Z15/($M15*$N15)*$G$2,2)</f>
        <v>0</v>
      </c>
      <c r="I15" s="250">
        <f t="shared" si="1"/>
        <v>0</v>
      </c>
      <c r="J15" s="640">
        <f t="shared" ref="J15:L17" si="27">J7</f>
        <v>0.5</v>
      </c>
      <c r="K15" s="640">
        <f t="shared" si="27"/>
        <v>0.5</v>
      </c>
      <c r="L15" s="640">
        <f t="shared" si="27"/>
        <v>0.5</v>
      </c>
      <c r="M15" s="244">
        <f t="shared" si="2"/>
        <v>3.1536000000000002E-2</v>
      </c>
      <c r="N15" s="460">
        <v>1</v>
      </c>
      <c r="O15" s="245">
        <v>30</v>
      </c>
      <c r="P15" s="227"/>
      <c r="Q15" s="227"/>
      <c r="R15" s="268" t="str">
        <f>R8</f>
        <v>Cooking</v>
      </c>
      <c r="S15" s="603" t="s">
        <v>790</v>
      </c>
      <c r="T15" s="246" t="s">
        <v>187</v>
      </c>
      <c r="U15" s="246">
        <v>2018</v>
      </c>
      <c r="V15" s="434" cm="1">
        <f t="array" ref="V15">_xlfn.IFNA(INDEX('Data manipulation'!$C$23:$N$125,MATCH($S15&amp;$R15,'Data manipulation'!$B$23:$B$125&amp;'Data manipulation'!$A$23:$A$125,0),MATCH($U15,'Data manipulation'!$C$22:$N$22,0))/1000,0)*SUMIFS('Regional split'!$F$4:$F$6,'Regional split'!$B$4:$B$6,V$4)</f>
        <v>0</v>
      </c>
      <c r="W15" s="434" cm="1">
        <f t="array" ref="W15">_xlfn.IFNA(INDEX('Data manipulation'!$C$23:$N$125,MATCH($S15&amp;$R15,'Data manipulation'!$B$23:$B$125&amp;'Data manipulation'!$A$23:$A$125,0),MATCH($U15,'Data manipulation'!$C$22:$N$22,0))/1000,0)*SUMIFS('Regional split'!$F$4:$F$6,'Regional split'!$B$4:$B$6,W$4)</f>
        <v>0</v>
      </c>
      <c r="X15" s="434" cm="1">
        <f t="array" ref="X15">_xlfn.IFNA(INDEX('Data manipulation'!$C$23:$N$125,MATCH($S15&amp;$R15,'Data manipulation'!$B$23:$B$125&amp;'Data manipulation'!$A$23:$A$125,0),MATCH($U15,'Data manipulation'!$C$22:$N$22,0))/1000,0)*SUMIFS('Regional split'!$F$4:$F$6,'Regional split'!$B$4:$B$6,X$4)</f>
        <v>0</v>
      </c>
      <c r="Y15" s="445">
        <f t="shared" si="3"/>
        <v>0</v>
      </c>
      <c r="Z15" s="251">
        <f t="shared" si="3"/>
        <v>0</v>
      </c>
      <c r="AA15" s="446">
        <f t="shared" ref="AA15:AA16" si="28">X15*L15</f>
        <v>0</v>
      </c>
      <c r="AC15" s="568"/>
      <c r="AD15" s="568"/>
    </row>
    <row r="16" spans="2:31" ht="14.4">
      <c r="B16" s="233" t="str">
        <f t="shared" si="24"/>
        <v>RFTNGAE1</v>
      </c>
      <c r="C16" s="233" t="str">
        <f t="shared" si="24"/>
        <v>Residential Food (Cooking) Technology   - Natural Gas - Existing 1</v>
      </c>
      <c r="D16" s="233" t="str">
        <f t="shared" si="24"/>
        <v>RESNGA</v>
      </c>
      <c r="E16" s="233" t="str">
        <f t="shared" si="24"/>
        <v>RFDEM</v>
      </c>
      <c r="F16" s="259">
        <v>2018</v>
      </c>
      <c r="G16" s="250">
        <f>ROUNDUP(Y16/($M16*$N16)*$G$2,2)</f>
        <v>62.93</v>
      </c>
      <c r="H16" s="250">
        <f>ROUNDUP(Z16/($M16*$N16)*$G$2,2)</f>
        <v>0</v>
      </c>
      <c r="I16" s="250">
        <f t="shared" si="1"/>
        <v>0</v>
      </c>
      <c r="J16" s="640">
        <f t="shared" si="27"/>
        <v>0.5</v>
      </c>
      <c r="K16" s="640">
        <f t="shared" si="27"/>
        <v>0.5</v>
      </c>
      <c r="L16" s="640">
        <f t="shared" si="27"/>
        <v>0.5</v>
      </c>
      <c r="M16" s="244">
        <f t="shared" si="2"/>
        <v>3.1536000000000002E-2</v>
      </c>
      <c r="N16" s="460">
        <v>1</v>
      </c>
      <c r="O16" s="245">
        <v>30</v>
      </c>
      <c r="P16" s="227"/>
      <c r="Q16" s="227"/>
      <c r="R16" s="268" t="str">
        <f>R15</f>
        <v>Cooking</v>
      </c>
      <c r="S16" s="604" t="str">
        <f>'Data manipulation'!$B$36</f>
        <v>Natural gas, biogas and LNG</v>
      </c>
      <c r="T16" s="246" t="s">
        <v>187</v>
      </c>
      <c r="U16" s="246">
        <v>2018</v>
      </c>
      <c r="V16" s="434" cm="1">
        <f t="array" ref="V16">_xlfn.IFNA(INDEX('Data manipulation'!$C$23:$N$125,MATCH($S16&amp;$R16,'Data manipulation'!$B$23:$B$125&amp;'Data manipulation'!$A$23:$A$125,0),MATCH($U16,'Data manipulation'!$C$22:$N$22,0))/1000,0)*SUMIFS('Regional split'!$F$4:$F$6,'Regional split'!$B$4:$B$6,V$4)</f>
        <v>3.8911350000000002</v>
      </c>
      <c r="W16" s="434" cm="1">
        <f t="array" ref="W16">_xlfn.IFNA(INDEX('Data manipulation'!$C$23:$N$125,MATCH($S16&amp;$R16,'Data manipulation'!$B$23:$B$125&amp;'Data manipulation'!$A$23:$A$125,0),MATCH($U16,'Data manipulation'!$C$22:$N$22,0))/1000,0)*SUMIFS('Regional split'!$F$4:$F$6,'Regional split'!$B$4:$B$6,W$4)</f>
        <v>0</v>
      </c>
      <c r="X16" s="434" cm="1">
        <f t="array" ref="X16">_xlfn.IFNA(INDEX('Data manipulation'!$C$23:$N$125,MATCH($S16&amp;$R16,'Data manipulation'!$B$23:$B$125&amp;'Data manipulation'!$A$23:$A$125,0),MATCH($U16,'Data manipulation'!$C$22:$N$22,0))/1000,0)*SUMIFS('Regional split'!$F$4:$F$6,'Regional split'!$B$4:$B$6,X$4)</f>
        <v>0</v>
      </c>
      <c r="Y16" s="445">
        <f t="shared" si="3"/>
        <v>1.9455675000000001</v>
      </c>
      <c r="Z16" s="251">
        <f t="shared" si="3"/>
        <v>0</v>
      </c>
      <c r="AA16" s="446">
        <f t="shared" si="28"/>
        <v>0</v>
      </c>
      <c r="AC16" s="568"/>
      <c r="AD16" s="568"/>
    </row>
    <row r="17" spans="2:31" ht="14.4">
      <c r="B17" s="233" t="str">
        <f t="shared" si="24"/>
        <v>RFTELCOE1</v>
      </c>
      <c r="C17" s="233" t="str">
        <f t="shared" si="24"/>
        <v>Residential Food (Cooking) Technology   - Electricity Cooking - Existing 1</v>
      </c>
      <c r="D17" s="233" t="str">
        <f t="shared" si="24"/>
        <v>RESELCO</v>
      </c>
      <c r="E17" s="233" t="str">
        <f t="shared" si="24"/>
        <v>RFDEM</v>
      </c>
      <c r="F17" s="259">
        <v>2018</v>
      </c>
      <c r="G17" s="250">
        <f>ROUNDUP(Y17/($M17*$N17)*$G$2,2)</f>
        <v>4282.91</v>
      </c>
      <c r="H17" s="250">
        <f>ROUNDUP(Z17/($M17*$N17)*$G$2,2)</f>
        <v>0</v>
      </c>
      <c r="I17" s="250">
        <f t="shared" ref="I17:I18" si="29">ROUNDUP(AA17/($M17*$N17)*$G$2,2)</f>
        <v>0</v>
      </c>
      <c r="J17" s="640">
        <f t="shared" si="27"/>
        <v>0.95</v>
      </c>
      <c r="K17" s="640">
        <f t="shared" si="27"/>
        <v>0.95</v>
      </c>
      <c r="L17" s="640">
        <f t="shared" si="27"/>
        <v>0.95</v>
      </c>
      <c r="M17" s="244">
        <f t="shared" si="2"/>
        <v>3.1536000000000002E-2</v>
      </c>
      <c r="N17" s="460">
        <v>1</v>
      </c>
      <c r="O17" s="245">
        <v>30</v>
      </c>
      <c r="P17" s="227"/>
      <c r="Q17" s="227"/>
      <c r="R17" s="268" t="str">
        <f>R16</f>
        <v>Cooking</v>
      </c>
      <c r="S17" s="227" t="s">
        <v>79</v>
      </c>
      <c r="T17" s="246" t="s">
        <v>79</v>
      </c>
      <c r="U17" s="246">
        <v>2018</v>
      </c>
      <c r="V17" s="434" cm="1">
        <f t="array" ref="V17">_xlfn.IFNA(INDEX('Data manipulation'!$C$23:$N$125,MATCH($S17&amp;$R17,'Data manipulation'!$B$23:$B$125&amp;'Data manipulation'!$A$23:$A$125,0),MATCH($U17,'Data manipulation'!$C$22:$N$22,0))/1000,0)*SUMIFS('Regional split'!$F$4:$F$6,'Regional split'!$B$4:$B$6,V$4)</f>
        <v>139.38656400000002</v>
      </c>
      <c r="W17" s="434" cm="1">
        <f t="array" ref="W17">_xlfn.IFNA(INDEX('Data manipulation'!$C$23:$N$125,MATCH($S17&amp;$R17,'Data manipulation'!$B$23:$B$125&amp;'Data manipulation'!$A$23:$A$125,0),MATCH($U17,'Data manipulation'!$C$22:$N$22,0))/1000,0)*SUMIFS('Regional split'!$F$4:$F$6,'Regional split'!$B$4:$B$6,W$4)</f>
        <v>0</v>
      </c>
      <c r="X17" s="434" cm="1">
        <f t="array" ref="X17">_xlfn.IFNA(INDEX('Data manipulation'!$C$23:$N$125,MATCH($S17&amp;$R17,'Data manipulation'!$B$23:$B$125&amp;'Data manipulation'!$A$23:$A$125,0),MATCH($U17,'Data manipulation'!$C$22:$N$22,0))/1000,0)*SUMIFS('Regional split'!$F$4:$F$6,'Regional split'!$B$4:$B$6,X$4)</f>
        <v>0</v>
      </c>
      <c r="Y17" s="445">
        <f t="shared" ref="Y17:Y18" si="30">V17*J17</f>
        <v>132.41723580000001</v>
      </c>
      <c r="Z17" s="251">
        <f t="shared" ref="Z17:Z18" si="31">W17*K17</f>
        <v>0</v>
      </c>
      <c r="AA17" s="446">
        <f t="shared" ref="AA17" si="32">X17*L17</f>
        <v>0</v>
      </c>
      <c r="AC17" s="568"/>
      <c r="AD17" s="568"/>
    </row>
    <row r="18" spans="2:31" ht="15" customHeight="1">
      <c r="B18" s="233" t="str">
        <f>Processes!D42</f>
        <v>RFTFIWE1</v>
      </c>
      <c r="C18" s="233" t="str">
        <f>Processes!E42</f>
        <v>Residential Food (Cooking) Technology   - Fire wood - Existing 1</v>
      </c>
      <c r="D18" s="230" t="str">
        <f>Commodities!$C$24</f>
        <v>RESFIW</v>
      </c>
      <c r="E18" s="230" t="str">
        <f>Commodities!$C$17</f>
        <v>RFDEM</v>
      </c>
      <c r="F18" s="259">
        <v>2018</v>
      </c>
      <c r="G18" s="250">
        <f t="shared" ref="G18" si="33">ROUNDUP(Y18/($M18*$N18)*$G$2,2)</f>
        <v>60.68</v>
      </c>
      <c r="H18" s="250">
        <f t="shared" ref="H18" si="34">ROUNDUP(Z18/($M18*$N18)*$G$2,2)</f>
        <v>0</v>
      </c>
      <c r="I18" s="250">
        <f t="shared" si="29"/>
        <v>0</v>
      </c>
      <c r="J18" s="642">
        <v>0.25600000000000001</v>
      </c>
      <c r="K18" s="642">
        <v>0.25600000000000001</v>
      </c>
      <c r="L18" s="642">
        <v>0.25600000000000001</v>
      </c>
      <c r="M18" s="244">
        <f t="shared" si="2"/>
        <v>3.1536000000000002E-2</v>
      </c>
      <c r="N18" s="460">
        <v>1</v>
      </c>
      <c r="O18" s="245">
        <v>30</v>
      </c>
      <c r="P18" s="227"/>
      <c r="Q18" s="268"/>
      <c r="R18" s="268" t="str">
        <f>R17</f>
        <v>Cooking</v>
      </c>
      <c r="S18" s="589" t="s">
        <v>853</v>
      </c>
      <c r="T18" s="246" t="s">
        <v>904</v>
      </c>
      <c r="U18" s="246">
        <v>2018</v>
      </c>
      <c r="V18" s="434" cm="1">
        <f t="array" ref="V18">_xlfn.IFNA(INDEX('Data manipulation'!$C$23:$N$125,MATCH($S18&amp;$R18,'Data manipulation'!$B$23:$B$125&amp;'Data manipulation'!$A$23:$A$125,0),MATCH($U18,'Data manipulation'!$C$22:$N$22,0))/1000,0)*SUMIFS('Regional split'!$F$4:$F$6,'Regional split'!$B$4:$B$6,V$4)</f>
        <v>7.3280000000000003</v>
      </c>
      <c r="W18" s="434" cm="1">
        <f t="array" ref="W18">_xlfn.IFNA(INDEX('Data manipulation'!$C$23:$N$125,MATCH($S18&amp;$R18,'Data manipulation'!$B$23:$B$125&amp;'Data manipulation'!$A$23:$A$125,0),MATCH($U18,'Data manipulation'!$C$22:$N$22,0))/1000,0)*SUMIFS('Regional split'!$F$4:$F$6,'Regional split'!$B$4:$B$6,W$4)</f>
        <v>0</v>
      </c>
      <c r="X18" s="434" cm="1">
        <f t="array" ref="X18">_xlfn.IFNA(INDEX('Data manipulation'!$C$23:$N$125,MATCH($S18&amp;$R18,'Data manipulation'!$B$23:$B$125&amp;'Data manipulation'!$A$23:$A$125,0),MATCH($U18,'Data manipulation'!$C$22:$N$22,0))/1000,0)*SUMIFS('Regional split'!$F$4:$F$6,'Regional split'!$B$4:$B$6,X$4)</f>
        <v>0</v>
      </c>
      <c r="Y18" s="445">
        <f t="shared" si="30"/>
        <v>1.8759680000000001</v>
      </c>
      <c r="Z18" s="570">
        <f t="shared" si="31"/>
        <v>0</v>
      </c>
      <c r="AA18" s="446">
        <f>X18*L18</f>
        <v>0</v>
      </c>
      <c r="AC18" s="568"/>
      <c r="AD18" s="569"/>
      <c r="AE18" s="569"/>
    </row>
    <row r="19" spans="2:31" ht="14.4">
      <c r="B19" s="233" t="str">
        <f t="shared" ref="B19:E21" si="35">B15</f>
        <v>RFTLPGE1</v>
      </c>
      <c r="C19" s="233" t="str">
        <f t="shared" si="35"/>
        <v>Residential Food (Cooking) Technology   - LPG - Existing 1</v>
      </c>
      <c r="D19" s="233" t="str">
        <f t="shared" si="35"/>
        <v>RESLPG</v>
      </c>
      <c r="E19" s="233" t="str">
        <f t="shared" si="35"/>
        <v>RFDEM</v>
      </c>
      <c r="F19" s="573">
        <f>F15+O19</f>
        <v>2048</v>
      </c>
      <c r="G19" s="250">
        <v>0</v>
      </c>
      <c r="H19" s="250">
        <v>0</v>
      </c>
      <c r="I19" s="250">
        <v>0</v>
      </c>
      <c r="J19" s="640">
        <f t="shared" ref="J19:L21" si="36">J15</f>
        <v>0.5</v>
      </c>
      <c r="K19" s="640">
        <f t="shared" si="36"/>
        <v>0.5</v>
      </c>
      <c r="L19" s="640">
        <f t="shared" si="36"/>
        <v>0.5</v>
      </c>
      <c r="M19" s="244">
        <f t="shared" si="2"/>
        <v>3.1536000000000002E-2</v>
      </c>
      <c r="N19" s="460">
        <v>1</v>
      </c>
      <c r="O19" s="245">
        <v>30</v>
      </c>
      <c r="P19" s="227"/>
      <c r="Q19" s="227"/>
      <c r="R19" s="268" t="str">
        <f>R16</f>
        <v>Cooking</v>
      </c>
      <c r="S19" s="603" t="s">
        <v>790</v>
      </c>
      <c r="T19" s="246" t="s">
        <v>187</v>
      </c>
      <c r="U19" s="246">
        <v>2018</v>
      </c>
      <c r="V19" s="434" cm="1">
        <f t="array" ref="V19">_xlfn.IFNA(INDEX('Data manipulation'!$C$23:$N$125,MATCH($S19&amp;$R19,'Data manipulation'!$B$23:$B$125&amp;'Data manipulation'!$A$23:$A$125,0),MATCH($U19,'Data manipulation'!$C$22:$N$22,0))/1000,0)*SUMIFS('Regional split'!$F$4:$F$6,'Regional split'!$B$4:$B$6,V$4)</f>
        <v>0</v>
      </c>
      <c r="W19" s="434" cm="1">
        <f t="array" ref="W19">_xlfn.IFNA(INDEX('Data manipulation'!$C$23:$N$125,MATCH($S19&amp;$R19,'Data manipulation'!$B$23:$B$125&amp;'Data manipulation'!$A$23:$A$125,0),MATCH($U19,'Data manipulation'!$C$22:$N$22,0))/1000,0)*SUMIFS('Regional split'!$F$4:$F$6,'Regional split'!$B$4:$B$6,W$4)</f>
        <v>0</v>
      </c>
      <c r="X19" s="434" cm="1">
        <f t="array" ref="X19">_xlfn.IFNA(INDEX('Data manipulation'!$C$23:$N$125,MATCH($S19&amp;$R19,'Data manipulation'!$B$23:$B$125&amp;'Data manipulation'!$A$23:$A$125,0),MATCH($U19,'Data manipulation'!$C$22:$N$22,0))/1000,0)*SUMIFS('Regional split'!$F$4:$F$6,'Regional split'!$B$4:$B$6,X$4)</f>
        <v>0</v>
      </c>
      <c r="Y19" s="445">
        <f t="shared" ref="Y19:Y20" si="37">V19*J19</f>
        <v>0</v>
      </c>
      <c r="Z19" s="251">
        <f t="shared" ref="Z19:Z20" si="38">W19*K19</f>
        <v>0</v>
      </c>
      <c r="AA19" s="446">
        <f t="shared" ref="AA19:AA20" si="39">X19*L19</f>
        <v>0</v>
      </c>
      <c r="AC19" s="568"/>
      <c r="AD19" s="568"/>
    </row>
    <row r="20" spans="2:31" ht="14.4">
      <c r="B20" s="233" t="str">
        <f t="shared" si="35"/>
        <v>RFTNGAE1</v>
      </c>
      <c r="C20" s="233" t="str">
        <f t="shared" si="35"/>
        <v>Residential Food (Cooking) Technology   - Natural Gas - Existing 1</v>
      </c>
      <c r="D20" s="233" t="str">
        <f t="shared" si="35"/>
        <v>RESNGA</v>
      </c>
      <c r="E20" s="233" t="str">
        <f t="shared" si="35"/>
        <v>RFDEM</v>
      </c>
      <c r="F20" s="573">
        <f>F16+O20</f>
        <v>2048</v>
      </c>
      <c r="G20" s="250">
        <v>0</v>
      </c>
      <c r="H20" s="250">
        <v>0</v>
      </c>
      <c r="I20" s="250">
        <v>0</v>
      </c>
      <c r="J20" s="640">
        <f t="shared" si="36"/>
        <v>0.5</v>
      </c>
      <c r="K20" s="640">
        <f t="shared" si="36"/>
        <v>0.5</v>
      </c>
      <c r="L20" s="640">
        <f t="shared" si="36"/>
        <v>0.5</v>
      </c>
      <c r="M20" s="244">
        <f t="shared" si="2"/>
        <v>3.1536000000000002E-2</v>
      </c>
      <c r="N20" s="460">
        <v>1</v>
      </c>
      <c r="O20" s="245">
        <v>30</v>
      </c>
      <c r="P20" s="227"/>
      <c r="Q20" s="227"/>
      <c r="R20" s="268" t="str">
        <f>R19</f>
        <v>Cooking</v>
      </c>
      <c r="S20" s="604" t="str">
        <f>'Data manipulation'!$B$36</f>
        <v>Natural gas, biogas and LNG</v>
      </c>
      <c r="T20" s="246" t="s">
        <v>187</v>
      </c>
      <c r="U20" s="246">
        <v>2018</v>
      </c>
      <c r="V20" s="434" cm="1">
        <f t="array" ref="V20">_xlfn.IFNA(INDEX('Data manipulation'!$C$23:$N$125,MATCH($S20&amp;$R20,'Data manipulation'!$B$23:$B$125&amp;'Data manipulation'!$A$23:$A$125,0),MATCH($U20,'Data manipulation'!$C$22:$N$22,0))/1000,0)*SUMIFS('Regional split'!$F$4:$F$6,'Regional split'!$B$4:$B$6,V$4)</f>
        <v>3.8911350000000002</v>
      </c>
      <c r="W20" s="434" cm="1">
        <f t="array" ref="W20">_xlfn.IFNA(INDEX('Data manipulation'!$C$23:$N$125,MATCH($S20&amp;$R20,'Data manipulation'!$B$23:$B$125&amp;'Data manipulation'!$A$23:$A$125,0),MATCH($U20,'Data manipulation'!$C$22:$N$22,0))/1000,0)*SUMIFS('Regional split'!$F$4:$F$6,'Regional split'!$B$4:$B$6,W$4)</f>
        <v>0</v>
      </c>
      <c r="X20" s="434" cm="1">
        <f t="array" ref="X20">_xlfn.IFNA(INDEX('Data manipulation'!$C$23:$N$125,MATCH($S20&amp;$R20,'Data manipulation'!$B$23:$B$125&amp;'Data manipulation'!$A$23:$A$125,0),MATCH($U20,'Data manipulation'!$C$22:$N$22,0))/1000,0)*SUMIFS('Regional split'!$F$4:$F$6,'Regional split'!$B$4:$B$6,X$4)</f>
        <v>0</v>
      </c>
      <c r="Y20" s="445">
        <f t="shared" si="37"/>
        <v>1.9455675000000001</v>
      </c>
      <c r="Z20" s="251">
        <f t="shared" si="38"/>
        <v>0</v>
      </c>
      <c r="AA20" s="446">
        <f t="shared" si="39"/>
        <v>0</v>
      </c>
      <c r="AC20" s="568"/>
      <c r="AD20" s="568"/>
    </row>
    <row r="21" spans="2:31" ht="14.4">
      <c r="B21" s="233" t="str">
        <f t="shared" si="35"/>
        <v>RFTELCOE1</v>
      </c>
      <c r="C21" s="233" t="str">
        <f t="shared" si="35"/>
        <v>Residential Food (Cooking) Technology   - Electricity Cooking - Existing 1</v>
      </c>
      <c r="D21" s="233" t="str">
        <f t="shared" si="35"/>
        <v>RESELCO</v>
      </c>
      <c r="E21" s="233" t="str">
        <f t="shared" si="35"/>
        <v>RFDEM</v>
      </c>
      <c r="F21" s="573">
        <f>F17+O21</f>
        <v>2048</v>
      </c>
      <c r="G21" s="250">
        <v>0</v>
      </c>
      <c r="H21" s="250">
        <v>0</v>
      </c>
      <c r="I21" s="250">
        <v>0</v>
      </c>
      <c r="J21" s="640">
        <f t="shared" si="36"/>
        <v>0.95</v>
      </c>
      <c r="K21" s="640">
        <f t="shared" si="36"/>
        <v>0.95</v>
      </c>
      <c r="L21" s="640">
        <f t="shared" si="36"/>
        <v>0.95</v>
      </c>
      <c r="M21" s="244">
        <f t="shared" si="2"/>
        <v>3.1536000000000002E-2</v>
      </c>
      <c r="N21" s="460">
        <v>1</v>
      </c>
      <c r="O21" s="245">
        <v>30</v>
      </c>
      <c r="P21" s="227"/>
      <c r="Q21" s="227"/>
      <c r="R21" s="268" t="str">
        <f>R20</f>
        <v>Cooking</v>
      </c>
      <c r="S21" s="227" t="s">
        <v>79</v>
      </c>
      <c r="T21" s="246" t="s">
        <v>79</v>
      </c>
      <c r="U21" s="246">
        <v>2018</v>
      </c>
      <c r="V21" s="434" cm="1">
        <f t="array" ref="V21">_xlfn.IFNA(INDEX('Data manipulation'!$C$23:$N$125,MATCH($S21&amp;$R21,'Data manipulation'!$B$23:$B$125&amp;'Data manipulation'!$A$23:$A$125,0),MATCH($U21,'Data manipulation'!$C$22:$N$22,0))/1000,0)*SUMIFS('Regional split'!$F$4:$F$6,'Regional split'!$B$4:$B$6,V$4)</f>
        <v>139.38656400000002</v>
      </c>
      <c r="W21" s="434" cm="1">
        <f t="array" ref="W21">_xlfn.IFNA(INDEX('Data manipulation'!$C$23:$N$125,MATCH($S21&amp;$R21,'Data manipulation'!$B$23:$B$125&amp;'Data manipulation'!$A$23:$A$125,0),MATCH($U21,'Data manipulation'!$C$22:$N$22,0))/1000,0)*SUMIFS('Regional split'!$F$4:$F$6,'Regional split'!$B$4:$B$6,W$4)</f>
        <v>0</v>
      </c>
      <c r="X21" s="434" cm="1">
        <f t="array" ref="X21">_xlfn.IFNA(INDEX('Data manipulation'!$C$23:$N$125,MATCH($S21&amp;$R21,'Data manipulation'!$B$23:$B$125&amp;'Data manipulation'!$A$23:$A$125,0),MATCH($U21,'Data manipulation'!$C$22:$N$22,0))/1000,0)*SUMIFS('Regional split'!$F$4:$F$6,'Regional split'!$B$4:$B$6,X$4)</f>
        <v>0</v>
      </c>
      <c r="Y21" s="445">
        <f t="shared" ref="Y21:Y22" si="40">V21*J21</f>
        <v>132.41723580000001</v>
      </c>
      <c r="Z21" s="251">
        <f t="shared" ref="Z21:Z22" si="41">W21*K21</f>
        <v>0</v>
      </c>
      <c r="AA21" s="446">
        <f t="shared" ref="AA21" si="42">X21*L21</f>
        <v>0</v>
      </c>
      <c r="AC21" s="568"/>
      <c r="AD21" s="568"/>
    </row>
    <row r="22" spans="2:31" ht="15" customHeight="1">
      <c r="B22" s="233" t="str">
        <f>Processes!D42</f>
        <v>RFTFIWE1</v>
      </c>
      <c r="C22" s="233" t="str">
        <f>Processes!E42</f>
        <v>Residential Food (Cooking) Technology   - Fire wood - Existing 1</v>
      </c>
      <c r="D22" s="230" t="str">
        <f>Commodities!$C$24</f>
        <v>RESFIW</v>
      </c>
      <c r="E22" s="230" t="str">
        <f>Commodities!$C$17</f>
        <v>RFDEM</v>
      </c>
      <c r="F22" s="259">
        <v>2048</v>
      </c>
      <c r="G22" s="250">
        <v>0</v>
      </c>
      <c r="H22" s="250">
        <v>0</v>
      </c>
      <c r="I22" s="250">
        <v>0</v>
      </c>
      <c r="J22" s="642">
        <v>0.25600000000000001</v>
      </c>
      <c r="K22" s="642">
        <v>0.25600000000000001</v>
      </c>
      <c r="L22" s="642">
        <v>0.25600000000000001</v>
      </c>
      <c r="M22" s="244">
        <f t="shared" si="2"/>
        <v>3.1536000000000002E-2</v>
      </c>
      <c r="N22" s="460">
        <v>1</v>
      </c>
      <c r="O22" s="245">
        <v>30</v>
      </c>
      <c r="P22" s="227"/>
      <c r="Q22" s="268"/>
      <c r="R22" s="268" t="str">
        <f>R21</f>
        <v>Cooking</v>
      </c>
      <c r="S22" s="589" t="s">
        <v>853</v>
      </c>
      <c r="T22" s="246" t="s">
        <v>904</v>
      </c>
      <c r="U22" s="246">
        <v>2018</v>
      </c>
      <c r="V22" s="434" cm="1">
        <f t="array" ref="V22">_xlfn.IFNA(INDEX('Data manipulation'!$C$23:$N$125,MATCH($S22&amp;$R22,'Data manipulation'!$B$23:$B$125&amp;'Data manipulation'!$A$23:$A$125,0),MATCH($U22,'Data manipulation'!$C$22:$N$22,0))/1000,0)*SUMIFS('Regional split'!$F$4:$F$6,'Regional split'!$B$4:$B$6,V$4)</f>
        <v>7.3280000000000003</v>
      </c>
      <c r="W22" s="434" cm="1">
        <f t="array" ref="W22">_xlfn.IFNA(INDEX('Data manipulation'!$C$23:$N$125,MATCH($S22&amp;$R22,'Data manipulation'!$B$23:$B$125&amp;'Data manipulation'!$A$23:$A$125,0),MATCH($U22,'Data manipulation'!$C$22:$N$22,0))/1000,0)*SUMIFS('Regional split'!$F$4:$F$6,'Regional split'!$B$4:$B$6,W$4)</f>
        <v>0</v>
      </c>
      <c r="X22" s="434" cm="1">
        <f t="array" ref="X22">_xlfn.IFNA(INDEX('Data manipulation'!$C$23:$N$125,MATCH($S22&amp;$R22,'Data manipulation'!$B$23:$B$125&amp;'Data manipulation'!$A$23:$A$125,0),MATCH($U22,'Data manipulation'!$C$22:$N$22,0))/1000,0)*SUMIFS('Regional split'!$F$4:$F$6,'Regional split'!$B$4:$B$6,X$4)</f>
        <v>0</v>
      </c>
      <c r="Y22" s="445">
        <f t="shared" si="40"/>
        <v>1.8759680000000001</v>
      </c>
      <c r="Z22" s="570">
        <f t="shared" si="41"/>
        <v>0</v>
      </c>
      <c r="AA22" s="446">
        <f>X22*L22</f>
        <v>0</v>
      </c>
      <c r="AC22" s="568"/>
      <c r="AD22" s="569"/>
      <c r="AE22" s="569"/>
    </row>
    <row r="23" spans="2:31" ht="18">
      <c r="B23" s="227"/>
      <c r="C23" s="227"/>
      <c r="D23" s="230"/>
      <c r="E23" s="230"/>
      <c r="F23" s="230"/>
      <c r="G23" s="263"/>
      <c r="H23" s="263"/>
      <c r="I23" s="263"/>
      <c r="J23" s="264"/>
      <c r="K23" s="264"/>
      <c r="L23" s="264"/>
      <c r="M23" s="265"/>
      <c r="O23" s="264"/>
      <c r="P23" s="227"/>
      <c r="Q23" s="227"/>
      <c r="R23" s="227"/>
      <c r="S23" s="227"/>
      <c r="T23" s="227"/>
      <c r="U23" s="227"/>
      <c r="V23" s="227"/>
      <c r="W23" s="227"/>
      <c r="X23" s="227"/>
      <c r="Y23" s="227"/>
      <c r="Z23" s="227"/>
      <c r="AA23" s="233"/>
    </row>
    <row r="24" spans="2:31" ht="13.8">
      <c r="B24" s="227"/>
      <c r="C24" s="227"/>
    </row>
    <row r="25" spans="2:31" ht="21.6" thickBot="1">
      <c r="B25" s="508" t="s">
        <v>292</v>
      </c>
      <c r="C25" s="227"/>
      <c r="D25" s="228"/>
      <c r="E25" s="229" t="s">
        <v>181</v>
      </c>
      <c r="F25" s="229"/>
      <c r="G25" s="271">
        <v>1.02</v>
      </c>
      <c r="H25" s="271"/>
      <c r="I25" s="271"/>
      <c r="J25" s="230"/>
      <c r="K25" s="230"/>
      <c r="L25" s="230"/>
      <c r="M25" s="231"/>
      <c r="N25" s="232"/>
      <c r="O25" s="232"/>
      <c r="P25" s="227"/>
      <c r="Q25" s="227"/>
      <c r="R25" s="233"/>
      <c r="S25" s="295"/>
      <c r="T25" s="233"/>
      <c r="U25" s="233"/>
      <c r="V25" s="233"/>
      <c r="W25" s="233"/>
      <c r="X25" s="233"/>
      <c r="Y25" s="233"/>
      <c r="Z25" s="227"/>
      <c r="AA25" s="227"/>
    </row>
    <row r="26" spans="2:31" ht="14.4">
      <c r="B26" s="226"/>
      <c r="C26" s="227"/>
      <c r="D26" s="228"/>
      <c r="E26" s="229"/>
      <c r="F26" s="229"/>
      <c r="G26" s="271"/>
      <c r="H26" s="271"/>
      <c r="I26" s="271"/>
      <c r="J26" s="230"/>
      <c r="K26" s="230"/>
      <c r="L26" s="230"/>
      <c r="M26" s="232"/>
      <c r="N26" s="227"/>
      <c r="O26" s="227"/>
      <c r="P26" s="233"/>
      <c r="Q26" s="295"/>
      <c r="R26" s="233"/>
      <c r="S26" s="233"/>
      <c r="T26" s="266" t="s">
        <v>193</v>
      </c>
      <c r="U26" s="233"/>
      <c r="V26" s="233"/>
      <c r="W26" s="233"/>
      <c r="X26" s="227"/>
      <c r="Y26" s="227"/>
      <c r="Z26" s="227"/>
      <c r="AA26" s="227"/>
    </row>
    <row r="27" spans="2:31" ht="14.4" thickBot="1">
      <c r="B27" s="227"/>
      <c r="C27" s="227"/>
      <c r="D27" s="230"/>
      <c r="E27" s="230"/>
      <c r="F27" s="234" t="s">
        <v>8</v>
      </c>
      <c r="G27" s="230"/>
      <c r="H27" s="234"/>
      <c r="I27" s="234"/>
      <c r="J27" s="234"/>
      <c r="K27" s="234"/>
      <c r="L27" s="234"/>
      <c r="M27" s="235"/>
      <c r="N27" s="227"/>
      <c r="O27" s="233"/>
      <c r="P27" s="233"/>
      <c r="Q27" s="268"/>
      <c r="R27" s="233"/>
      <c r="S27" s="233"/>
      <c r="T27" s="267">
        <v>3.5999999999999999E-3</v>
      </c>
      <c r="U27" s="233"/>
      <c r="V27" s="438" t="s">
        <v>906</v>
      </c>
      <c r="W27" s="439" t="s">
        <v>933</v>
      </c>
      <c r="X27" s="440" t="s">
        <v>934</v>
      </c>
      <c r="Y27" s="438" t="s">
        <v>906</v>
      </c>
      <c r="Z27" s="439" t="s">
        <v>933</v>
      </c>
      <c r="AA27" s="440" t="s">
        <v>934</v>
      </c>
    </row>
    <row r="28" spans="2:31" ht="27.6">
      <c r="B28" s="238" t="s">
        <v>2</v>
      </c>
      <c r="C28" s="238" t="s">
        <v>26</v>
      </c>
      <c r="D28" s="238" t="s">
        <v>14</v>
      </c>
      <c r="E28" s="238" t="s">
        <v>15</v>
      </c>
      <c r="F28" s="422" t="s">
        <v>108</v>
      </c>
      <c r="G28" s="239" t="s">
        <v>907</v>
      </c>
      <c r="H28" s="239" t="s">
        <v>935</v>
      </c>
      <c r="I28" s="239" t="s">
        <v>936</v>
      </c>
      <c r="J28" s="240" t="s">
        <v>908</v>
      </c>
      <c r="K28" s="240" t="s">
        <v>937</v>
      </c>
      <c r="L28" s="240" t="s">
        <v>938</v>
      </c>
      <c r="M28" s="238" t="s">
        <v>0</v>
      </c>
      <c r="N28" s="238" t="s">
        <v>184</v>
      </c>
      <c r="O28" s="239" t="s">
        <v>107</v>
      </c>
      <c r="P28" s="227"/>
      <c r="Q28" s="227"/>
      <c r="R28" s="227"/>
      <c r="S28" s="227"/>
      <c r="T28" s="227"/>
      <c r="U28" s="227"/>
      <c r="V28" s="273" t="s">
        <v>81</v>
      </c>
      <c r="W28" s="272" t="s">
        <v>81</v>
      </c>
      <c r="X28" s="441" t="s">
        <v>81</v>
      </c>
      <c r="Y28" s="273" t="s">
        <v>77</v>
      </c>
      <c r="Z28" s="272" t="s">
        <v>77</v>
      </c>
      <c r="AA28" s="441" t="s">
        <v>77</v>
      </c>
    </row>
    <row r="29" spans="2:31" ht="21" thickBot="1">
      <c r="B29" s="242" t="s">
        <v>27</v>
      </c>
      <c r="C29" s="242"/>
      <c r="D29" s="242"/>
      <c r="E29" s="242"/>
      <c r="F29" s="243"/>
      <c r="G29" s="243" t="s">
        <v>65</v>
      </c>
      <c r="H29" s="243" t="s">
        <v>65</v>
      </c>
      <c r="I29" s="243" t="s">
        <v>65</v>
      </c>
      <c r="J29" s="243" t="s">
        <v>75</v>
      </c>
      <c r="K29" s="243" t="s">
        <v>75</v>
      </c>
      <c r="L29" s="243" t="s">
        <v>75</v>
      </c>
      <c r="M29" s="242"/>
      <c r="N29" s="242" t="s">
        <v>775</v>
      </c>
      <c r="O29" s="242" t="s">
        <v>108</v>
      </c>
      <c r="P29" s="227"/>
      <c r="Q29" s="227"/>
      <c r="R29" s="227"/>
      <c r="S29" s="227"/>
      <c r="T29" s="227"/>
      <c r="U29" s="227" t="s">
        <v>108</v>
      </c>
      <c r="V29" s="275" t="s">
        <v>48</v>
      </c>
      <c r="W29" s="459" t="s">
        <v>48</v>
      </c>
      <c r="X29" s="442" t="s">
        <v>48</v>
      </c>
      <c r="Y29" s="275" t="s">
        <v>76</v>
      </c>
      <c r="Z29" s="274" t="s">
        <v>76</v>
      </c>
      <c r="AA29" s="442" t="s">
        <v>76</v>
      </c>
    </row>
    <row r="30" spans="2:31" ht="15" customHeight="1">
      <c r="B30" s="233" t="str">
        <f>Processes!D43</f>
        <v>RATELCAE1</v>
      </c>
      <c r="C30" s="233" t="str">
        <f>Processes!E43</f>
        <v>Residential Appliances Technology   - Electricity Appliances - Existing 1</v>
      </c>
      <c r="D30" s="230" t="str">
        <f>Commodities!$C$30</f>
        <v>RESELCA</v>
      </c>
      <c r="E30" s="259" t="str">
        <f>Commodities!$C$16</f>
        <v>RADEM</v>
      </c>
      <c r="F30" s="259">
        <v>2010</v>
      </c>
      <c r="G30" s="250">
        <f t="shared" ref="G30:I35" si="43">ROUNDUP(Y30/($M30*$N30)*$G$25,2)</f>
        <v>10255.08</v>
      </c>
      <c r="H30" s="250">
        <f t="shared" si="43"/>
        <v>0</v>
      </c>
      <c r="I30" s="250">
        <f t="shared" si="43"/>
        <v>0</v>
      </c>
      <c r="J30" s="462">
        <v>1</v>
      </c>
      <c r="K30" s="462">
        <v>1</v>
      </c>
      <c r="L30" s="462">
        <v>1</v>
      </c>
      <c r="M30" s="244">
        <f t="shared" ref="M30:M37" si="44">31.536/1000</f>
        <v>3.1536000000000002E-2</v>
      </c>
      <c r="N30" s="460">
        <v>0.8</v>
      </c>
      <c r="O30" s="245">
        <v>30</v>
      </c>
      <c r="P30" s="268"/>
      <c r="Q30" s="568">
        <f>SUM(G30:I30)*M30</f>
        <v>323.40420288000001</v>
      </c>
      <c r="R30" s="268" t="str">
        <f>B25</f>
        <v>Appliances</v>
      </c>
      <c r="S30" s="227" t="s">
        <v>79</v>
      </c>
      <c r="T30" s="254" t="s">
        <v>189</v>
      </c>
      <c r="U30" s="246">
        <v>2010</v>
      </c>
      <c r="V30" s="434" cm="1">
        <f t="array" ref="V30">_xlfn.IFNA(INDEX('Data manipulation'!$C$23:$N$125,MATCH($S30&amp;$R30,'Data manipulation'!$B$23:$B$125&amp;'Data manipulation'!$A$23:$A$125,0),MATCH($U30,'Data manipulation'!$C$22:$N$22,0))/1000,0)*SUMIFS('Regional split'!$F$4:$F$6,'Regional split'!$B$4:$B$6,V$4)</f>
        <v>253.650128</v>
      </c>
      <c r="W30" s="434" cm="1">
        <f t="array" ref="W30">_xlfn.IFNA(INDEX('Data manipulation'!$C$23:$N$125,MATCH($S30&amp;$R30,'Data manipulation'!$B$23:$B$125&amp;'Data manipulation'!$A$23:$A$125,0),MATCH($U30,'Data manipulation'!$C$22:$N$22,0))/1000,0)*SUMIFS('Regional split'!$F$4:$F$6,'Regional split'!$B$4:$B$6,W$4)</f>
        <v>0</v>
      </c>
      <c r="X30" s="434" cm="1">
        <f t="array" ref="X30">_xlfn.IFNA(INDEX('Data manipulation'!$C$23:$N$125,MATCH($S30&amp;$R30,'Data manipulation'!$B$23:$B$125&amp;'Data manipulation'!$A$23:$A$125,0),MATCH($U30,'Data manipulation'!$C$22:$N$22,0))/1000,0)*SUMIFS('Regional split'!$F$4:$F$6,'Regional split'!$B$4:$B$6,X$4)</f>
        <v>0</v>
      </c>
      <c r="Y30" s="445">
        <f t="shared" ref="Y30:Y31" si="45">V30*J30</f>
        <v>253.650128</v>
      </c>
      <c r="Z30" s="251">
        <f t="shared" ref="Z30:Z35" si="46">W30*K30</f>
        <v>0</v>
      </c>
      <c r="AA30" s="446">
        <f t="shared" ref="AA30:AA35" si="47">X30*L30</f>
        <v>0</v>
      </c>
    </row>
    <row r="31" spans="2:31" ht="15" customHeight="1">
      <c r="B31" s="233" t="str">
        <f>Processes!D44</f>
        <v>RATGSLE1</v>
      </c>
      <c r="C31" s="233" t="str">
        <f>Processes!E44</f>
        <v>Residential Appliances Technology   - Gasoline - Existing 1</v>
      </c>
      <c r="D31" s="230" t="str">
        <f>Commodities!$C$22</f>
        <v>RESGSL</v>
      </c>
      <c r="E31" s="259" t="str">
        <f>Commodities!$C$16</f>
        <v>RADEM</v>
      </c>
      <c r="F31" s="259">
        <v>2010</v>
      </c>
      <c r="G31" s="250">
        <f t="shared" si="43"/>
        <v>27.64</v>
      </c>
      <c r="H31" s="250">
        <f t="shared" si="43"/>
        <v>0</v>
      </c>
      <c r="I31" s="250">
        <f t="shared" si="43"/>
        <v>0</v>
      </c>
      <c r="J31" s="462">
        <v>0.15</v>
      </c>
      <c r="K31" s="462">
        <v>0.15</v>
      </c>
      <c r="L31" s="462">
        <v>0.15</v>
      </c>
      <c r="M31" s="244">
        <f t="shared" si="44"/>
        <v>3.1536000000000002E-2</v>
      </c>
      <c r="N31" s="460">
        <v>0.8</v>
      </c>
      <c r="O31" s="245">
        <v>30</v>
      </c>
      <c r="P31" s="227"/>
      <c r="Q31" s="268"/>
      <c r="R31" s="268" t="str">
        <f>R30</f>
        <v>Appliances</v>
      </c>
      <c r="S31" s="604" t="s">
        <v>890</v>
      </c>
      <c r="T31" s="254" t="s">
        <v>749</v>
      </c>
      <c r="U31" s="246">
        <v>2010</v>
      </c>
      <c r="V31" s="434" cm="1">
        <f t="array" ref="V31">_xlfn.IFNA(INDEX('Data manipulation'!$C$23:$N$125,MATCH($S31&amp;$R31,'Data manipulation'!$B$23:$B$125&amp;'Data manipulation'!$A$23:$A$125,0),MATCH($U31,'Data manipulation'!$C$22:$N$22,0))/1000,0)*SUMIFS('Regional split'!$F$4:$F$6,'Regional split'!$B$4:$B$6,V$4)</f>
        <v>4.556489</v>
      </c>
      <c r="W31" s="434" cm="1">
        <f t="array" ref="W31">_xlfn.IFNA(INDEX('Data manipulation'!$C$23:$N$125,MATCH($S31&amp;$R31,'Data manipulation'!$B$23:$B$125&amp;'Data manipulation'!$A$23:$A$125,0),MATCH($U31,'Data manipulation'!$C$22:$N$22,0))/1000,0)*SUMIFS('Regional split'!$F$4:$F$6,'Regional split'!$B$4:$B$6,W$4)</f>
        <v>0</v>
      </c>
      <c r="X31" s="434" cm="1">
        <f t="array" ref="X31">_xlfn.IFNA(INDEX('Data manipulation'!$C$23:$N$125,MATCH($S31&amp;$R31,'Data manipulation'!$B$23:$B$125&amp;'Data manipulation'!$A$23:$A$125,0),MATCH($U31,'Data manipulation'!$C$22:$N$22,0))/1000,0)*SUMIFS('Regional split'!$F$4:$F$6,'Regional split'!$B$4:$B$6,X$4)</f>
        <v>0</v>
      </c>
      <c r="Y31" s="445">
        <f t="shared" si="45"/>
        <v>0.68347334999999998</v>
      </c>
      <c r="Z31" s="251">
        <f t="shared" si="46"/>
        <v>0</v>
      </c>
      <c r="AA31" s="446">
        <f t="shared" si="47"/>
        <v>0</v>
      </c>
    </row>
    <row r="32" spans="2:31" ht="14.4">
      <c r="B32" s="233" t="str">
        <f t="shared" ref="B32:E35" si="48">B30</f>
        <v>RATELCAE1</v>
      </c>
      <c r="C32" s="233" t="str">
        <f t="shared" si="48"/>
        <v>Residential Appliances Technology   - Electricity Appliances - Existing 1</v>
      </c>
      <c r="D32" s="233" t="str">
        <f t="shared" si="48"/>
        <v>RESELCA</v>
      </c>
      <c r="E32" s="233" t="str">
        <f t="shared" si="48"/>
        <v>RADEM</v>
      </c>
      <c r="F32" s="259">
        <v>2015</v>
      </c>
      <c r="G32" s="250">
        <f>ROUNDUP(Y32/($M32*$N32)*$G$25,2)</f>
        <v>9642.98</v>
      </c>
      <c r="H32" s="250">
        <f t="shared" ref="H32:H33" si="49">ROUNDUP(Z32/($M32*$N32)*$G$25,2)</f>
        <v>0</v>
      </c>
      <c r="I32" s="250">
        <f t="shared" ref="I32:I33" si="50">ROUNDUP(AA32/($M32*$N32)*$G$25,2)</f>
        <v>0</v>
      </c>
      <c r="J32" s="462">
        <f t="shared" ref="J32:L35" si="51">J30</f>
        <v>1</v>
      </c>
      <c r="K32" s="462">
        <f t="shared" si="51"/>
        <v>1</v>
      </c>
      <c r="L32" s="462">
        <f t="shared" si="51"/>
        <v>1</v>
      </c>
      <c r="M32" s="244">
        <f t="shared" si="44"/>
        <v>3.1536000000000002E-2</v>
      </c>
      <c r="N32" s="460">
        <v>0.8</v>
      </c>
      <c r="O32" s="245">
        <v>30</v>
      </c>
      <c r="P32" s="227"/>
      <c r="Q32" s="227"/>
      <c r="R32" s="268" t="str">
        <f>R30</f>
        <v>Appliances</v>
      </c>
      <c r="S32" s="227" t="s">
        <v>79</v>
      </c>
      <c r="T32" s="254" t="s">
        <v>189</v>
      </c>
      <c r="U32" s="246">
        <v>2015</v>
      </c>
      <c r="V32" s="434" cm="1">
        <f t="array" ref="V32">_xlfn.IFNA(INDEX('Data manipulation'!$C$23:$N$125,MATCH($S32&amp;$R32,'Data manipulation'!$B$23:$B$125&amp;'Data manipulation'!$A$23:$A$125,0),MATCH($U32,'Data manipulation'!$C$22:$N$22,0))/1000,0)*SUMIFS('Regional split'!$F$4:$F$6,'Regional split'!$B$4:$B$6,V$4)</f>
        <v>238.51057999999998</v>
      </c>
      <c r="W32" s="434" cm="1">
        <f t="array" ref="W32">_xlfn.IFNA(INDEX('Data manipulation'!$C$23:$N$125,MATCH($S32&amp;$R32,'Data manipulation'!$B$23:$B$125&amp;'Data manipulation'!$A$23:$A$125,0),MATCH($U32,'Data manipulation'!$C$22:$N$22,0))/1000,0)*SUMIFS('Regional split'!$F$4:$F$6,'Regional split'!$B$4:$B$6,W$4)</f>
        <v>0</v>
      </c>
      <c r="X32" s="434" cm="1">
        <f t="array" ref="X32">_xlfn.IFNA(INDEX('Data manipulation'!$C$23:$N$125,MATCH($S32&amp;$R32,'Data manipulation'!$B$23:$B$125&amp;'Data manipulation'!$A$23:$A$125,0),MATCH($U32,'Data manipulation'!$C$22:$N$22,0))/1000,0)*SUMIFS('Regional split'!$F$4:$F$6,'Regional split'!$B$4:$B$6,X$4)</f>
        <v>0</v>
      </c>
      <c r="Y32" s="445">
        <f>V32*J32</f>
        <v>238.51057999999998</v>
      </c>
      <c r="Z32" s="251">
        <f t="shared" ref="Z32:Z33" si="52">W32*K32</f>
        <v>0</v>
      </c>
      <c r="AA32" s="446">
        <f t="shared" ref="AA32:AA33" si="53">X32*L32</f>
        <v>0</v>
      </c>
    </row>
    <row r="33" spans="2:30" ht="14.4">
      <c r="B33" s="233" t="str">
        <f t="shared" si="48"/>
        <v>RATGSLE1</v>
      </c>
      <c r="C33" s="233" t="str">
        <f t="shared" si="48"/>
        <v>Residential Appliances Technology   - Gasoline - Existing 1</v>
      </c>
      <c r="D33" s="233" t="str">
        <f t="shared" si="48"/>
        <v>RESGSL</v>
      </c>
      <c r="E33" s="233" t="str">
        <f t="shared" si="48"/>
        <v>RADEM</v>
      </c>
      <c r="F33" s="259">
        <v>2015</v>
      </c>
      <c r="G33" s="250">
        <f>ROUNDUP(Y33/($M33*$N33)*$G$25,2)</f>
        <v>26.59</v>
      </c>
      <c r="H33" s="250">
        <f t="shared" si="49"/>
        <v>0</v>
      </c>
      <c r="I33" s="250">
        <f t="shared" si="50"/>
        <v>0</v>
      </c>
      <c r="J33" s="462">
        <f t="shared" si="51"/>
        <v>0.15</v>
      </c>
      <c r="K33" s="462">
        <f t="shared" si="51"/>
        <v>0.15</v>
      </c>
      <c r="L33" s="462">
        <f t="shared" si="51"/>
        <v>0.15</v>
      </c>
      <c r="M33" s="244">
        <f t="shared" si="44"/>
        <v>3.1536000000000002E-2</v>
      </c>
      <c r="N33" s="460">
        <v>0.8</v>
      </c>
      <c r="O33" s="245">
        <v>30</v>
      </c>
      <c r="P33" s="227"/>
      <c r="Q33" s="227"/>
      <c r="R33" s="268" t="str">
        <f>R31</f>
        <v>Appliances</v>
      </c>
      <c r="S33" s="604" t="s">
        <v>890</v>
      </c>
      <c r="T33" s="254" t="s">
        <v>749</v>
      </c>
      <c r="U33" s="246">
        <v>2015</v>
      </c>
      <c r="V33" s="434" cm="1">
        <f t="array" ref="V33">_xlfn.IFNA(INDEX('Data manipulation'!$C$23:$N$125,MATCH($S33&amp;$R33,'Data manipulation'!$B$23:$B$125&amp;'Data manipulation'!$A$23:$A$125,0),MATCH($U33,'Data manipulation'!$C$22:$N$22,0))/1000,0)*SUMIFS('Regional split'!$F$4:$F$6,'Regional split'!$B$4:$B$6,V$4)</f>
        <v>4.3830020000000003</v>
      </c>
      <c r="W33" s="434" cm="1">
        <f t="array" ref="W33">_xlfn.IFNA(INDEX('Data manipulation'!$C$23:$N$125,MATCH($S33&amp;$R33,'Data manipulation'!$B$23:$B$125&amp;'Data manipulation'!$A$23:$A$125,0),MATCH($U33,'Data manipulation'!$C$22:$N$22,0))/1000,0)*SUMIFS('Regional split'!$F$4:$F$6,'Regional split'!$B$4:$B$6,W$4)</f>
        <v>0</v>
      </c>
      <c r="X33" s="434" cm="1">
        <f t="array" ref="X33">_xlfn.IFNA(INDEX('Data manipulation'!$C$23:$N$125,MATCH($S33&amp;$R33,'Data manipulation'!$B$23:$B$125&amp;'Data manipulation'!$A$23:$A$125,0),MATCH($U33,'Data manipulation'!$C$22:$N$22,0))/1000,0)*SUMIFS('Regional split'!$F$4:$F$6,'Regional split'!$B$4:$B$6,X$4)</f>
        <v>0</v>
      </c>
      <c r="Y33" s="445">
        <f t="shared" ref="Y33" si="54">V33*J33</f>
        <v>0.65745030000000004</v>
      </c>
      <c r="Z33" s="251">
        <f t="shared" si="52"/>
        <v>0</v>
      </c>
      <c r="AA33" s="446">
        <f t="shared" si="53"/>
        <v>0</v>
      </c>
    </row>
    <row r="34" spans="2:30" ht="14.4">
      <c r="B34" s="233" t="str">
        <f t="shared" si="48"/>
        <v>RATELCAE1</v>
      </c>
      <c r="C34" s="233" t="str">
        <f t="shared" si="48"/>
        <v>Residential Appliances Technology   - Electricity Appliances - Existing 1</v>
      </c>
      <c r="D34" s="233" t="str">
        <f t="shared" si="48"/>
        <v>RESELCA</v>
      </c>
      <c r="E34" s="233" t="str">
        <f t="shared" si="48"/>
        <v>RADEM</v>
      </c>
      <c r="F34" s="259">
        <v>2018</v>
      </c>
      <c r="G34" s="250">
        <f t="shared" si="43"/>
        <v>9493.73</v>
      </c>
      <c r="H34" s="250">
        <f t="shared" si="43"/>
        <v>0</v>
      </c>
      <c r="I34" s="250">
        <f t="shared" si="43"/>
        <v>0</v>
      </c>
      <c r="J34" s="462">
        <f t="shared" si="51"/>
        <v>1</v>
      </c>
      <c r="K34" s="462">
        <f t="shared" si="51"/>
        <v>1</v>
      </c>
      <c r="L34" s="462">
        <f t="shared" si="51"/>
        <v>1</v>
      </c>
      <c r="M34" s="244">
        <f t="shared" si="44"/>
        <v>3.1536000000000002E-2</v>
      </c>
      <c r="N34" s="460">
        <v>0.8</v>
      </c>
      <c r="O34" s="245">
        <v>30</v>
      </c>
      <c r="P34" s="227"/>
      <c r="Q34" s="227"/>
      <c r="R34" s="268" t="str">
        <f>R32</f>
        <v>Appliances</v>
      </c>
      <c r="S34" s="227" t="s">
        <v>79</v>
      </c>
      <c r="T34" s="254" t="s">
        <v>189</v>
      </c>
      <c r="U34" s="246">
        <v>2018</v>
      </c>
      <c r="V34" s="434" cm="1">
        <f t="array" ref="V34">_xlfn.IFNA(INDEX('Data manipulation'!$C$23:$N$125,MATCH($S34&amp;$R34,'Data manipulation'!$B$23:$B$125&amp;'Data manipulation'!$A$23:$A$125,0),MATCH($U34,'Data manipulation'!$C$22:$N$22,0))/1000,0)*SUMIFS('Regional split'!$F$4:$F$6,'Regional split'!$B$4:$B$6,V$4)</f>
        <v>234.81884100000002</v>
      </c>
      <c r="W34" s="434" cm="1">
        <f t="array" ref="W34">_xlfn.IFNA(INDEX('Data manipulation'!$C$23:$N$125,MATCH($S34&amp;$R34,'Data manipulation'!$B$23:$B$125&amp;'Data manipulation'!$A$23:$A$125,0),MATCH($U34,'Data manipulation'!$C$22:$N$22,0))/1000,0)*SUMIFS('Regional split'!$F$4:$F$6,'Regional split'!$B$4:$B$6,W$4)</f>
        <v>0</v>
      </c>
      <c r="X34" s="434" cm="1">
        <f t="array" ref="X34">_xlfn.IFNA(INDEX('Data manipulation'!$C$23:$N$125,MATCH($S34&amp;$R34,'Data manipulation'!$B$23:$B$125&amp;'Data manipulation'!$A$23:$A$125,0),MATCH($U34,'Data manipulation'!$C$22:$N$22,0))/1000,0)*SUMIFS('Regional split'!$F$4:$F$6,'Regional split'!$B$4:$B$6,X$4)</f>
        <v>0</v>
      </c>
      <c r="Y34" s="445">
        <f>V34*J34</f>
        <v>234.81884100000002</v>
      </c>
      <c r="Z34" s="251">
        <f t="shared" si="46"/>
        <v>0</v>
      </c>
      <c r="AA34" s="446">
        <f t="shared" si="47"/>
        <v>0</v>
      </c>
    </row>
    <row r="35" spans="2:30" ht="14.4">
      <c r="B35" s="233" t="str">
        <f t="shared" si="48"/>
        <v>RATGSLE1</v>
      </c>
      <c r="C35" s="233" t="str">
        <f t="shared" si="48"/>
        <v>Residential Appliances Technology   - Gasoline - Existing 1</v>
      </c>
      <c r="D35" s="233" t="str">
        <f t="shared" si="48"/>
        <v>RESGSL</v>
      </c>
      <c r="E35" s="233" t="str">
        <f t="shared" si="48"/>
        <v>RADEM</v>
      </c>
      <c r="F35" s="259">
        <v>2018</v>
      </c>
      <c r="G35" s="250">
        <f t="shared" si="43"/>
        <v>27.8</v>
      </c>
      <c r="H35" s="250">
        <f t="shared" si="43"/>
        <v>0</v>
      </c>
      <c r="I35" s="250">
        <f t="shared" si="43"/>
        <v>0</v>
      </c>
      <c r="J35" s="462">
        <f t="shared" si="51"/>
        <v>0.15</v>
      </c>
      <c r="K35" s="462">
        <f t="shared" si="51"/>
        <v>0.15</v>
      </c>
      <c r="L35" s="462">
        <f t="shared" si="51"/>
        <v>0.15</v>
      </c>
      <c r="M35" s="244">
        <f t="shared" si="44"/>
        <v>3.1536000000000002E-2</v>
      </c>
      <c r="N35" s="460">
        <v>0.8</v>
      </c>
      <c r="O35" s="245">
        <v>30</v>
      </c>
      <c r="P35" s="227"/>
      <c r="Q35" s="227"/>
      <c r="R35" s="268" t="str">
        <f>R33</f>
        <v>Appliances</v>
      </c>
      <c r="S35" s="604" t="s">
        <v>890</v>
      </c>
      <c r="T35" s="254" t="s">
        <v>749</v>
      </c>
      <c r="U35" s="246">
        <v>2018</v>
      </c>
      <c r="V35" s="434" cm="1">
        <f t="array" ref="V35">_xlfn.IFNA(INDEX('Data manipulation'!$C$23:$N$125,MATCH($S35&amp;$R35,'Data manipulation'!$B$23:$B$125&amp;'Data manipulation'!$A$23:$A$125,0),MATCH($U35,'Data manipulation'!$C$22:$N$22,0))/1000,0)*SUMIFS('Regional split'!$F$4:$F$6,'Regional split'!$B$4:$B$6,V$4)</f>
        <v>4.5830570000000002</v>
      </c>
      <c r="W35" s="434" cm="1">
        <f t="array" ref="W35">_xlfn.IFNA(INDEX('Data manipulation'!$C$23:$N$125,MATCH($S35&amp;$R35,'Data manipulation'!$B$23:$B$125&amp;'Data manipulation'!$A$23:$A$125,0),MATCH($U35,'Data manipulation'!$C$22:$N$22,0))/1000,0)*SUMIFS('Regional split'!$F$4:$F$6,'Regional split'!$B$4:$B$6,W$4)</f>
        <v>0</v>
      </c>
      <c r="X35" s="434" cm="1">
        <f t="array" ref="X35">_xlfn.IFNA(INDEX('Data manipulation'!$C$23:$N$125,MATCH($S35&amp;$R35,'Data manipulation'!$B$23:$B$125&amp;'Data manipulation'!$A$23:$A$125,0),MATCH($U35,'Data manipulation'!$C$22:$N$22,0))/1000,0)*SUMIFS('Regional split'!$F$4:$F$6,'Regional split'!$B$4:$B$6,X$4)</f>
        <v>0</v>
      </c>
      <c r="Y35" s="445">
        <f t="shared" ref="Y35" si="55">V35*J35</f>
        <v>0.68745855</v>
      </c>
      <c r="Z35" s="251">
        <f t="shared" si="46"/>
        <v>0</v>
      </c>
      <c r="AA35" s="446">
        <f t="shared" si="47"/>
        <v>0</v>
      </c>
    </row>
    <row r="36" spans="2:30" ht="14.4">
      <c r="B36" s="233" t="str">
        <f t="shared" ref="B36:E36" si="56">B34</f>
        <v>RATELCAE1</v>
      </c>
      <c r="C36" s="233" t="str">
        <f t="shared" si="56"/>
        <v>Residential Appliances Technology   - Electricity Appliances - Existing 1</v>
      </c>
      <c r="D36" s="233" t="str">
        <f t="shared" si="56"/>
        <v>RESELCA</v>
      </c>
      <c r="E36" s="233" t="str">
        <f t="shared" si="56"/>
        <v>RADEM</v>
      </c>
      <c r="F36" s="574">
        <f>F34+O36</f>
        <v>2048</v>
      </c>
      <c r="G36" s="250">
        <v>0</v>
      </c>
      <c r="H36" s="250">
        <v>0</v>
      </c>
      <c r="I36" s="250">
        <v>0</v>
      </c>
      <c r="J36" s="462">
        <f t="shared" ref="J36:L36" si="57">J34</f>
        <v>1</v>
      </c>
      <c r="K36" s="462">
        <f t="shared" si="57"/>
        <v>1</v>
      </c>
      <c r="L36" s="462">
        <f t="shared" si="57"/>
        <v>1</v>
      </c>
      <c r="M36" s="244">
        <f t="shared" si="44"/>
        <v>3.1536000000000002E-2</v>
      </c>
      <c r="N36" s="460">
        <v>0.8</v>
      </c>
      <c r="O36" s="245">
        <v>30</v>
      </c>
      <c r="P36" s="227"/>
      <c r="Q36" s="227"/>
      <c r="R36" s="268" t="str">
        <f>R35</f>
        <v>Appliances</v>
      </c>
      <c r="S36" s="227" t="s">
        <v>79</v>
      </c>
      <c r="T36" s="254" t="s">
        <v>189</v>
      </c>
      <c r="U36" s="246">
        <v>2018</v>
      </c>
      <c r="V36" s="434" cm="1">
        <f t="array" ref="V36">_xlfn.IFNA(INDEX('Data manipulation'!$C$23:$N$125,MATCH($S36&amp;$R36,'Data manipulation'!$B$23:$B$125&amp;'Data manipulation'!$A$23:$A$125,0),MATCH($U36,'Data manipulation'!$C$22:$N$22,0))/1000,0)*SUMIFS('Regional split'!$F$4:$F$6,'Regional split'!$B$4:$B$6,V$4)</f>
        <v>234.81884100000002</v>
      </c>
      <c r="W36" s="434" cm="1">
        <f t="array" ref="W36">_xlfn.IFNA(INDEX('Data manipulation'!$C$23:$N$125,MATCH($S36&amp;$R36,'Data manipulation'!$B$23:$B$125&amp;'Data manipulation'!$A$23:$A$125,0),MATCH($U36,'Data manipulation'!$C$22:$N$22,0))/1000,0)*SUMIFS('Regional split'!$F$4:$F$6,'Regional split'!$B$4:$B$6,W$4)</f>
        <v>0</v>
      </c>
      <c r="X36" s="434" cm="1">
        <f t="array" ref="X36">_xlfn.IFNA(INDEX('Data manipulation'!$C$23:$N$125,MATCH($S36&amp;$R36,'Data manipulation'!$B$23:$B$125&amp;'Data manipulation'!$A$23:$A$125,0),MATCH($U36,'Data manipulation'!$C$22:$N$22,0))/1000,0)*SUMIFS('Regional split'!$F$4:$F$6,'Regional split'!$B$4:$B$6,X$4)</f>
        <v>0</v>
      </c>
      <c r="Y36" s="445">
        <f t="shared" ref="Y36:Y37" si="58">V36*J36</f>
        <v>234.81884100000002</v>
      </c>
      <c r="Z36" s="251">
        <f t="shared" ref="Z36:Z37" si="59">W36*K36</f>
        <v>0</v>
      </c>
      <c r="AA36" s="446">
        <f t="shared" ref="AA36:AA37" si="60">X36*L36</f>
        <v>0</v>
      </c>
    </row>
    <row r="37" spans="2:30" ht="14.4">
      <c r="B37" s="233" t="str">
        <f t="shared" ref="B37:E37" si="61">B35</f>
        <v>RATGSLE1</v>
      </c>
      <c r="C37" s="233" t="str">
        <f t="shared" si="61"/>
        <v>Residential Appliances Technology   - Gasoline - Existing 1</v>
      </c>
      <c r="D37" s="233" t="str">
        <f t="shared" si="61"/>
        <v>RESGSL</v>
      </c>
      <c r="E37" s="233" t="str">
        <f t="shared" si="61"/>
        <v>RADEM</v>
      </c>
      <c r="F37" s="574">
        <f>F35+O37</f>
        <v>2048</v>
      </c>
      <c r="G37" s="250">
        <v>0</v>
      </c>
      <c r="H37" s="250">
        <v>0</v>
      </c>
      <c r="I37" s="250">
        <v>0</v>
      </c>
      <c r="J37" s="462">
        <f t="shared" ref="J37:L37" si="62">J35</f>
        <v>0.15</v>
      </c>
      <c r="K37" s="462">
        <f t="shared" si="62"/>
        <v>0.15</v>
      </c>
      <c r="L37" s="462">
        <f t="shared" si="62"/>
        <v>0.15</v>
      </c>
      <c r="M37" s="244">
        <f t="shared" si="44"/>
        <v>3.1536000000000002E-2</v>
      </c>
      <c r="N37" s="460">
        <v>0.8</v>
      </c>
      <c r="O37" s="245">
        <v>30</v>
      </c>
      <c r="P37" s="227"/>
      <c r="Q37" s="227"/>
      <c r="R37" s="268" t="str">
        <f>R36</f>
        <v>Appliances</v>
      </c>
      <c r="S37" s="604" t="s">
        <v>890</v>
      </c>
      <c r="T37" s="254" t="s">
        <v>749</v>
      </c>
      <c r="U37" s="246">
        <v>2018</v>
      </c>
      <c r="V37" s="434" cm="1">
        <f t="array" ref="V37">_xlfn.IFNA(INDEX('Data manipulation'!$C$23:$N$125,MATCH($S37&amp;$R37,'Data manipulation'!$B$23:$B$125&amp;'Data manipulation'!$A$23:$A$125,0),MATCH($U37,'Data manipulation'!$C$22:$N$22,0))/1000,0)*SUMIFS('Regional split'!$F$4:$F$6,'Regional split'!$B$4:$B$6,V$4)</f>
        <v>4.5830570000000002</v>
      </c>
      <c r="W37" s="434" cm="1">
        <f t="array" ref="W37">_xlfn.IFNA(INDEX('Data manipulation'!$C$23:$N$125,MATCH($S37&amp;$R37,'Data manipulation'!$B$23:$B$125&amp;'Data manipulation'!$A$23:$A$125,0),MATCH($U37,'Data manipulation'!$C$22:$N$22,0))/1000,0)*SUMIFS('Regional split'!$F$4:$F$6,'Regional split'!$B$4:$B$6,W$4)</f>
        <v>0</v>
      </c>
      <c r="X37" s="434" cm="1">
        <f t="array" ref="X37">_xlfn.IFNA(INDEX('Data manipulation'!$C$23:$N$125,MATCH($S37&amp;$R37,'Data manipulation'!$B$23:$B$125&amp;'Data manipulation'!$A$23:$A$125,0),MATCH($U37,'Data manipulation'!$C$22:$N$22,0))/1000,0)*SUMIFS('Regional split'!$F$4:$F$6,'Regional split'!$B$4:$B$6,X$4)</f>
        <v>0</v>
      </c>
      <c r="Y37" s="445">
        <f t="shared" si="58"/>
        <v>0.68745855</v>
      </c>
      <c r="Z37" s="251">
        <f t="shared" si="59"/>
        <v>0</v>
      </c>
      <c r="AA37" s="446">
        <f t="shared" si="60"/>
        <v>0</v>
      </c>
    </row>
    <row r="38" spans="2:30" ht="13.8">
      <c r="B38" s="227"/>
      <c r="C38" s="227"/>
    </row>
    <row r="39" spans="2:30" ht="13.8">
      <c r="B39" s="227"/>
      <c r="C39" s="227"/>
    </row>
    <row r="40" spans="2:30" ht="21.6" thickBot="1">
      <c r="B40" s="508" t="s">
        <v>760</v>
      </c>
      <c r="C40" s="227"/>
      <c r="D40" s="228"/>
      <c r="E40" s="229" t="s">
        <v>181</v>
      </c>
      <c r="F40" s="229"/>
      <c r="G40" s="271">
        <v>1.02</v>
      </c>
      <c r="H40" s="271"/>
      <c r="I40" s="271"/>
      <c r="J40" s="230"/>
      <c r="K40" s="230"/>
      <c r="L40" s="230"/>
      <c r="M40" s="231"/>
      <c r="N40" s="232"/>
      <c r="O40" s="232"/>
      <c r="P40" s="227"/>
      <c r="Q40" s="227"/>
      <c r="R40" s="233"/>
      <c r="S40" s="295"/>
      <c r="T40" s="233"/>
      <c r="W40" s="233"/>
      <c r="X40" s="233"/>
      <c r="Y40" s="233"/>
      <c r="Z40" s="227"/>
      <c r="AA40" s="227"/>
      <c r="AC40" s="233" t="s">
        <v>106</v>
      </c>
      <c r="AD40" s="657">
        <f>SUM(V45:W52)</f>
        <v>336.13381300000003</v>
      </c>
    </row>
    <row r="41" spans="2:30" ht="14.4">
      <c r="B41" s="226"/>
      <c r="C41" s="227"/>
      <c r="D41" s="228"/>
      <c r="E41" s="229"/>
      <c r="F41" s="229"/>
      <c r="G41" s="271"/>
      <c r="H41" s="271"/>
      <c r="I41" s="271"/>
      <c r="J41" s="230"/>
      <c r="K41" s="230"/>
      <c r="L41" s="230"/>
      <c r="M41" s="232"/>
      <c r="N41" s="227"/>
      <c r="O41" s="227"/>
      <c r="P41" s="233"/>
      <c r="Q41" s="295"/>
      <c r="R41" s="233"/>
      <c r="S41" s="233"/>
      <c r="T41" s="266" t="s">
        <v>193</v>
      </c>
      <c r="W41" s="233"/>
      <c r="X41" s="227"/>
      <c r="Y41" s="227"/>
      <c r="Z41" s="227"/>
      <c r="AA41" s="227"/>
      <c r="AC41" s="233" t="s">
        <v>961</v>
      </c>
      <c r="AD41" s="658">
        <f>'Data manipulation'!F61/1000</f>
        <v>336.13381300000003</v>
      </c>
    </row>
    <row r="42" spans="2:30" ht="14.4" thickBot="1">
      <c r="B42" s="227"/>
      <c r="C42" s="227"/>
      <c r="D42" s="230"/>
      <c r="E42" s="230"/>
      <c r="F42" s="234" t="s">
        <v>8</v>
      </c>
      <c r="G42" s="230"/>
      <c r="H42" s="234"/>
      <c r="I42" s="234"/>
      <c r="J42" s="234"/>
      <c r="K42" s="234"/>
      <c r="L42" s="234"/>
      <c r="M42" s="235"/>
      <c r="N42" s="227"/>
      <c r="O42" s="233"/>
      <c r="P42" s="233"/>
      <c r="Q42" s="268"/>
      <c r="R42" s="233"/>
      <c r="S42" s="233"/>
      <c r="T42" s="267">
        <v>3.5999999999999999E-3</v>
      </c>
      <c r="U42" s="233"/>
      <c r="V42" s="438" t="s">
        <v>906</v>
      </c>
      <c r="W42" s="439" t="s">
        <v>933</v>
      </c>
      <c r="X42" s="440" t="s">
        <v>934</v>
      </c>
      <c r="Y42" s="438" t="s">
        <v>906</v>
      </c>
      <c r="Z42" s="439" t="s">
        <v>933</v>
      </c>
      <c r="AA42" s="440" t="s">
        <v>934</v>
      </c>
    </row>
    <row r="43" spans="2:30" ht="27.6">
      <c r="B43" s="238" t="s">
        <v>2</v>
      </c>
      <c r="C43" s="238" t="s">
        <v>26</v>
      </c>
      <c r="D43" s="238" t="s">
        <v>14</v>
      </c>
      <c r="E43" s="238" t="s">
        <v>15</v>
      </c>
      <c r="F43" s="422" t="s">
        <v>108</v>
      </c>
      <c r="G43" s="239" t="s">
        <v>907</v>
      </c>
      <c r="H43" s="239" t="s">
        <v>935</v>
      </c>
      <c r="I43" s="239" t="s">
        <v>936</v>
      </c>
      <c r="J43" s="240" t="s">
        <v>908</v>
      </c>
      <c r="K43" s="240" t="s">
        <v>937</v>
      </c>
      <c r="L43" s="240" t="s">
        <v>938</v>
      </c>
      <c r="M43" s="238" t="s">
        <v>0</v>
      </c>
      <c r="N43" s="238" t="s">
        <v>184</v>
      </c>
      <c r="O43" s="239" t="s">
        <v>107</v>
      </c>
      <c r="P43" s="227"/>
      <c r="Q43" s="227"/>
      <c r="R43" s="227"/>
      <c r="S43" s="227"/>
      <c r="T43" s="227"/>
      <c r="U43" s="227"/>
      <c r="V43" s="273" t="s">
        <v>81</v>
      </c>
      <c r="W43" s="272" t="s">
        <v>81</v>
      </c>
      <c r="X43" s="441" t="s">
        <v>81</v>
      </c>
      <c r="Y43" s="273" t="s">
        <v>77</v>
      </c>
      <c r="Z43" s="272" t="s">
        <v>77</v>
      </c>
      <c r="AA43" s="441" t="s">
        <v>77</v>
      </c>
    </row>
    <row r="44" spans="2:30" ht="21" thickBot="1">
      <c r="B44" s="242" t="s">
        <v>27</v>
      </c>
      <c r="C44" s="242"/>
      <c r="D44" s="242"/>
      <c r="E44" s="242"/>
      <c r="F44" s="243"/>
      <c r="G44" s="243" t="s">
        <v>65</v>
      </c>
      <c r="H44" s="243" t="s">
        <v>65</v>
      </c>
      <c r="I44" s="243" t="s">
        <v>65</v>
      </c>
      <c r="J44" s="243" t="s">
        <v>75</v>
      </c>
      <c r="K44" s="243" t="s">
        <v>75</v>
      </c>
      <c r="L44" s="243" t="s">
        <v>75</v>
      </c>
      <c r="M44" s="242"/>
      <c r="N44" s="242" t="s">
        <v>775</v>
      </c>
      <c r="O44" s="242" t="s">
        <v>108</v>
      </c>
      <c r="P44" s="227"/>
      <c r="Q44" s="227"/>
      <c r="R44" s="227"/>
      <c r="S44" s="227"/>
      <c r="T44" s="227"/>
      <c r="U44" s="227" t="s">
        <v>108</v>
      </c>
      <c r="V44" s="275" t="s">
        <v>48</v>
      </c>
      <c r="W44" s="459" t="s">
        <v>48</v>
      </c>
      <c r="X44" s="442" t="s">
        <v>48</v>
      </c>
      <c r="Y44" s="275" t="s">
        <v>76</v>
      </c>
      <c r="Z44" s="274" t="s">
        <v>76</v>
      </c>
      <c r="AA44" s="442" t="s">
        <v>76</v>
      </c>
    </row>
    <row r="45" spans="2:30" ht="15" thickBot="1">
      <c r="B45" s="233" t="str">
        <f>Processes!D45</f>
        <v>RWTLPGE1</v>
      </c>
      <c r="C45" s="233" t="str">
        <f>Processes!E45</f>
        <v>Residential Water Hot Technology   - LPG - Existing 1</v>
      </c>
      <c r="D45" s="230" t="str">
        <f>Commodities!$C$20</f>
        <v>RESLPG</v>
      </c>
      <c r="E45" s="230" t="str">
        <f>Commodities!$C$15</f>
        <v>RWDEM</v>
      </c>
      <c r="F45" s="230">
        <v>2010</v>
      </c>
      <c r="G45" s="250">
        <f>ROUNDUP(Y45/($M45*$N45)*$G$2,2)</f>
        <v>0</v>
      </c>
      <c r="H45" s="250">
        <f t="shared" ref="H45:H68" si="63">ROUNDUP(Z45/($M45*$N45)*$G$2,2)</f>
        <v>0</v>
      </c>
      <c r="I45" s="250">
        <f t="shared" ref="I45:I68" si="64">ROUNDUP(AA45/($M45*$N45)*$G$2,2)</f>
        <v>0</v>
      </c>
      <c r="J45" s="462">
        <v>0.95</v>
      </c>
      <c r="K45" s="462">
        <v>0.95</v>
      </c>
      <c r="L45" s="462">
        <v>0.95</v>
      </c>
      <c r="M45" s="244">
        <f t="shared" ref="M45:M76" si="65">31.536/1000</f>
        <v>3.1536000000000002E-2</v>
      </c>
      <c r="N45" s="460">
        <v>1</v>
      </c>
      <c r="O45" s="245">
        <v>30</v>
      </c>
      <c r="P45" s="227"/>
      <c r="Q45" s="268"/>
      <c r="R45" s="268" t="str">
        <f>B40</f>
        <v>Hot Water</v>
      </c>
      <c r="S45" s="603" t="s">
        <v>790</v>
      </c>
      <c r="T45" s="246" t="s">
        <v>790</v>
      </c>
      <c r="U45" s="246">
        <v>2010</v>
      </c>
      <c r="V45" s="434" cm="1">
        <f t="array" ref="V45">_xlfn.IFNA(INDEX('Data manipulation'!$C$23:$N$125,MATCH($S45&amp;$R45,'Data manipulation'!$B$23:$B$125&amp;'Data manipulation'!$A$23:$A$125,0),MATCH($U45,'Data manipulation'!$C$22:$N$22,0))/1000,0)*SUMIFS('Regional split'!$F$4:$F$6,'Regional split'!$B$4:$B$6,V$4)</f>
        <v>0</v>
      </c>
      <c r="W45" s="434" cm="1">
        <f t="array" ref="W45">_xlfn.IFNA(INDEX('Data manipulation'!$C$23:$N$125,MATCH($S45&amp;$R45,'Data manipulation'!$B$23:$B$125&amp;'Data manipulation'!$A$23:$A$125,0),MATCH($U45,'Data manipulation'!$C$22:$N$22,0))/1000,0)*SUMIFS('Regional split'!$F$4:$F$6,'Regional split'!$B$4:$B$6,W$4)</f>
        <v>0</v>
      </c>
      <c r="X45" s="434" cm="1">
        <f t="array" ref="X45">_xlfn.IFNA(INDEX('Data manipulation'!$C$23:$N$125,MATCH($S45&amp;$R45,'Data manipulation'!$B$23:$B$125&amp;'Data manipulation'!$A$23:$A$125,0),MATCH($U45,'Data manipulation'!$C$22:$N$22,0))/1000,0)*SUMIFS('Regional split'!$F$4:$F$6,'Regional split'!$B$4:$B$6,X$4)</f>
        <v>0</v>
      </c>
      <c r="Y45" s="445">
        <f t="shared" ref="Y45" si="66">V45*J45</f>
        <v>0</v>
      </c>
      <c r="Z45" s="251">
        <f t="shared" ref="Z45:Z62" si="67">W45*K45</f>
        <v>0</v>
      </c>
      <c r="AA45" s="446">
        <f t="shared" ref="AA45:AA62" si="68">X45*L45</f>
        <v>0</v>
      </c>
    </row>
    <row r="46" spans="2:30" ht="15" customHeight="1">
      <c r="B46" s="233" t="str">
        <f>Processes!D46</f>
        <v>RWTNGAE1</v>
      </c>
      <c r="C46" s="233" t="str">
        <f>Processes!E46</f>
        <v>Residential Water Hot Technology   - Natural Gas - Existing 1</v>
      </c>
      <c r="D46" s="230" t="str">
        <f>Commodities!$C$18&amp;","&amp;Commodities!$C$19</f>
        <v>RESNGA,RESBGA</v>
      </c>
      <c r="E46" s="230" t="str">
        <f>Commodities!$C$15</f>
        <v>RWDEM</v>
      </c>
      <c r="F46" s="259">
        <v>2010</v>
      </c>
      <c r="G46" s="250">
        <f t="shared" ref="G46:G68" si="69">ROUNDUP(Y46/($M46*$N46)*$G$2,2)</f>
        <v>3774.05</v>
      </c>
      <c r="H46" s="250">
        <f t="shared" si="63"/>
        <v>0</v>
      </c>
      <c r="I46" s="250">
        <f t="shared" si="64"/>
        <v>0</v>
      </c>
      <c r="J46" s="461">
        <v>0.72</v>
      </c>
      <c r="K46" s="461">
        <v>0.72</v>
      </c>
      <c r="L46" s="461">
        <v>0.72</v>
      </c>
      <c r="M46" s="244">
        <f t="shared" si="65"/>
        <v>3.1536000000000002E-2</v>
      </c>
      <c r="N46" s="460">
        <v>1</v>
      </c>
      <c r="O46" s="245">
        <v>30</v>
      </c>
      <c r="P46" s="227"/>
      <c r="Q46" s="268"/>
      <c r="R46" s="268" t="str">
        <f t="shared" ref="R46:R52" si="70">R45</f>
        <v>Hot Water</v>
      </c>
      <c r="S46" s="604" t="str">
        <f>'Data manipulation'!$B$36</f>
        <v>Natural gas, biogas and LNG</v>
      </c>
      <c r="T46" s="246" t="s">
        <v>187</v>
      </c>
      <c r="U46" s="246">
        <v>2010</v>
      </c>
      <c r="V46" s="434" cm="1">
        <f t="array" ref="V46">_xlfn.IFNA(INDEX('Data manipulation'!$C$23:$N$125,MATCH($S46&amp;$R46,'Data manipulation'!$B$23:$B$125&amp;'Data manipulation'!$A$23:$A$125,0),MATCH($U46,'Data manipulation'!$C$22:$N$22,0))/1000,0)*SUMIFS('Regional split'!$F$4:$F$6,'Regional split'!$B$4:$B$6,V$4)</f>
        <v>162.06209600000003</v>
      </c>
      <c r="W46" s="434" cm="1">
        <f t="array" ref="W46">_xlfn.IFNA(INDEX('Data manipulation'!$C$23:$N$125,MATCH($S46&amp;$R46,'Data manipulation'!$B$23:$B$125&amp;'Data manipulation'!$A$23:$A$125,0),MATCH($U46,'Data manipulation'!$C$22:$N$22,0))/1000,0)*SUMIFS('Regional split'!$F$4:$F$6,'Regional split'!$B$4:$B$6,W$4)</f>
        <v>0</v>
      </c>
      <c r="X46" s="434" cm="1">
        <f t="array" ref="X46">_xlfn.IFNA(INDEX('Data manipulation'!$C$23:$N$125,MATCH($S46&amp;$R46,'Data manipulation'!$B$23:$B$125&amp;'Data manipulation'!$A$23:$A$125,0),MATCH($U46,'Data manipulation'!$C$22:$N$22,0))/1000,0)*SUMIFS('Regional split'!$F$4:$F$6,'Regional split'!$B$4:$B$6,X$4)</f>
        <v>0</v>
      </c>
      <c r="Y46" s="445">
        <f t="shared" ref="Y46:Y53" si="71">V46*J46</f>
        <v>116.68470912000001</v>
      </c>
      <c r="Z46" s="251">
        <f t="shared" si="67"/>
        <v>0</v>
      </c>
      <c r="AA46" s="446">
        <f t="shared" si="68"/>
        <v>0</v>
      </c>
    </row>
    <row r="47" spans="2:30" ht="15" customHeight="1">
      <c r="B47" s="233" t="str">
        <f>Processes!D47</f>
        <v>RWTDSLE1</v>
      </c>
      <c r="C47" s="233" t="str">
        <f>Processes!E47</f>
        <v>Residential Water Hot Technology   - Diesel - Existing 1</v>
      </c>
      <c r="D47" s="230" t="str">
        <f>Commodities!$C$21&amp;","&amp;Commodities!C37</f>
        <v>RESDSL,RESDSB</v>
      </c>
      <c r="E47" s="230" t="str">
        <f>Commodities!$C$15</f>
        <v>RWDEM</v>
      </c>
      <c r="F47" s="259">
        <v>2010</v>
      </c>
      <c r="G47" s="250">
        <f t="shared" ref="G47" si="72">ROUNDUP(Y47/($M47*$N47)*$G$2,2)</f>
        <v>1422.94</v>
      </c>
      <c r="H47" s="250">
        <f t="shared" ref="H47" si="73">ROUNDUP(Z47/($M47*$N47)*$G$2,2)</f>
        <v>0</v>
      </c>
      <c r="I47" s="250">
        <f t="shared" ref="I47" si="74">ROUNDUP(AA47/($M47*$N47)*$G$2,2)</f>
        <v>0</v>
      </c>
      <c r="J47" s="462">
        <v>0.71</v>
      </c>
      <c r="K47" s="462">
        <v>0.71</v>
      </c>
      <c r="L47" s="462">
        <v>0.71</v>
      </c>
      <c r="M47" s="244">
        <f t="shared" si="65"/>
        <v>3.1536000000000002E-2</v>
      </c>
      <c r="N47" s="460">
        <v>1</v>
      </c>
      <c r="O47" s="245">
        <v>30</v>
      </c>
      <c r="P47" s="227"/>
      <c r="Q47" s="268"/>
      <c r="R47" s="268" t="str">
        <f t="shared" si="70"/>
        <v>Hot Water</v>
      </c>
      <c r="S47" s="604" t="s">
        <v>890</v>
      </c>
      <c r="T47" s="246" t="s">
        <v>899</v>
      </c>
      <c r="U47" s="246">
        <v>2010</v>
      </c>
      <c r="V47" s="434" cm="1">
        <f t="array" ref="V47">_xlfn.IFNA(INDEX('Data manipulation'!$C$23:$N$125,MATCH($S47&amp;$R47,'Data manipulation'!$B$23:$B$125&amp;'Data manipulation'!$A$23:$A$125,0),MATCH($U47,'Data manipulation'!$C$22:$N$22,0))/1000,0)*SUMIFS('Regional split'!$F$4:$F$6,'Regional split'!$B$4:$B$6,V$4)</f>
        <v>61.96310600000001</v>
      </c>
      <c r="W47" s="434" cm="1">
        <f t="array" ref="W47">_xlfn.IFNA(INDEX('Data manipulation'!$C$23:$N$125,MATCH($S47&amp;$R47,'Data manipulation'!$B$23:$B$125&amp;'Data manipulation'!$A$23:$A$125,0),MATCH($U47,'Data manipulation'!$C$22:$N$22,0))/1000,0)*SUMIFS('Regional split'!$F$4:$F$6,'Regional split'!$B$4:$B$6,W$4)</f>
        <v>0</v>
      </c>
      <c r="X47" s="434" cm="1">
        <f t="array" ref="X47">_xlfn.IFNA(INDEX('Data manipulation'!$C$23:$N$125,MATCH($S47&amp;$R47,'Data manipulation'!$B$23:$B$125&amp;'Data manipulation'!$A$23:$A$125,0),MATCH($U47,'Data manipulation'!$C$22:$N$22,0))/1000,0)*SUMIFS('Regional split'!$F$4:$F$6,'Regional split'!$B$4:$B$6,X$4)</f>
        <v>0</v>
      </c>
      <c r="Y47" s="445">
        <f t="shared" si="71"/>
        <v>43.993805260000002</v>
      </c>
      <c r="Z47" s="251">
        <f t="shared" ref="Z47" si="75">W47*K47</f>
        <v>0</v>
      </c>
      <c r="AA47" s="446">
        <f t="shared" ref="AA47" si="76">X47*L47</f>
        <v>0</v>
      </c>
    </row>
    <row r="48" spans="2:30" ht="15" customHeight="1">
      <c r="B48" s="233" t="str">
        <f>Processes!D48</f>
        <v>RWTSOLE1</v>
      </c>
      <c r="C48" s="233" t="str">
        <f>Processes!E48</f>
        <v>Residential Water Hot Technology   - Solar - Existing 1</v>
      </c>
      <c r="D48" s="230" t="str">
        <f>Commodities!$C$27</f>
        <v>RESSOL</v>
      </c>
      <c r="E48" s="230" t="str">
        <f>Commodities!$C$15</f>
        <v>RWDEM</v>
      </c>
      <c r="F48" s="259">
        <v>2010</v>
      </c>
      <c r="G48" s="250">
        <f t="shared" ref="G48" si="77">ROUNDUP(Y48/($M48*$N48)*$G$2,2)</f>
        <v>507.45</v>
      </c>
      <c r="H48" s="250">
        <f t="shared" ref="H48" si="78">ROUNDUP(Z48/($M48*$N48)*$G$2,2)</f>
        <v>0</v>
      </c>
      <c r="I48" s="250">
        <f t="shared" ref="I48" si="79">ROUNDUP(AA48/($M48*$N48)*$G$2,2)</f>
        <v>0</v>
      </c>
      <c r="J48" s="462">
        <v>0.95</v>
      </c>
      <c r="K48" s="462">
        <v>0.95</v>
      </c>
      <c r="L48" s="462">
        <v>0.95</v>
      </c>
      <c r="M48" s="244">
        <f t="shared" si="65"/>
        <v>3.1536000000000002E-2</v>
      </c>
      <c r="N48" s="460">
        <v>1</v>
      </c>
      <c r="O48" s="245">
        <v>30</v>
      </c>
      <c r="P48" s="227"/>
      <c r="Q48" s="268"/>
      <c r="R48" s="268" t="str">
        <f t="shared" si="70"/>
        <v>Hot Water</v>
      </c>
      <c r="S48" s="589" t="s">
        <v>852</v>
      </c>
      <c r="T48" s="246" t="s">
        <v>188</v>
      </c>
      <c r="U48" s="246">
        <v>2010</v>
      </c>
      <c r="V48" s="434" cm="1">
        <f t="array" ref="V48">_xlfn.IFNA(INDEX('Data manipulation'!$C$23:$N$125,MATCH($S48&amp;$R48,'Data manipulation'!$B$23:$B$125&amp;'Data manipulation'!$A$23:$A$125,0),MATCH($U48,'Data manipulation'!$C$22:$N$22,0))/1000,0)*SUMIFS('Regional split'!$F$4:$F$6,'Regional split'!$B$4:$B$6,V$4)</f>
        <v>16.514616</v>
      </c>
      <c r="W48" s="434" cm="1">
        <f t="array" ref="W48">_xlfn.IFNA(INDEX('Data manipulation'!$C$23:$N$125,MATCH($S48&amp;$R48,'Data manipulation'!$B$23:$B$125&amp;'Data manipulation'!$A$23:$A$125,0),MATCH($U48,'Data manipulation'!$C$22:$N$22,0))/1000,0)*SUMIFS('Regional split'!$F$4:$F$6,'Regional split'!$B$4:$B$6,W$4)</f>
        <v>0</v>
      </c>
      <c r="X48" s="434" cm="1">
        <f t="array" ref="X48">_xlfn.IFNA(INDEX('Data manipulation'!$C$23:$N$125,MATCH($S48&amp;$R48,'Data manipulation'!$B$23:$B$125&amp;'Data manipulation'!$A$23:$A$125,0),MATCH($U48,'Data manipulation'!$C$22:$N$22,0))/1000,0)*SUMIFS('Regional split'!$F$4:$F$6,'Regional split'!$B$4:$B$6,X$4)</f>
        <v>0</v>
      </c>
      <c r="Y48" s="445">
        <f t="shared" si="71"/>
        <v>15.6888852</v>
      </c>
      <c r="Z48" s="251">
        <f t="shared" ref="Z48" si="80">W48*K48</f>
        <v>0</v>
      </c>
      <c r="AA48" s="446">
        <f t="shared" ref="AA48" si="81">X48*L48</f>
        <v>0</v>
      </c>
    </row>
    <row r="49" spans="2:27" ht="15" customHeight="1">
      <c r="B49" s="233" t="str">
        <f>Processes!D49</f>
        <v>RWTELCHE1</v>
      </c>
      <c r="C49" s="233" t="str">
        <f>Processes!E49</f>
        <v>Residential Water Hot Technology   - Electricity Heating - Existing 1</v>
      </c>
      <c r="D49" s="230" t="str">
        <f>Commodities!$C$28</f>
        <v>RESELCH</v>
      </c>
      <c r="E49" s="230" t="str">
        <f>Commodities!$C$15</f>
        <v>RWDEM</v>
      </c>
      <c r="F49" s="259">
        <v>2010</v>
      </c>
      <c r="G49" s="250">
        <f t="shared" ref="G49" si="82">ROUNDUP(Y49/($M49*$N49)*$G$2,2)</f>
        <v>52.41</v>
      </c>
      <c r="H49" s="250">
        <f t="shared" ref="H49" si="83">ROUNDUP(Z49/($M49*$N49)*$G$2,2)</f>
        <v>0</v>
      </c>
      <c r="I49" s="250">
        <f t="shared" ref="I49" si="84">ROUNDUP(AA49/($M49*$N49)*$G$2,2)</f>
        <v>0</v>
      </c>
      <c r="J49" s="462">
        <v>2.3199999999999998</v>
      </c>
      <c r="K49" s="462">
        <v>2.3199999999999998</v>
      </c>
      <c r="L49" s="462">
        <v>2.3199999999999998</v>
      </c>
      <c r="M49" s="244">
        <f t="shared" si="65"/>
        <v>3.1536000000000002E-2</v>
      </c>
      <c r="N49" s="460">
        <v>1</v>
      </c>
      <c r="O49" s="245">
        <v>30</v>
      </c>
      <c r="P49" s="227"/>
      <c r="Q49" s="268"/>
      <c r="R49" s="268" t="str">
        <f t="shared" si="70"/>
        <v>Hot Water</v>
      </c>
      <c r="S49" s="589" t="s">
        <v>851</v>
      </c>
      <c r="T49" s="246" t="s">
        <v>900</v>
      </c>
      <c r="U49" s="246">
        <v>2010</v>
      </c>
      <c r="V49" s="434" cm="1">
        <f t="array" ref="V49">_xlfn.IFNA(INDEX('Data manipulation'!$C$23:$N$125,MATCH($S49&amp;$R49,'Data manipulation'!$B$23:$B$125&amp;'Data manipulation'!$A$23:$A$125,0),MATCH($U49,'Data manipulation'!$C$22:$N$22,0))/1000,0)*SUMIFS('Regional split'!$F$4:$F$6,'Regional split'!$B$4:$B$6,V$4)</f>
        <v>0.69835500000000006</v>
      </c>
      <c r="W49" s="434" cm="1">
        <f t="array" ref="W49">_xlfn.IFNA(INDEX('Data manipulation'!$C$23:$N$125,MATCH($S49&amp;$R49,'Data manipulation'!$B$23:$B$125&amp;'Data manipulation'!$A$23:$A$125,0),MATCH($U49,'Data manipulation'!$C$22:$N$22,0))/1000,0)*SUMIFS('Regional split'!$F$4:$F$6,'Regional split'!$B$4:$B$6,W$4)</f>
        <v>0</v>
      </c>
      <c r="X49" s="434" cm="1">
        <f t="array" ref="X49">_xlfn.IFNA(INDEX('Data manipulation'!$C$23:$N$125,MATCH($S49&amp;$R49,'Data manipulation'!$B$23:$B$125&amp;'Data manipulation'!$A$23:$A$125,0),MATCH($U49,'Data manipulation'!$C$22:$N$22,0))/1000,0)*SUMIFS('Regional split'!$F$4:$F$6,'Regional split'!$B$4:$B$6,X$4)</f>
        <v>0</v>
      </c>
      <c r="Y49" s="445">
        <f t="shared" si="71"/>
        <v>1.6201836000000001</v>
      </c>
      <c r="Z49" s="251">
        <f t="shared" ref="Z49" si="85">W49*K49</f>
        <v>0</v>
      </c>
      <c r="AA49" s="446">
        <f t="shared" ref="AA49" si="86">X49*L49</f>
        <v>0</v>
      </c>
    </row>
    <row r="50" spans="2:27" ht="15" customHeight="1">
      <c r="B50" s="233" t="str">
        <f>Processes!D50</f>
        <v>RWTFIWE1</v>
      </c>
      <c r="C50" s="233" t="str">
        <f>Processes!E50</f>
        <v>Residential Water Hot Technology   - Fire wood - Existing 1</v>
      </c>
      <c r="D50" s="230" t="str">
        <f>Commodities!$C$24</f>
        <v>RESFIW</v>
      </c>
      <c r="E50" s="230" t="str">
        <f>Commodities!$C$15</f>
        <v>RWDEM</v>
      </c>
      <c r="F50" s="259">
        <v>2010</v>
      </c>
      <c r="G50" s="250">
        <f t="shared" ref="G50" si="87">ROUNDUP(Y50/($M50*$N50)*$G$2,2)</f>
        <v>254.82999999999998</v>
      </c>
      <c r="H50" s="250">
        <f t="shared" ref="H50" si="88">ROUNDUP(Z50/($M50*$N50)*$G$2,2)</f>
        <v>0</v>
      </c>
      <c r="I50" s="250">
        <f t="shared" ref="I50" si="89">ROUNDUP(AA50/($M50*$N50)*$G$2,2)</f>
        <v>0</v>
      </c>
      <c r="J50" s="462">
        <v>0.65</v>
      </c>
      <c r="K50" s="462">
        <v>0.65</v>
      </c>
      <c r="L50" s="462">
        <v>0.65</v>
      </c>
      <c r="M50" s="244">
        <f t="shared" si="65"/>
        <v>3.1536000000000002E-2</v>
      </c>
      <c r="N50" s="460">
        <v>1</v>
      </c>
      <c r="O50" s="245">
        <v>30</v>
      </c>
      <c r="P50" s="227"/>
      <c r="Q50" s="268"/>
      <c r="R50" s="268" t="str">
        <f t="shared" si="70"/>
        <v>Hot Water</v>
      </c>
      <c r="S50" s="589" t="s">
        <v>850</v>
      </c>
      <c r="T50" s="246" t="s">
        <v>220</v>
      </c>
      <c r="U50" s="246">
        <v>2010</v>
      </c>
      <c r="V50" s="434" cm="1">
        <f t="array" ref="V50">_xlfn.IFNA(INDEX('Data manipulation'!$C$23:$N$125,MATCH($S50&amp;$R50,'Data manipulation'!$B$23:$B$125&amp;'Data manipulation'!$A$23:$A$125,0),MATCH($U50,'Data manipulation'!$C$22:$N$22,0))/1000,0)*SUMIFS('Regional split'!$F$4:$F$6,'Regional split'!$B$4:$B$6,V$4)</f>
        <v>12.120697</v>
      </c>
      <c r="W50" s="434" cm="1">
        <f t="array" ref="W50">_xlfn.IFNA(INDEX('Data manipulation'!$C$23:$N$125,MATCH($S50&amp;$R50,'Data manipulation'!$B$23:$B$125&amp;'Data manipulation'!$A$23:$A$125,0),MATCH($U50,'Data manipulation'!$C$22:$N$22,0))/1000,0)*SUMIFS('Regional split'!$F$4:$F$6,'Regional split'!$B$4:$B$6,W$4)</f>
        <v>0</v>
      </c>
      <c r="X50" s="434" cm="1">
        <f t="array" ref="X50">_xlfn.IFNA(INDEX('Data manipulation'!$C$23:$N$125,MATCH($S50&amp;$R50,'Data manipulation'!$B$23:$B$125&amp;'Data manipulation'!$A$23:$A$125,0),MATCH($U50,'Data manipulation'!$C$22:$N$22,0))/1000,0)*SUMIFS('Regional split'!$F$4:$F$6,'Regional split'!$B$4:$B$6,X$4)</f>
        <v>0</v>
      </c>
      <c r="Y50" s="445">
        <f t="shared" si="71"/>
        <v>7.8784530500000001</v>
      </c>
      <c r="Z50" s="251">
        <f t="shared" ref="Z50" si="90">W50*K50</f>
        <v>0</v>
      </c>
      <c r="AA50" s="446">
        <f t="shared" ref="AA50" si="91">X50*L50</f>
        <v>0</v>
      </c>
    </row>
    <row r="51" spans="2:27" ht="15" customHeight="1">
      <c r="B51" s="233" t="str">
        <f>Processes!D51</f>
        <v>RWTELCWE1</v>
      </c>
      <c r="C51" s="233" t="str">
        <f>Processes!E51</f>
        <v>Residential Water Hot Technology   - Electricity Water Heating - Existing 1</v>
      </c>
      <c r="D51" s="230" t="str">
        <f>Commodities!$C$32</f>
        <v>RESELCW</v>
      </c>
      <c r="E51" s="230" t="str">
        <f>Commodities!$C$15</f>
        <v>RWDEM</v>
      </c>
      <c r="F51" s="259">
        <v>2010</v>
      </c>
      <c r="G51" s="250">
        <f t="shared" ref="G51" si="92">ROUNDUP(Y51/($M51*$N51)*$G$2,2)</f>
        <v>2178.7400000000002</v>
      </c>
      <c r="H51" s="250">
        <f t="shared" ref="H51" si="93">ROUNDUP(Z51/($M51*$N51)*$G$2,2)</f>
        <v>0</v>
      </c>
      <c r="I51" s="250">
        <f t="shared" ref="I51" si="94">ROUNDUP(AA51/($M51*$N51)*$G$2,2)</f>
        <v>0</v>
      </c>
      <c r="J51" s="462">
        <v>0.95</v>
      </c>
      <c r="K51" s="462">
        <v>0.95</v>
      </c>
      <c r="L51" s="462">
        <v>0.95</v>
      </c>
      <c r="M51" s="244">
        <f t="shared" si="65"/>
        <v>3.1536000000000002E-2</v>
      </c>
      <c r="N51" s="460">
        <v>1</v>
      </c>
      <c r="O51" s="245">
        <v>30</v>
      </c>
      <c r="P51" s="227"/>
      <c r="Q51" s="268"/>
      <c r="R51" s="268" t="str">
        <f t="shared" si="70"/>
        <v>Hot Water</v>
      </c>
      <c r="S51" s="589" t="s">
        <v>79</v>
      </c>
      <c r="T51" s="246" t="s">
        <v>903</v>
      </c>
      <c r="U51" s="246">
        <v>2010</v>
      </c>
      <c r="V51" s="434" cm="1">
        <f t="array" ref="V51">_xlfn.IFNA(INDEX('Data manipulation'!$C$23:$N$125,MATCH($S51&amp;$R51,'Data manipulation'!$B$23:$B$125&amp;'Data manipulation'!$A$23:$A$125,0),MATCH($U51,'Data manipulation'!$C$22:$N$22,0))/1000,0)*SUMIFS('Regional split'!$F$4:$F$6,'Regional split'!$B$4:$B$6,V$4)</f>
        <v>70.906679999999994</v>
      </c>
      <c r="W51" s="434" cm="1">
        <f t="array" ref="W51">_xlfn.IFNA(INDEX('Data manipulation'!$C$23:$N$125,MATCH($S51&amp;$R51,'Data manipulation'!$B$23:$B$125&amp;'Data manipulation'!$A$23:$A$125,0),MATCH($U51,'Data manipulation'!$C$22:$N$22,0))/1000,0)*SUMIFS('Regional split'!$F$4:$F$6,'Regional split'!$B$4:$B$6,W$4)</f>
        <v>0</v>
      </c>
      <c r="X51" s="434" cm="1">
        <f t="array" ref="X51">_xlfn.IFNA(INDEX('Data manipulation'!$C$23:$N$125,MATCH($S51&amp;$R51,'Data manipulation'!$B$23:$B$125&amp;'Data manipulation'!$A$23:$A$125,0),MATCH($U51,'Data manipulation'!$C$22:$N$22,0))/1000,0)*SUMIFS('Regional split'!$F$4:$F$6,'Regional split'!$B$4:$B$6,X$4)</f>
        <v>0</v>
      </c>
      <c r="Y51" s="445">
        <f t="shared" si="71"/>
        <v>67.361345999999998</v>
      </c>
      <c r="Z51" s="251">
        <f t="shared" ref="Z51" si="95">W51*K51</f>
        <v>0</v>
      </c>
      <c r="AA51" s="446">
        <f t="shared" ref="AA51" si="96">X51*L51</f>
        <v>0</v>
      </c>
    </row>
    <row r="52" spans="2:27" ht="15" customHeight="1">
      <c r="B52" s="233" t="str">
        <f>Processes!D52</f>
        <v>RWTHCEE1</v>
      </c>
      <c r="C52" s="233" t="str">
        <f>Processes!E52</f>
        <v>Residential Water Hot Technology   - District heating Central - Existing 1</v>
      </c>
      <c r="D52" s="230" t="str">
        <f>Commodities!$C$32</f>
        <v>RESELCW</v>
      </c>
      <c r="E52" s="230" t="str">
        <f>Commodities!$C$15</f>
        <v>RWDEM</v>
      </c>
      <c r="F52" s="259">
        <v>2010</v>
      </c>
      <c r="G52" s="250">
        <f t="shared" ref="G52" si="97">ROUNDUP(Y52/($M52*$N52)*$G$2,2)</f>
        <v>364.68</v>
      </c>
      <c r="H52" s="250">
        <f t="shared" ref="H52" si="98">ROUNDUP(Z52/($M52*$N52)*$G$2,2)</f>
        <v>0</v>
      </c>
      <c r="I52" s="250">
        <f t="shared" ref="I52" si="99">ROUNDUP(AA52/($M52*$N52)*$G$2,2)</f>
        <v>0</v>
      </c>
      <c r="J52" s="462">
        <v>0.95</v>
      </c>
      <c r="K52" s="462">
        <v>0.95</v>
      </c>
      <c r="L52" s="462">
        <v>0.95</v>
      </c>
      <c r="M52" s="244">
        <f t="shared" si="65"/>
        <v>3.1536000000000002E-2</v>
      </c>
      <c r="N52" s="460">
        <v>1</v>
      </c>
      <c r="O52" s="245">
        <v>30</v>
      </c>
      <c r="P52" s="227"/>
      <c r="Q52" s="268"/>
      <c r="R52" s="268" t="str">
        <f t="shared" si="70"/>
        <v>Hot Water</v>
      </c>
      <c r="S52" s="589" t="s">
        <v>219</v>
      </c>
      <c r="T52" s="246" t="s">
        <v>219</v>
      </c>
      <c r="U52" s="246">
        <v>2010</v>
      </c>
      <c r="V52" s="434" cm="1">
        <f t="array" ref="V52">_xlfn.IFNA(INDEX('Data manipulation'!$C$23:$N$125,MATCH($S52&amp;$R52,'Data manipulation'!$B$23:$B$125&amp;'Data manipulation'!$A$23:$A$125,0),MATCH($U52,'Data manipulation'!$C$22:$N$22,0))/1000,0)*SUMIFS('Regional split'!$F$4:$F$6,'Regional split'!$B$4:$B$6,V$4)</f>
        <v>11.868263000000001</v>
      </c>
      <c r="W52" s="434" cm="1">
        <f t="array" ref="W52">_xlfn.IFNA(INDEX('Data manipulation'!$C$23:$N$125,MATCH($S52&amp;$R52,'Data manipulation'!$B$23:$B$125&amp;'Data manipulation'!$A$23:$A$125,0),MATCH($U52,'Data manipulation'!$C$22:$N$22,0))/1000,0)*SUMIFS('Regional split'!$F$4:$F$6,'Regional split'!$B$4:$B$6,W$4)</f>
        <v>0</v>
      </c>
      <c r="X52" s="434" cm="1">
        <f t="array" ref="X52">_xlfn.IFNA(INDEX('Data manipulation'!$C$23:$N$125,MATCH($S52&amp;$R52,'Data manipulation'!$B$23:$B$125&amp;'Data manipulation'!$A$23:$A$125,0),MATCH($U52,'Data manipulation'!$C$22:$N$22,0))/1000,0)*SUMIFS('Regional split'!$F$4:$F$6,'Regional split'!$B$4:$B$6,X$4)</f>
        <v>0</v>
      </c>
      <c r="Y52" s="445">
        <f t="shared" si="71"/>
        <v>11.274849850000001</v>
      </c>
      <c r="Z52" s="251">
        <f t="shared" ref="Z52" si="100">W52*K52</f>
        <v>0</v>
      </c>
      <c r="AA52" s="446">
        <f t="shared" ref="AA52" si="101">X52*L52</f>
        <v>0</v>
      </c>
    </row>
    <row r="53" spans="2:27" ht="14.4">
      <c r="B53" s="233" t="str">
        <f t="shared" ref="B53:E54" si="102">B45</f>
        <v>RWTLPGE1</v>
      </c>
      <c r="C53" s="233" t="str">
        <f t="shared" si="102"/>
        <v>Residential Water Hot Technology   - LPG - Existing 1</v>
      </c>
      <c r="D53" s="233" t="str">
        <f t="shared" si="102"/>
        <v>RESLPG</v>
      </c>
      <c r="E53" s="233" t="str">
        <f t="shared" si="102"/>
        <v>RWDEM</v>
      </c>
      <c r="F53" s="259">
        <v>2015</v>
      </c>
      <c r="G53" s="250">
        <f>ROUNDUP(Y53/($M53*$N53)*$G$25,2)</f>
        <v>0</v>
      </c>
      <c r="H53" s="250">
        <f t="shared" ref="H53:H54" si="103">ROUNDUP(Z53/($M53*$N53)*$G$25,2)</f>
        <v>0</v>
      </c>
      <c r="I53" s="250">
        <f t="shared" ref="I53:I54" si="104">ROUNDUP(AA53/($M53*$N53)*$G$25,2)</f>
        <v>0</v>
      </c>
      <c r="J53" s="462">
        <f t="shared" ref="J53:L54" si="105">J45</f>
        <v>0.95</v>
      </c>
      <c r="K53" s="462">
        <f t="shared" si="105"/>
        <v>0.95</v>
      </c>
      <c r="L53" s="462">
        <f t="shared" si="105"/>
        <v>0.95</v>
      </c>
      <c r="M53" s="244">
        <f t="shared" si="65"/>
        <v>3.1536000000000002E-2</v>
      </c>
      <c r="N53" s="460">
        <v>1</v>
      </c>
      <c r="O53" s="245">
        <v>30</v>
      </c>
      <c r="P53" s="227"/>
      <c r="Q53" s="227"/>
      <c r="R53" s="268" t="str">
        <f>R45</f>
        <v>Hot Water</v>
      </c>
      <c r="S53" s="603" t="s">
        <v>790</v>
      </c>
      <c r="T53" s="246" t="s">
        <v>790</v>
      </c>
      <c r="U53" s="246">
        <v>2015</v>
      </c>
      <c r="V53" s="434" cm="1">
        <f t="array" ref="V53">_xlfn.IFNA(INDEX('Data manipulation'!$C$23:$N$125,MATCH($S53&amp;$R53,'Data manipulation'!$B$23:$B$125&amp;'Data manipulation'!$A$23:$A$125,0),MATCH($U53,'Data manipulation'!$C$22:$N$22,0))/1000,0)*SUMIFS('Regional split'!$F$4:$F$6,'Regional split'!$B$4:$B$6,V$4)</f>
        <v>0</v>
      </c>
      <c r="W53" s="434" cm="1">
        <f t="array" ref="W53">_xlfn.IFNA(INDEX('Data manipulation'!$C$23:$N$125,MATCH($S53&amp;$R53,'Data manipulation'!$B$23:$B$125&amp;'Data manipulation'!$A$23:$A$125,0),MATCH($U53,'Data manipulation'!$C$22:$N$22,0))/1000,0)*SUMIFS('Regional split'!$F$4:$F$6,'Regional split'!$B$4:$B$6,W$4)</f>
        <v>0</v>
      </c>
      <c r="X53" s="434" cm="1">
        <f t="array" ref="X53">_xlfn.IFNA(INDEX('Data manipulation'!$C$23:$N$125,MATCH($S53&amp;$R53,'Data manipulation'!$B$23:$B$125&amp;'Data manipulation'!$A$23:$A$125,0),MATCH($U53,'Data manipulation'!$C$22:$N$22,0))/1000,0)*SUMIFS('Regional split'!$F$4:$F$6,'Regional split'!$B$4:$B$6,X$4)</f>
        <v>0</v>
      </c>
      <c r="Y53" s="445">
        <f t="shared" si="71"/>
        <v>0</v>
      </c>
      <c r="Z53" s="251">
        <f t="shared" si="67"/>
        <v>0</v>
      </c>
      <c r="AA53" s="446">
        <f t="shared" si="68"/>
        <v>0</v>
      </c>
    </row>
    <row r="54" spans="2:27" ht="14.4">
      <c r="B54" s="233" t="str">
        <f t="shared" si="102"/>
        <v>RWTNGAE1</v>
      </c>
      <c r="C54" s="233" t="str">
        <f t="shared" si="102"/>
        <v>Residential Water Hot Technology   - Natural Gas - Existing 1</v>
      </c>
      <c r="D54" s="233" t="str">
        <f t="shared" si="102"/>
        <v>RESNGA,RESBGA</v>
      </c>
      <c r="E54" s="233" t="str">
        <f t="shared" si="102"/>
        <v>RWDEM</v>
      </c>
      <c r="F54" s="259">
        <v>2015</v>
      </c>
      <c r="G54" s="250">
        <f>ROUNDUP(Y54/($M54*$N54)*$G$25,2)</f>
        <v>3668.5600000000004</v>
      </c>
      <c r="H54" s="250">
        <f t="shared" si="103"/>
        <v>0</v>
      </c>
      <c r="I54" s="250">
        <f t="shared" si="104"/>
        <v>0</v>
      </c>
      <c r="J54" s="462">
        <f t="shared" si="105"/>
        <v>0.72</v>
      </c>
      <c r="K54" s="462">
        <f t="shared" si="105"/>
        <v>0.72</v>
      </c>
      <c r="L54" s="462">
        <f t="shared" si="105"/>
        <v>0.72</v>
      </c>
      <c r="M54" s="244">
        <f t="shared" si="65"/>
        <v>3.1536000000000002E-2</v>
      </c>
      <c r="N54" s="460">
        <v>1</v>
      </c>
      <c r="O54" s="245">
        <v>30</v>
      </c>
      <c r="P54" s="227"/>
      <c r="Q54" s="227"/>
      <c r="R54" s="268" t="str">
        <f>R46</f>
        <v>Hot Water</v>
      </c>
      <c r="S54" s="604" t="str">
        <f>'Data manipulation'!$B$36</f>
        <v>Natural gas, biogas and LNG</v>
      </c>
      <c r="T54" s="246" t="s">
        <v>187</v>
      </c>
      <c r="U54" s="246">
        <v>2015</v>
      </c>
      <c r="V54" s="434" cm="1">
        <f t="array" ref="V54">_xlfn.IFNA(INDEX('Data manipulation'!$C$23:$N$125,MATCH($S54&amp;$R54,'Data manipulation'!$B$23:$B$125&amp;'Data manipulation'!$A$23:$A$125,0),MATCH($U54,'Data manipulation'!$C$22:$N$22,0))/1000,0)*SUMIFS('Regional split'!$F$4:$F$6,'Regional split'!$B$4:$B$6,V$4)</f>
        <v>157.531972</v>
      </c>
      <c r="W54" s="434" cm="1">
        <f t="array" ref="W54">_xlfn.IFNA(INDEX('Data manipulation'!$C$23:$N$125,MATCH($S54&amp;$R54,'Data manipulation'!$B$23:$B$125&amp;'Data manipulation'!$A$23:$A$125,0),MATCH($U54,'Data manipulation'!$C$22:$N$22,0))/1000,0)*SUMIFS('Regional split'!$F$4:$F$6,'Regional split'!$B$4:$B$6,W$4)</f>
        <v>0</v>
      </c>
      <c r="X54" s="434" cm="1">
        <f t="array" ref="X54">_xlfn.IFNA(INDEX('Data manipulation'!$C$23:$N$125,MATCH($S54&amp;$R54,'Data manipulation'!$B$23:$B$125&amp;'Data manipulation'!$A$23:$A$125,0),MATCH($U54,'Data manipulation'!$C$22:$N$22,0))/1000,0)*SUMIFS('Regional split'!$F$4:$F$6,'Regional split'!$B$4:$B$6,X$4)</f>
        <v>0</v>
      </c>
      <c r="Y54" s="445">
        <f t="shared" ref="Y54" si="106">V54*J54</f>
        <v>113.42301983999999</v>
      </c>
      <c r="Z54" s="251">
        <f t="shared" si="67"/>
        <v>0</v>
      </c>
      <c r="AA54" s="446">
        <f t="shared" si="68"/>
        <v>0</v>
      </c>
    </row>
    <row r="55" spans="2:27" ht="15" customHeight="1">
      <c r="B55" s="233" t="str">
        <f>B47</f>
        <v>RWTDSLE1</v>
      </c>
      <c r="C55" s="233" t="str">
        <f t="shared" ref="C55:E55" si="107">C47</f>
        <v>Residential Water Hot Technology   - Diesel - Existing 1</v>
      </c>
      <c r="D55" s="233" t="str">
        <f t="shared" si="107"/>
        <v>RESDSL,RESDSB</v>
      </c>
      <c r="E55" s="233" t="str">
        <f t="shared" si="107"/>
        <v>RWDEM</v>
      </c>
      <c r="F55" s="259">
        <v>2015</v>
      </c>
      <c r="G55" s="250">
        <f t="shared" ref="G55:G60" si="108">ROUNDUP(Y55/($M55*$N55)*$G$2,2)</f>
        <v>1371.32</v>
      </c>
      <c r="H55" s="250">
        <f t="shared" ref="H55:H60" si="109">ROUNDUP(Z55/($M55*$N55)*$G$2,2)</f>
        <v>0</v>
      </c>
      <c r="I55" s="250">
        <f t="shared" ref="I55:I60" si="110">ROUNDUP(AA55/($M55*$N55)*$G$2,2)</f>
        <v>0</v>
      </c>
      <c r="J55" s="462">
        <v>0.71</v>
      </c>
      <c r="K55" s="462">
        <v>0.71</v>
      </c>
      <c r="L55" s="462">
        <v>0.71</v>
      </c>
      <c r="M55" s="244">
        <f t="shared" si="65"/>
        <v>3.1536000000000002E-2</v>
      </c>
      <c r="N55" s="460">
        <v>1</v>
      </c>
      <c r="O55" s="245">
        <v>30</v>
      </c>
      <c r="P55" s="227"/>
      <c r="Q55" s="268"/>
      <c r="R55" s="268" t="str">
        <f t="shared" ref="R55:R60" si="111">R54</f>
        <v>Hot Water</v>
      </c>
      <c r="S55" s="604" t="s">
        <v>890</v>
      </c>
      <c r="T55" s="246" t="s">
        <v>899</v>
      </c>
      <c r="U55" s="246">
        <v>2015</v>
      </c>
      <c r="V55" s="434" cm="1">
        <f t="array" ref="V55">_xlfn.IFNA(INDEX('Data manipulation'!$C$23:$N$125,MATCH($S55&amp;$R55,'Data manipulation'!$B$23:$B$125&amp;'Data manipulation'!$A$23:$A$125,0),MATCH($U55,'Data manipulation'!$C$22:$N$22,0))/1000,0)*SUMIFS('Regional split'!$F$4:$F$6,'Regional split'!$B$4:$B$6,V$4)</f>
        <v>59.715341000000002</v>
      </c>
      <c r="W55" s="434" cm="1">
        <f t="array" ref="W55">_xlfn.IFNA(INDEX('Data manipulation'!$C$23:$N$125,MATCH($S55&amp;$R55,'Data manipulation'!$B$23:$B$125&amp;'Data manipulation'!$A$23:$A$125,0),MATCH($U55,'Data manipulation'!$C$22:$N$22,0))/1000,0)*SUMIFS('Regional split'!$F$4:$F$6,'Regional split'!$B$4:$B$6,W$4)</f>
        <v>0</v>
      </c>
      <c r="X55" s="434" cm="1">
        <f t="array" ref="X55">_xlfn.IFNA(INDEX('Data manipulation'!$C$23:$N$125,MATCH($S55&amp;$R55,'Data manipulation'!$B$23:$B$125&amp;'Data manipulation'!$A$23:$A$125,0),MATCH($U55,'Data manipulation'!$C$22:$N$22,0))/1000,0)*SUMIFS('Regional split'!$F$4:$F$6,'Regional split'!$B$4:$B$6,X$4)</f>
        <v>0</v>
      </c>
      <c r="Y55" s="445">
        <f t="shared" ref="Y55:Y76" si="112">V55*J55</f>
        <v>42.397892110000001</v>
      </c>
      <c r="Z55" s="251">
        <f t="shared" si="67"/>
        <v>0</v>
      </c>
      <c r="AA55" s="446">
        <f t="shared" si="68"/>
        <v>0</v>
      </c>
    </row>
    <row r="56" spans="2:27" ht="15" customHeight="1">
      <c r="B56" s="233" t="str">
        <f t="shared" ref="B56:E60" si="113">B48</f>
        <v>RWTSOLE1</v>
      </c>
      <c r="C56" s="233" t="str">
        <f t="shared" si="113"/>
        <v>Residential Water Hot Technology   - Solar - Existing 1</v>
      </c>
      <c r="D56" s="233" t="str">
        <f t="shared" si="113"/>
        <v>RESSOL</v>
      </c>
      <c r="E56" s="233" t="str">
        <f t="shared" si="113"/>
        <v>RWDEM</v>
      </c>
      <c r="F56" s="259">
        <v>2015</v>
      </c>
      <c r="G56" s="250">
        <f t="shared" si="108"/>
        <v>707.12</v>
      </c>
      <c r="H56" s="250">
        <f t="shared" si="109"/>
        <v>0</v>
      </c>
      <c r="I56" s="250">
        <f t="shared" si="110"/>
        <v>0</v>
      </c>
      <c r="J56" s="462">
        <v>0.95</v>
      </c>
      <c r="K56" s="462">
        <v>0.95</v>
      </c>
      <c r="L56" s="462">
        <v>0.95</v>
      </c>
      <c r="M56" s="244">
        <f t="shared" si="65"/>
        <v>3.1536000000000002E-2</v>
      </c>
      <c r="N56" s="460">
        <v>1</v>
      </c>
      <c r="O56" s="245">
        <v>30</v>
      </c>
      <c r="P56" s="227"/>
      <c r="Q56" s="268"/>
      <c r="R56" s="268" t="str">
        <f t="shared" si="111"/>
        <v>Hot Water</v>
      </c>
      <c r="S56" s="589" t="s">
        <v>852</v>
      </c>
      <c r="T56" s="246" t="s">
        <v>188</v>
      </c>
      <c r="U56" s="246">
        <v>2015</v>
      </c>
      <c r="V56" s="434" cm="1">
        <f t="array" ref="V56">_xlfn.IFNA(INDEX('Data manipulation'!$C$23:$N$125,MATCH($S56&amp;$R56,'Data manipulation'!$B$23:$B$125&amp;'Data manipulation'!$A$23:$A$125,0),MATCH($U56,'Data manipulation'!$C$22:$N$22,0))/1000,0)*SUMIFS('Regional split'!$F$4:$F$6,'Regional split'!$B$4:$B$6,V$4)</f>
        <v>23.012858000000001</v>
      </c>
      <c r="W56" s="434" cm="1">
        <f t="array" ref="W56">_xlfn.IFNA(INDEX('Data manipulation'!$C$23:$N$125,MATCH($S56&amp;$R56,'Data manipulation'!$B$23:$B$125&amp;'Data manipulation'!$A$23:$A$125,0),MATCH($U56,'Data manipulation'!$C$22:$N$22,0))/1000,0)*SUMIFS('Regional split'!$F$4:$F$6,'Regional split'!$B$4:$B$6,W$4)</f>
        <v>0</v>
      </c>
      <c r="X56" s="434" cm="1">
        <f t="array" ref="X56">_xlfn.IFNA(INDEX('Data manipulation'!$C$23:$N$125,MATCH($S56&amp;$R56,'Data manipulation'!$B$23:$B$125&amp;'Data manipulation'!$A$23:$A$125,0),MATCH($U56,'Data manipulation'!$C$22:$N$22,0))/1000,0)*SUMIFS('Regional split'!$F$4:$F$6,'Regional split'!$B$4:$B$6,X$4)</f>
        <v>0</v>
      </c>
      <c r="Y56" s="445">
        <f t="shared" si="112"/>
        <v>21.8622151</v>
      </c>
      <c r="Z56" s="251">
        <f t="shared" si="67"/>
        <v>0</v>
      </c>
      <c r="AA56" s="446">
        <f t="shared" si="68"/>
        <v>0</v>
      </c>
    </row>
    <row r="57" spans="2:27" ht="15" customHeight="1">
      <c r="B57" s="233" t="str">
        <f t="shared" si="113"/>
        <v>RWTELCHE1</v>
      </c>
      <c r="C57" s="233" t="str">
        <f t="shared" si="113"/>
        <v>Residential Water Hot Technology   - Electricity Heating - Existing 1</v>
      </c>
      <c r="D57" s="233" t="str">
        <f t="shared" si="113"/>
        <v>RESELCH</v>
      </c>
      <c r="E57" s="233" t="str">
        <f t="shared" si="113"/>
        <v>RWDEM</v>
      </c>
      <c r="F57" s="259">
        <v>2015</v>
      </c>
      <c r="G57" s="250">
        <f t="shared" si="108"/>
        <v>238.79</v>
      </c>
      <c r="H57" s="250">
        <f t="shared" si="109"/>
        <v>0</v>
      </c>
      <c r="I57" s="250">
        <f t="shared" si="110"/>
        <v>0</v>
      </c>
      <c r="J57" s="462">
        <v>2.3199999999999998</v>
      </c>
      <c r="K57" s="462">
        <v>2.3199999999999998</v>
      </c>
      <c r="L57" s="462">
        <v>2.3199999999999998</v>
      </c>
      <c r="M57" s="244">
        <f t="shared" si="65"/>
        <v>3.1536000000000002E-2</v>
      </c>
      <c r="N57" s="460">
        <v>1</v>
      </c>
      <c r="O57" s="245">
        <v>30</v>
      </c>
      <c r="P57" s="227"/>
      <c r="Q57" s="268"/>
      <c r="R57" s="268" t="str">
        <f t="shared" si="111"/>
        <v>Hot Water</v>
      </c>
      <c r="S57" s="589" t="s">
        <v>851</v>
      </c>
      <c r="T57" s="246" t="s">
        <v>900</v>
      </c>
      <c r="U57" s="246">
        <v>2015</v>
      </c>
      <c r="V57" s="434" cm="1">
        <f t="array" ref="V57">_xlfn.IFNA(INDEX('Data manipulation'!$C$23:$N$125,MATCH($S57&amp;$R57,'Data manipulation'!$B$23:$B$125&amp;'Data manipulation'!$A$23:$A$125,0),MATCH($U57,'Data manipulation'!$C$22:$N$22,0))/1000,0)*SUMIFS('Regional split'!$F$4:$F$6,'Regional split'!$B$4:$B$6,V$4)</f>
        <v>3.1822199999999996</v>
      </c>
      <c r="W57" s="434" cm="1">
        <f t="array" ref="W57">_xlfn.IFNA(INDEX('Data manipulation'!$C$23:$N$125,MATCH($S57&amp;$R57,'Data manipulation'!$B$23:$B$125&amp;'Data manipulation'!$A$23:$A$125,0),MATCH($U57,'Data manipulation'!$C$22:$N$22,0))/1000,0)*SUMIFS('Regional split'!$F$4:$F$6,'Regional split'!$B$4:$B$6,W$4)</f>
        <v>0</v>
      </c>
      <c r="X57" s="434" cm="1">
        <f t="array" ref="X57">_xlfn.IFNA(INDEX('Data manipulation'!$C$23:$N$125,MATCH($S57&amp;$R57,'Data manipulation'!$B$23:$B$125&amp;'Data manipulation'!$A$23:$A$125,0),MATCH($U57,'Data manipulation'!$C$22:$N$22,0))/1000,0)*SUMIFS('Regional split'!$F$4:$F$6,'Regional split'!$B$4:$B$6,X$4)</f>
        <v>0</v>
      </c>
      <c r="Y57" s="445">
        <f t="shared" si="112"/>
        <v>7.3827503999999982</v>
      </c>
      <c r="Z57" s="251">
        <f t="shared" si="67"/>
        <v>0</v>
      </c>
      <c r="AA57" s="446">
        <f t="shared" si="68"/>
        <v>0</v>
      </c>
    </row>
    <row r="58" spans="2:27" ht="15" customHeight="1">
      <c r="B58" s="233" t="str">
        <f t="shared" si="113"/>
        <v>RWTFIWE1</v>
      </c>
      <c r="C58" s="233" t="str">
        <f t="shared" si="113"/>
        <v>Residential Water Hot Technology   - Fire wood - Existing 1</v>
      </c>
      <c r="D58" s="233" t="str">
        <f t="shared" si="113"/>
        <v>RESFIW</v>
      </c>
      <c r="E58" s="233" t="str">
        <f t="shared" si="113"/>
        <v>RWDEM</v>
      </c>
      <c r="F58" s="259">
        <v>2015</v>
      </c>
      <c r="G58" s="250">
        <f t="shared" si="108"/>
        <v>731.92</v>
      </c>
      <c r="H58" s="250">
        <f t="shared" si="109"/>
        <v>0</v>
      </c>
      <c r="I58" s="250">
        <f t="shared" si="110"/>
        <v>0</v>
      </c>
      <c r="J58" s="462">
        <v>0.65</v>
      </c>
      <c r="K58" s="462">
        <v>0.65</v>
      </c>
      <c r="L58" s="462">
        <v>0.65</v>
      </c>
      <c r="M58" s="244">
        <f t="shared" si="65"/>
        <v>3.1536000000000002E-2</v>
      </c>
      <c r="N58" s="460">
        <v>1</v>
      </c>
      <c r="O58" s="245">
        <v>30</v>
      </c>
      <c r="P58" s="227"/>
      <c r="Q58" s="268"/>
      <c r="R58" s="268" t="str">
        <f t="shared" si="111"/>
        <v>Hot Water</v>
      </c>
      <c r="S58" s="589" t="s">
        <v>850</v>
      </c>
      <c r="T58" s="246" t="s">
        <v>220</v>
      </c>
      <c r="U58" s="246">
        <v>2015</v>
      </c>
      <c r="V58" s="434" cm="1">
        <f t="array" ref="V58">_xlfn.IFNA(INDEX('Data manipulation'!$C$23:$N$125,MATCH($S58&amp;$R58,'Data manipulation'!$B$23:$B$125&amp;'Data manipulation'!$A$23:$A$125,0),MATCH($U58,'Data manipulation'!$C$22:$N$22,0))/1000,0)*SUMIFS('Regional split'!$F$4:$F$6,'Regional split'!$B$4:$B$6,V$4)</f>
        <v>34.814065999999997</v>
      </c>
      <c r="W58" s="434" cm="1">
        <f t="array" ref="W58">_xlfn.IFNA(INDEX('Data manipulation'!$C$23:$N$125,MATCH($S58&amp;$R58,'Data manipulation'!$B$23:$B$125&amp;'Data manipulation'!$A$23:$A$125,0),MATCH($U58,'Data manipulation'!$C$22:$N$22,0))/1000,0)*SUMIFS('Regional split'!$F$4:$F$6,'Regional split'!$B$4:$B$6,W$4)</f>
        <v>0</v>
      </c>
      <c r="X58" s="434" cm="1">
        <f t="array" ref="X58">_xlfn.IFNA(INDEX('Data manipulation'!$C$23:$N$125,MATCH($S58&amp;$R58,'Data manipulation'!$B$23:$B$125&amp;'Data manipulation'!$A$23:$A$125,0),MATCH($U58,'Data manipulation'!$C$22:$N$22,0))/1000,0)*SUMIFS('Regional split'!$F$4:$F$6,'Regional split'!$B$4:$B$6,X$4)</f>
        <v>0</v>
      </c>
      <c r="Y58" s="445">
        <f t="shared" si="112"/>
        <v>22.629142899999998</v>
      </c>
      <c r="Z58" s="251">
        <f t="shared" si="67"/>
        <v>0</v>
      </c>
      <c r="AA58" s="446">
        <f t="shared" si="68"/>
        <v>0</v>
      </c>
    </row>
    <row r="59" spans="2:27" ht="15" customHeight="1">
      <c r="B59" s="233" t="str">
        <f t="shared" si="113"/>
        <v>RWTELCWE1</v>
      </c>
      <c r="C59" s="233" t="str">
        <f t="shared" si="113"/>
        <v>Residential Water Hot Technology   - Electricity Water Heating - Existing 1</v>
      </c>
      <c r="D59" s="233" t="str">
        <f t="shared" si="113"/>
        <v>RESELCW</v>
      </c>
      <c r="E59" s="233" t="str">
        <f t="shared" si="113"/>
        <v>RWDEM</v>
      </c>
      <c r="F59" s="259">
        <v>2015</v>
      </c>
      <c r="G59" s="250">
        <f t="shared" si="108"/>
        <v>1677.72</v>
      </c>
      <c r="H59" s="250">
        <f t="shared" si="109"/>
        <v>0</v>
      </c>
      <c r="I59" s="250">
        <f t="shared" si="110"/>
        <v>0</v>
      </c>
      <c r="J59" s="462">
        <v>0.95</v>
      </c>
      <c r="K59" s="462">
        <v>0.95</v>
      </c>
      <c r="L59" s="462">
        <v>0.95</v>
      </c>
      <c r="M59" s="244">
        <f t="shared" si="65"/>
        <v>3.1536000000000002E-2</v>
      </c>
      <c r="N59" s="460">
        <v>1</v>
      </c>
      <c r="O59" s="245">
        <v>30</v>
      </c>
      <c r="P59" s="227"/>
      <c r="Q59" s="268"/>
      <c r="R59" s="268" t="str">
        <f t="shared" si="111"/>
        <v>Hot Water</v>
      </c>
      <c r="S59" s="589" t="s">
        <v>79</v>
      </c>
      <c r="T59" s="246" t="s">
        <v>903</v>
      </c>
      <c r="U59" s="246">
        <v>2015</v>
      </c>
      <c r="V59" s="434" cm="1">
        <f t="array" ref="V59">_xlfn.IFNA(INDEX('Data manipulation'!$C$23:$N$125,MATCH($S59&amp;$R59,'Data manipulation'!$B$23:$B$125&amp;'Data manipulation'!$A$23:$A$125,0),MATCH($U59,'Data manipulation'!$C$22:$N$22,0))/1000,0)*SUMIFS('Regional split'!$F$4:$F$6,'Regional split'!$B$4:$B$6,V$4)</f>
        <v>54.601157000000001</v>
      </c>
      <c r="W59" s="434" cm="1">
        <f t="array" ref="W59">_xlfn.IFNA(INDEX('Data manipulation'!$C$23:$N$125,MATCH($S59&amp;$R59,'Data manipulation'!$B$23:$B$125&amp;'Data manipulation'!$A$23:$A$125,0),MATCH($U59,'Data manipulation'!$C$22:$N$22,0))/1000,0)*SUMIFS('Regional split'!$F$4:$F$6,'Regional split'!$B$4:$B$6,W$4)</f>
        <v>0</v>
      </c>
      <c r="X59" s="434" cm="1">
        <f t="array" ref="X59">_xlfn.IFNA(INDEX('Data manipulation'!$C$23:$N$125,MATCH($S59&amp;$R59,'Data manipulation'!$B$23:$B$125&amp;'Data manipulation'!$A$23:$A$125,0),MATCH($U59,'Data manipulation'!$C$22:$N$22,0))/1000,0)*SUMIFS('Regional split'!$F$4:$F$6,'Regional split'!$B$4:$B$6,X$4)</f>
        <v>0</v>
      </c>
      <c r="Y59" s="445">
        <f t="shared" si="112"/>
        <v>51.871099149999999</v>
      </c>
      <c r="Z59" s="251">
        <f t="shared" si="67"/>
        <v>0</v>
      </c>
      <c r="AA59" s="446">
        <f t="shared" si="68"/>
        <v>0</v>
      </c>
    </row>
    <row r="60" spans="2:27" ht="15" customHeight="1">
      <c r="B60" s="233" t="str">
        <f t="shared" si="113"/>
        <v>RWTHCEE1</v>
      </c>
      <c r="C60" s="233" t="str">
        <f t="shared" si="113"/>
        <v>Residential Water Hot Technology   - District heating Central - Existing 1</v>
      </c>
      <c r="D60" s="233" t="str">
        <f t="shared" si="113"/>
        <v>RESELCW</v>
      </c>
      <c r="E60" s="233" t="str">
        <f t="shared" si="113"/>
        <v>RWDEM</v>
      </c>
      <c r="F60" s="259">
        <v>2015</v>
      </c>
      <c r="G60" s="250">
        <f t="shared" si="108"/>
        <v>438.87</v>
      </c>
      <c r="H60" s="250">
        <f t="shared" si="109"/>
        <v>0</v>
      </c>
      <c r="I60" s="250">
        <f t="shared" si="110"/>
        <v>0</v>
      </c>
      <c r="J60" s="462">
        <v>0.95</v>
      </c>
      <c r="K60" s="462">
        <v>0.95</v>
      </c>
      <c r="L60" s="462">
        <v>0.95</v>
      </c>
      <c r="M60" s="244">
        <f t="shared" si="65"/>
        <v>3.1536000000000002E-2</v>
      </c>
      <c r="N60" s="460">
        <v>1</v>
      </c>
      <c r="O60" s="245">
        <v>30</v>
      </c>
      <c r="P60" s="227"/>
      <c r="Q60" s="268"/>
      <c r="R60" s="268" t="str">
        <f t="shared" si="111"/>
        <v>Hot Water</v>
      </c>
      <c r="S60" s="589" t="s">
        <v>219</v>
      </c>
      <c r="T60" s="246" t="s">
        <v>219</v>
      </c>
      <c r="U60" s="246">
        <v>2015</v>
      </c>
      <c r="V60" s="434" cm="1">
        <f t="array" ref="V60">_xlfn.IFNA(INDEX('Data manipulation'!$C$23:$N$125,MATCH($S60&amp;$R60,'Data manipulation'!$B$23:$B$125&amp;'Data manipulation'!$A$23:$A$125,0),MATCH($U60,'Data manipulation'!$C$22:$N$22,0))/1000,0)*SUMIFS('Regional split'!$F$4:$F$6,'Regional split'!$B$4:$B$6,V$4)</f>
        <v>14.282905000000001</v>
      </c>
      <c r="W60" s="434" cm="1">
        <f t="array" ref="W60">_xlfn.IFNA(INDEX('Data manipulation'!$C$23:$N$125,MATCH($S60&amp;$R60,'Data manipulation'!$B$23:$B$125&amp;'Data manipulation'!$A$23:$A$125,0),MATCH($U60,'Data manipulation'!$C$22:$N$22,0))/1000,0)*SUMIFS('Regional split'!$F$4:$F$6,'Regional split'!$B$4:$B$6,W$4)</f>
        <v>0</v>
      </c>
      <c r="X60" s="434" cm="1">
        <f t="array" ref="X60">_xlfn.IFNA(INDEX('Data manipulation'!$C$23:$N$125,MATCH($S60&amp;$R60,'Data manipulation'!$B$23:$B$125&amp;'Data manipulation'!$A$23:$A$125,0),MATCH($U60,'Data manipulation'!$C$22:$N$22,0))/1000,0)*SUMIFS('Regional split'!$F$4:$F$6,'Regional split'!$B$4:$B$6,X$4)</f>
        <v>0</v>
      </c>
      <c r="Y60" s="445">
        <f t="shared" si="112"/>
        <v>13.56875975</v>
      </c>
      <c r="Z60" s="251">
        <f t="shared" si="67"/>
        <v>0</v>
      </c>
      <c r="AA60" s="446">
        <f t="shared" si="68"/>
        <v>0</v>
      </c>
    </row>
    <row r="61" spans="2:27" ht="14.4">
      <c r="B61" s="233" t="str">
        <f t="shared" ref="B61:E62" si="114">B45</f>
        <v>RWTLPGE1</v>
      </c>
      <c r="C61" s="233" t="str">
        <f t="shared" si="114"/>
        <v>Residential Water Hot Technology   - LPG - Existing 1</v>
      </c>
      <c r="D61" s="233" t="str">
        <f t="shared" si="114"/>
        <v>RESLPG</v>
      </c>
      <c r="E61" s="233" t="str">
        <f t="shared" si="114"/>
        <v>RWDEM</v>
      </c>
      <c r="F61" s="230">
        <v>2018</v>
      </c>
      <c r="G61" s="250">
        <f t="shared" si="69"/>
        <v>0</v>
      </c>
      <c r="H61" s="250">
        <f t="shared" si="63"/>
        <v>0</v>
      </c>
      <c r="I61" s="250">
        <f t="shared" si="64"/>
        <v>0</v>
      </c>
      <c r="J61" s="462">
        <f t="shared" ref="J61:L62" si="115">J45</f>
        <v>0.95</v>
      </c>
      <c r="K61" s="462">
        <f t="shared" si="115"/>
        <v>0.95</v>
      </c>
      <c r="L61" s="462">
        <f t="shared" si="115"/>
        <v>0.95</v>
      </c>
      <c r="M61" s="244">
        <f t="shared" si="65"/>
        <v>3.1536000000000002E-2</v>
      </c>
      <c r="N61" s="460">
        <v>1</v>
      </c>
      <c r="O61" s="245">
        <v>30</v>
      </c>
      <c r="P61" s="227"/>
      <c r="Q61" s="227"/>
      <c r="R61" s="268" t="str">
        <f>R46</f>
        <v>Hot Water</v>
      </c>
      <c r="S61" s="603" t="s">
        <v>790</v>
      </c>
      <c r="T61" s="246" t="s">
        <v>187</v>
      </c>
      <c r="U61" s="246">
        <v>2018</v>
      </c>
      <c r="V61" s="434" cm="1">
        <f t="array" ref="V61">_xlfn.IFNA(INDEX('Data manipulation'!$C$23:$N$125,MATCH($S61&amp;$R61,'Data manipulation'!$B$23:$B$125&amp;'Data manipulation'!$A$23:$A$125,0),MATCH($U61,'Data manipulation'!$C$22:$N$22,0))/1000,0)*SUMIFS('Regional split'!$F$4:$F$6,'Regional split'!$B$4:$B$6,V$4)</f>
        <v>0</v>
      </c>
      <c r="W61" s="434" cm="1">
        <f t="array" ref="W61">_xlfn.IFNA(INDEX('Data manipulation'!$C$23:$N$125,MATCH($S61&amp;$R61,'Data manipulation'!$B$23:$B$125&amp;'Data manipulation'!$A$23:$A$125,0),MATCH($U61,'Data manipulation'!$C$22:$N$22,0))/1000,0)*SUMIFS('Regional split'!$F$4:$F$6,'Regional split'!$B$4:$B$6,W$4)</f>
        <v>0</v>
      </c>
      <c r="X61" s="434" cm="1">
        <f t="array" ref="X61">_xlfn.IFNA(INDEX('Data manipulation'!$C$23:$N$125,MATCH($S61&amp;$R61,'Data manipulation'!$B$23:$B$125&amp;'Data manipulation'!$A$23:$A$125,0),MATCH($U61,'Data manipulation'!$C$22:$N$22,0))/1000,0)*SUMIFS('Regional split'!$F$4:$F$6,'Regional split'!$B$4:$B$6,X$4)</f>
        <v>0</v>
      </c>
      <c r="Y61" s="445">
        <f t="shared" si="112"/>
        <v>0</v>
      </c>
      <c r="Z61" s="251">
        <f t="shared" si="67"/>
        <v>0</v>
      </c>
      <c r="AA61" s="446">
        <f t="shared" si="68"/>
        <v>0</v>
      </c>
    </row>
    <row r="62" spans="2:27" ht="14.4">
      <c r="B62" s="233" t="str">
        <f t="shared" si="114"/>
        <v>RWTNGAE1</v>
      </c>
      <c r="C62" s="233" t="str">
        <f t="shared" si="114"/>
        <v>Residential Water Hot Technology   - Natural Gas - Existing 1</v>
      </c>
      <c r="D62" s="233" t="str">
        <f t="shared" si="114"/>
        <v>RESNGA,RESBGA</v>
      </c>
      <c r="E62" s="233" t="str">
        <f t="shared" si="114"/>
        <v>RWDEM</v>
      </c>
      <c r="F62" s="230">
        <v>2018</v>
      </c>
      <c r="G62" s="250">
        <f t="shared" si="69"/>
        <v>4660.6100000000006</v>
      </c>
      <c r="H62" s="250">
        <f t="shared" si="63"/>
        <v>0</v>
      </c>
      <c r="I62" s="250">
        <f t="shared" si="64"/>
        <v>0</v>
      </c>
      <c r="J62" s="462">
        <f t="shared" si="115"/>
        <v>0.72</v>
      </c>
      <c r="K62" s="462">
        <f t="shared" si="115"/>
        <v>0.72</v>
      </c>
      <c r="L62" s="462">
        <f t="shared" si="115"/>
        <v>0.72</v>
      </c>
      <c r="M62" s="244">
        <f t="shared" si="65"/>
        <v>3.1536000000000002E-2</v>
      </c>
      <c r="N62" s="460">
        <v>1</v>
      </c>
      <c r="O62" s="245">
        <v>30</v>
      </c>
      <c r="P62" s="227"/>
      <c r="Q62" s="227"/>
      <c r="R62" s="268" t="str">
        <f t="shared" ref="R62:R70" si="116">R61</f>
        <v>Hot Water</v>
      </c>
      <c r="S62" s="604" t="str">
        <f>'Data manipulation'!$B$36</f>
        <v>Natural gas, biogas and LNG</v>
      </c>
      <c r="T62" s="246" t="s">
        <v>187</v>
      </c>
      <c r="U62" s="246">
        <v>2018</v>
      </c>
      <c r="V62" s="434" cm="1">
        <f t="array" ref="V62">_xlfn.IFNA(INDEX('Data manipulation'!$C$23:$N$125,MATCH($S62&amp;$R62,'Data manipulation'!$B$23:$B$125&amp;'Data manipulation'!$A$23:$A$125,0),MATCH($U62,'Data manipulation'!$C$22:$N$22,0))/1000,0)*SUMIFS('Regional split'!$F$4:$F$6,'Regional split'!$B$4:$B$6,V$4)</f>
        <v>200.13201900000001</v>
      </c>
      <c r="W62" s="434" cm="1">
        <f t="array" ref="W62">_xlfn.IFNA(INDEX('Data manipulation'!$C$23:$N$125,MATCH($S62&amp;$R62,'Data manipulation'!$B$23:$B$125&amp;'Data manipulation'!$A$23:$A$125,0),MATCH($U62,'Data manipulation'!$C$22:$N$22,0))/1000,0)*SUMIFS('Regional split'!$F$4:$F$6,'Regional split'!$B$4:$B$6,W$4)</f>
        <v>0</v>
      </c>
      <c r="X62" s="434" cm="1">
        <f t="array" ref="X62">_xlfn.IFNA(INDEX('Data manipulation'!$C$23:$N$125,MATCH($S62&amp;$R62,'Data manipulation'!$B$23:$B$125&amp;'Data manipulation'!$A$23:$A$125,0),MATCH($U62,'Data manipulation'!$C$22:$N$22,0))/1000,0)*SUMIFS('Regional split'!$F$4:$F$6,'Regional split'!$B$4:$B$6,X$4)</f>
        <v>0</v>
      </c>
      <c r="Y62" s="445">
        <f t="shared" si="112"/>
        <v>144.09505368000001</v>
      </c>
      <c r="Z62" s="251">
        <f t="shared" si="67"/>
        <v>0</v>
      </c>
      <c r="AA62" s="446">
        <f t="shared" si="68"/>
        <v>0</v>
      </c>
    </row>
    <row r="63" spans="2:27" ht="15" customHeight="1">
      <c r="B63" s="233" t="str">
        <f>B55</f>
        <v>RWTDSLE1</v>
      </c>
      <c r="C63" s="233" t="str">
        <f t="shared" ref="C63:E63" si="117">C55</f>
        <v>Residential Water Hot Technology   - Diesel - Existing 1</v>
      </c>
      <c r="D63" s="233" t="str">
        <f t="shared" si="117"/>
        <v>RESDSL,RESDSB</v>
      </c>
      <c r="E63" s="233" t="str">
        <f t="shared" si="117"/>
        <v>RWDEM</v>
      </c>
      <c r="F63" s="230">
        <v>2018</v>
      </c>
      <c r="G63" s="250">
        <f t="shared" si="69"/>
        <v>1337</v>
      </c>
      <c r="H63" s="250">
        <f t="shared" si="63"/>
        <v>0</v>
      </c>
      <c r="I63" s="250">
        <f t="shared" si="64"/>
        <v>0</v>
      </c>
      <c r="J63" s="462">
        <v>0.71</v>
      </c>
      <c r="K63" s="462">
        <v>0.71</v>
      </c>
      <c r="L63" s="462">
        <v>0.71</v>
      </c>
      <c r="M63" s="244">
        <f t="shared" si="65"/>
        <v>3.1536000000000002E-2</v>
      </c>
      <c r="N63" s="460">
        <v>1</v>
      </c>
      <c r="O63" s="245">
        <v>30</v>
      </c>
      <c r="P63" s="227"/>
      <c r="Q63" s="268"/>
      <c r="R63" s="268" t="str">
        <f t="shared" ref="R63:R68" si="118">R62</f>
        <v>Hot Water</v>
      </c>
      <c r="S63" s="604" t="s">
        <v>890</v>
      </c>
      <c r="T63" s="246" t="s">
        <v>899</v>
      </c>
      <c r="U63" s="246">
        <v>2018</v>
      </c>
      <c r="V63" s="434" cm="1">
        <f t="array" ref="V63">_xlfn.IFNA(INDEX('Data manipulation'!$C$23:$N$125,MATCH($S63&amp;$R63,'Data manipulation'!$B$23:$B$125&amp;'Data manipulation'!$A$23:$A$125,0),MATCH($U63,'Data manipulation'!$C$22:$N$22,0))/1000,0)*SUMIFS('Regional split'!$F$4:$F$6,'Regional split'!$B$4:$B$6,V$4)</f>
        <v>58.220644</v>
      </c>
      <c r="W63" s="434" cm="1">
        <f t="array" ref="W63">_xlfn.IFNA(INDEX('Data manipulation'!$C$23:$N$125,MATCH($S63&amp;$R63,'Data manipulation'!$B$23:$B$125&amp;'Data manipulation'!$A$23:$A$125,0),MATCH($U63,'Data manipulation'!$C$22:$N$22,0))/1000,0)*SUMIFS('Regional split'!$F$4:$F$6,'Regional split'!$B$4:$B$6,W$4)</f>
        <v>0</v>
      </c>
      <c r="X63" s="434" cm="1">
        <f t="array" ref="X63">_xlfn.IFNA(INDEX('Data manipulation'!$C$23:$N$125,MATCH($S63&amp;$R63,'Data manipulation'!$B$23:$B$125&amp;'Data manipulation'!$A$23:$A$125,0),MATCH($U63,'Data manipulation'!$C$22:$N$22,0))/1000,0)*SUMIFS('Regional split'!$F$4:$F$6,'Regional split'!$B$4:$B$6,X$4)</f>
        <v>0</v>
      </c>
      <c r="Y63" s="445">
        <f t="shared" si="112"/>
        <v>41.336657240000001</v>
      </c>
      <c r="Z63" s="251">
        <f t="shared" ref="Z63:Z68" si="119">W63*K63</f>
        <v>0</v>
      </c>
      <c r="AA63" s="446">
        <f t="shared" ref="AA63:AA68" si="120">X63*L63</f>
        <v>0</v>
      </c>
    </row>
    <row r="64" spans="2:27" ht="15" customHeight="1">
      <c r="B64" s="233" t="str">
        <f t="shared" ref="B64:E64" si="121">B56</f>
        <v>RWTSOLE1</v>
      </c>
      <c r="C64" s="233" t="str">
        <f t="shared" si="121"/>
        <v>Residential Water Hot Technology   - Solar - Existing 1</v>
      </c>
      <c r="D64" s="233" t="str">
        <f t="shared" si="121"/>
        <v>RESSOL</v>
      </c>
      <c r="E64" s="233" t="str">
        <f t="shared" si="121"/>
        <v>RWDEM</v>
      </c>
      <c r="F64" s="230">
        <v>2018</v>
      </c>
      <c r="G64" s="250">
        <f t="shared" si="69"/>
        <v>815.85</v>
      </c>
      <c r="H64" s="250">
        <f t="shared" si="63"/>
        <v>0</v>
      </c>
      <c r="I64" s="250">
        <f t="shared" si="64"/>
        <v>0</v>
      </c>
      <c r="J64" s="462">
        <v>0.95</v>
      </c>
      <c r="K64" s="462">
        <v>0.95</v>
      </c>
      <c r="L64" s="462">
        <v>0.95</v>
      </c>
      <c r="M64" s="244">
        <f t="shared" si="65"/>
        <v>3.1536000000000002E-2</v>
      </c>
      <c r="N64" s="460">
        <v>1</v>
      </c>
      <c r="O64" s="245">
        <v>30</v>
      </c>
      <c r="P64" s="227"/>
      <c r="Q64" s="268"/>
      <c r="R64" s="268" t="str">
        <f t="shared" si="118"/>
        <v>Hot Water</v>
      </c>
      <c r="S64" s="589" t="s">
        <v>852</v>
      </c>
      <c r="T64" s="246" t="s">
        <v>188</v>
      </c>
      <c r="U64" s="246">
        <v>2018</v>
      </c>
      <c r="V64" s="434" cm="1">
        <f t="array" ref="V64">_xlfn.IFNA(INDEX('Data manipulation'!$C$23:$N$125,MATCH($S64&amp;$R64,'Data manipulation'!$B$23:$B$125&amp;'Data manipulation'!$A$23:$A$125,0),MATCH($U64,'Data manipulation'!$C$22:$N$22,0))/1000,0)*SUMIFS('Regional split'!$F$4:$F$6,'Regional split'!$B$4:$B$6,V$4)</f>
        <v>26.551425999999999</v>
      </c>
      <c r="W64" s="434" cm="1">
        <f t="array" ref="W64">_xlfn.IFNA(INDEX('Data manipulation'!$C$23:$N$125,MATCH($S64&amp;$R64,'Data manipulation'!$B$23:$B$125&amp;'Data manipulation'!$A$23:$A$125,0),MATCH($U64,'Data manipulation'!$C$22:$N$22,0))/1000,0)*SUMIFS('Regional split'!$F$4:$F$6,'Regional split'!$B$4:$B$6,W$4)</f>
        <v>0</v>
      </c>
      <c r="X64" s="434" cm="1">
        <f t="array" ref="X64">_xlfn.IFNA(INDEX('Data manipulation'!$C$23:$N$125,MATCH($S64&amp;$R64,'Data manipulation'!$B$23:$B$125&amp;'Data manipulation'!$A$23:$A$125,0),MATCH($U64,'Data manipulation'!$C$22:$N$22,0))/1000,0)*SUMIFS('Regional split'!$F$4:$F$6,'Regional split'!$B$4:$B$6,X$4)</f>
        <v>0</v>
      </c>
      <c r="Y64" s="445">
        <f t="shared" si="112"/>
        <v>25.223854699999997</v>
      </c>
      <c r="Z64" s="251">
        <f t="shared" si="119"/>
        <v>0</v>
      </c>
      <c r="AA64" s="446">
        <f t="shared" si="120"/>
        <v>0</v>
      </c>
    </row>
    <row r="65" spans="2:27" ht="15" customHeight="1">
      <c r="B65" s="233" t="str">
        <f t="shared" ref="B65:E65" si="122">B57</f>
        <v>RWTELCHE1</v>
      </c>
      <c r="C65" s="233" t="str">
        <f t="shared" si="122"/>
        <v>Residential Water Hot Technology   - Electricity Heating - Existing 1</v>
      </c>
      <c r="D65" s="233" t="str">
        <f t="shared" si="122"/>
        <v>RESELCH</v>
      </c>
      <c r="E65" s="233" t="str">
        <f t="shared" si="122"/>
        <v>RWDEM</v>
      </c>
      <c r="F65" s="230">
        <v>2018</v>
      </c>
      <c r="G65" s="250">
        <f t="shared" si="69"/>
        <v>300.26</v>
      </c>
      <c r="H65" s="250">
        <f t="shared" si="63"/>
        <v>0</v>
      </c>
      <c r="I65" s="250">
        <f t="shared" si="64"/>
        <v>0</v>
      </c>
      <c r="J65" s="462">
        <v>2.3199999999999998</v>
      </c>
      <c r="K65" s="462">
        <v>2.3199999999999998</v>
      </c>
      <c r="L65" s="462">
        <v>2.3199999999999998</v>
      </c>
      <c r="M65" s="244">
        <f t="shared" si="65"/>
        <v>3.1536000000000002E-2</v>
      </c>
      <c r="N65" s="460">
        <v>1</v>
      </c>
      <c r="O65" s="245">
        <v>30</v>
      </c>
      <c r="P65" s="227"/>
      <c r="Q65" s="268"/>
      <c r="R65" s="268" t="str">
        <f t="shared" si="118"/>
        <v>Hot Water</v>
      </c>
      <c r="S65" s="589" t="s">
        <v>851</v>
      </c>
      <c r="T65" s="246" t="s">
        <v>900</v>
      </c>
      <c r="U65" s="246">
        <v>2018</v>
      </c>
      <c r="V65" s="434" cm="1">
        <f t="array" ref="V65">_xlfn.IFNA(INDEX('Data manipulation'!$C$23:$N$125,MATCH($S65&amp;$R65,'Data manipulation'!$B$23:$B$125&amp;'Data manipulation'!$A$23:$A$125,0),MATCH($U65,'Data manipulation'!$C$22:$N$22,0))/1000,0)*SUMIFS('Regional split'!$F$4:$F$6,'Regional split'!$B$4:$B$6,V$4)</f>
        <v>4.0014000000000003</v>
      </c>
      <c r="W65" s="434" cm="1">
        <f t="array" ref="W65">_xlfn.IFNA(INDEX('Data manipulation'!$C$23:$N$125,MATCH($S65&amp;$R65,'Data manipulation'!$B$23:$B$125&amp;'Data manipulation'!$A$23:$A$125,0),MATCH($U65,'Data manipulation'!$C$22:$N$22,0))/1000,0)*SUMIFS('Regional split'!$F$4:$F$6,'Regional split'!$B$4:$B$6,W$4)</f>
        <v>0</v>
      </c>
      <c r="X65" s="434" cm="1">
        <f t="array" ref="X65">_xlfn.IFNA(INDEX('Data manipulation'!$C$23:$N$125,MATCH($S65&amp;$R65,'Data manipulation'!$B$23:$B$125&amp;'Data manipulation'!$A$23:$A$125,0),MATCH($U65,'Data manipulation'!$C$22:$N$22,0))/1000,0)*SUMIFS('Regional split'!$F$4:$F$6,'Regional split'!$B$4:$B$6,X$4)</f>
        <v>0</v>
      </c>
      <c r="Y65" s="445">
        <f t="shared" si="112"/>
        <v>9.2832480000000004</v>
      </c>
      <c r="Z65" s="251">
        <f t="shared" si="119"/>
        <v>0</v>
      </c>
      <c r="AA65" s="446">
        <f t="shared" si="120"/>
        <v>0</v>
      </c>
    </row>
    <row r="66" spans="2:27" ht="15" customHeight="1">
      <c r="B66" s="233" t="str">
        <f t="shared" ref="B66:E66" si="123">B58</f>
        <v>RWTFIWE1</v>
      </c>
      <c r="C66" s="233" t="str">
        <f t="shared" si="123"/>
        <v>Residential Water Hot Technology   - Fire wood - Existing 1</v>
      </c>
      <c r="D66" s="233" t="str">
        <f t="shared" si="123"/>
        <v>RESFIW</v>
      </c>
      <c r="E66" s="233" t="str">
        <f t="shared" si="123"/>
        <v>RWDEM</v>
      </c>
      <c r="F66" s="230">
        <v>2018</v>
      </c>
      <c r="G66" s="250">
        <f t="shared" si="69"/>
        <v>748.46</v>
      </c>
      <c r="H66" s="250">
        <f t="shared" si="63"/>
        <v>0</v>
      </c>
      <c r="I66" s="250">
        <f t="shared" si="64"/>
        <v>0</v>
      </c>
      <c r="J66" s="462">
        <v>0.65</v>
      </c>
      <c r="K66" s="462">
        <v>0.65</v>
      </c>
      <c r="L66" s="462">
        <v>0.65</v>
      </c>
      <c r="M66" s="244">
        <f t="shared" si="65"/>
        <v>3.1536000000000002E-2</v>
      </c>
      <c r="N66" s="460">
        <v>1</v>
      </c>
      <c r="O66" s="245">
        <v>30</v>
      </c>
      <c r="P66" s="227"/>
      <c r="Q66" s="268"/>
      <c r="R66" s="268" t="str">
        <f t="shared" si="118"/>
        <v>Hot Water</v>
      </c>
      <c r="S66" s="589" t="s">
        <v>850</v>
      </c>
      <c r="T66" s="246" t="s">
        <v>220</v>
      </c>
      <c r="U66" s="246">
        <v>2018</v>
      </c>
      <c r="V66" s="434" cm="1">
        <f t="array" ref="V66">_xlfn.IFNA(INDEX('Data manipulation'!$C$23:$N$125,MATCH($S66&amp;$R66,'Data manipulation'!$B$23:$B$125&amp;'Data manipulation'!$A$23:$A$125,0),MATCH($U66,'Data manipulation'!$C$22:$N$22,0))/1000,0)*SUMIFS('Regional split'!$F$4:$F$6,'Regional split'!$B$4:$B$6,V$4)</f>
        <v>35.600675000000003</v>
      </c>
      <c r="W66" s="434" cm="1">
        <f t="array" ref="W66">_xlfn.IFNA(INDEX('Data manipulation'!$C$23:$N$125,MATCH($S66&amp;$R66,'Data manipulation'!$B$23:$B$125&amp;'Data manipulation'!$A$23:$A$125,0),MATCH($U66,'Data manipulation'!$C$22:$N$22,0))/1000,0)*SUMIFS('Regional split'!$F$4:$F$6,'Regional split'!$B$4:$B$6,W$4)</f>
        <v>0</v>
      </c>
      <c r="X66" s="434" cm="1">
        <f t="array" ref="X66">_xlfn.IFNA(INDEX('Data manipulation'!$C$23:$N$125,MATCH($S66&amp;$R66,'Data manipulation'!$B$23:$B$125&amp;'Data manipulation'!$A$23:$A$125,0),MATCH($U66,'Data manipulation'!$C$22:$N$22,0))/1000,0)*SUMIFS('Regional split'!$F$4:$F$6,'Regional split'!$B$4:$B$6,X$4)</f>
        <v>0</v>
      </c>
      <c r="Y66" s="445">
        <f t="shared" si="112"/>
        <v>23.140438750000001</v>
      </c>
      <c r="Z66" s="251">
        <f t="shared" si="119"/>
        <v>0</v>
      </c>
      <c r="AA66" s="446">
        <f t="shared" si="120"/>
        <v>0</v>
      </c>
    </row>
    <row r="67" spans="2:27" ht="15" customHeight="1">
      <c r="B67" s="233" t="str">
        <f t="shared" ref="B67:E67" si="124">B59</f>
        <v>RWTELCWE1</v>
      </c>
      <c r="C67" s="233" t="str">
        <f t="shared" si="124"/>
        <v>Residential Water Hot Technology   - Electricity Water Heating - Existing 1</v>
      </c>
      <c r="D67" s="233" t="str">
        <f t="shared" si="124"/>
        <v>RESELCW</v>
      </c>
      <c r="E67" s="233" t="str">
        <f t="shared" si="124"/>
        <v>RWDEM</v>
      </c>
      <c r="F67" s="230">
        <v>2018</v>
      </c>
      <c r="G67" s="250">
        <f t="shared" si="69"/>
        <v>1721.68</v>
      </c>
      <c r="H67" s="250">
        <f t="shared" si="63"/>
        <v>0</v>
      </c>
      <c r="I67" s="250">
        <f t="shared" si="64"/>
        <v>0</v>
      </c>
      <c r="J67" s="462">
        <v>0.95</v>
      </c>
      <c r="K67" s="462">
        <v>0.95</v>
      </c>
      <c r="L67" s="462">
        <v>0.95</v>
      </c>
      <c r="M67" s="244">
        <f t="shared" si="65"/>
        <v>3.1536000000000002E-2</v>
      </c>
      <c r="N67" s="460">
        <v>1</v>
      </c>
      <c r="O67" s="245">
        <v>30</v>
      </c>
      <c r="P67" s="227"/>
      <c r="Q67" s="268"/>
      <c r="R67" s="268" t="str">
        <f t="shared" si="118"/>
        <v>Hot Water</v>
      </c>
      <c r="S67" s="589" t="s">
        <v>79</v>
      </c>
      <c r="T67" s="246" t="s">
        <v>903</v>
      </c>
      <c r="U67" s="246">
        <v>2018</v>
      </c>
      <c r="V67" s="434" cm="1">
        <f t="array" ref="V67">_xlfn.IFNA(INDEX('Data manipulation'!$C$23:$N$125,MATCH($S67&amp;$R67,'Data manipulation'!$B$23:$B$125&amp;'Data manipulation'!$A$23:$A$125,0),MATCH($U67,'Data manipulation'!$C$22:$N$22,0))/1000,0)*SUMIFS('Regional split'!$F$4:$F$6,'Regional split'!$B$4:$B$6,V$4)</f>
        <v>56.031815000000002</v>
      </c>
      <c r="W67" s="434" cm="1">
        <f t="array" ref="W67">_xlfn.IFNA(INDEX('Data manipulation'!$C$23:$N$125,MATCH($S67&amp;$R67,'Data manipulation'!$B$23:$B$125&amp;'Data manipulation'!$A$23:$A$125,0),MATCH($U67,'Data manipulation'!$C$22:$N$22,0))/1000,0)*SUMIFS('Regional split'!$F$4:$F$6,'Regional split'!$B$4:$B$6,W$4)</f>
        <v>0</v>
      </c>
      <c r="X67" s="434" cm="1">
        <f t="array" ref="X67">_xlfn.IFNA(INDEX('Data manipulation'!$C$23:$N$125,MATCH($S67&amp;$R67,'Data manipulation'!$B$23:$B$125&amp;'Data manipulation'!$A$23:$A$125,0),MATCH($U67,'Data manipulation'!$C$22:$N$22,0))/1000,0)*SUMIFS('Regional split'!$F$4:$F$6,'Regional split'!$B$4:$B$6,X$4)</f>
        <v>0</v>
      </c>
      <c r="Y67" s="445">
        <f t="shared" si="112"/>
        <v>53.230224249999999</v>
      </c>
      <c r="Z67" s="251">
        <f t="shared" si="119"/>
        <v>0</v>
      </c>
      <c r="AA67" s="446">
        <f t="shared" si="120"/>
        <v>0</v>
      </c>
    </row>
    <row r="68" spans="2:27" ht="15" customHeight="1">
      <c r="B68" s="233" t="str">
        <f t="shared" ref="B68:E68" si="125">B60</f>
        <v>RWTHCEE1</v>
      </c>
      <c r="C68" s="233" t="str">
        <f t="shared" si="125"/>
        <v>Residential Water Hot Technology   - District heating Central - Existing 1</v>
      </c>
      <c r="D68" s="233" t="str">
        <f t="shared" si="125"/>
        <v>RESELCW</v>
      </c>
      <c r="E68" s="233" t="str">
        <f t="shared" si="125"/>
        <v>RWDEM</v>
      </c>
      <c r="F68" s="230">
        <v>2018</v>
      </c>
      <c r="G68" s="250">
        <f t="shared" si="69"/>
        <v>425.71999999999997</v>
      </c>
      <c r="H68" s="250">
        <f t="shared" si="63"/>
        <v>0</v>
      </c>
      <c r="I68" s="250">
        <f t="shared" si="64"/>
        <v>0</v>
      </c>
      <c r="J68" s="462">
        <v>0.95</v>
      </c>
      <c r="K68" s="462">
        <v>0.95</v>
      </c>
      <c r="L68" s="462">
        <v>0.95</v>
      </c>
      <c r="M68" s="244">
        <f t="shared" si="65"/>
        <v>3.1536000000000002E-2</v>
      </c>
      <c r="N68" s="460">
        <v>1</v>
      </c>
      <c r="O68" s="245">
        <v>30</v>
      </c>
      <c r="P68" s="227"/>
      <c r="Q68" s="268"/>
      <c r="R68" s="268" t="str">
        <f t="shared" si="118"/>
        <v>Hot Water</v>
      </c>
      <c r="S68" s="589" t="s">
        <v>219</v>
      </c>
      <c r="T68" s="246" t="s">
        <v>219</v>
      </c>
      <c r="U68" s="246">
        <v>2018</v>
      </c>
      <c r="V68" s="434" cm="1">
        <f t="array" ref="V68">_xlfn.IFNA(INDEX('Data manipulation'!$C$23:$N$125,MATCH($S68&amp;$R68,'Data manipulation'!$B$23:$B$125&amp;'Data manipulation'!$A$23:$A$125,0),MATCH($U68,'Data manipulation'!$C$22:$N$22,0))/1000,0)*SUMIFS('Regional split'!$F$4:$F$6,'Regional split'!$B$4:$B$6,V$4)</f>
        <v>13.854982</v>
      </c>
      <c r="W68" s="434" cm="1">
        <f t="array" ref="W68">_xlfn.IFNA(INDEX('Data manipulation'!$C$23:$N$125,MATCH($S68&amp;$R68,'Data manipulation'!$B$23:$B$125&amp;'Data manipulation'!$A$23:$A$125,0),MATCH($U68,'Data manipulation'!$C$22:$N$22,0))/1000,0)*SUMIFS('Regional split'!$F$4:$F$6,'Regional split'!$B$4:$B$6,W$4)</f>
        <v>0</v>
      </c>
      <c r="X68" s="434" cm="1">
        <f t="array" ref="X68">_xlfn.IFNA(INDEX('Data manipulation'!$C$23:$N$125,MATCH($S68&amp;$R68,'Data manipulation'!$B$23:$B$125&amp;'Data manipulation'!$A$23:$A$125,0),MATCH($U68,'Data manipulation'!$C$22:$N$22,0))/1000,0)*SUMIFS('Regional split'!$F$4:$F$6,'Regional split'!$B$4:$B$6,X$4)</f>
        <v>0</v>
      </c>
      <c r="Y68" s="445">
        <f t="shared" si="112"/>
        <v>13.162232899999999</v>
      </c>
      <c r="Z68" s="251">
        <f t="shared" si="119"/>
        <v>0</v>
      </c>
      <c r="AA68" s="446">
        <f t="shared" si="120"/>
        <v>0</v>
      </c>
    </row>
    <row r="69" spans="2:27" ht="14.4">
      <c r="B69" s="233" t="str">
        <f t="shared" ref="B69:E69" si="126">B61</f>
        <v>RWTLPGE1</v>
      </c>
      <c r="C69" s="233" t="str">
        <f t="shared" si="126"/>
        <v>Residential Water Hot Technology   - LPG - Existing 1</v>
      </c>
      <c r="D69" s="233" t="str">
        <f t="shared" si="126"/>
        <v>RESLPG</v>
      </c>
      <c r="E69" s="233" t="str">
        <f t="shared" si="126"/>
        <v>RWDEM</v>
      </c>
      <c r="F69" s="573">
        <f>F61+O69</f>
        <v>2048</v>
      </c>
      <c r="G69" s="641">
        <v>0</v>
      </c>
      <c r="H69" s="641">
        <v>0</v>
      </c>
      <c r="I69" s="641">
        <v>0</v>
      </c>
      <c r="J69" s="462">
        <f t="shared" ref="J69:L69" si="127">J61</f>
        <v>0.95</v>
      </c>
      <c r="K69" s="462">
        <f t="shared" si="127"/>
        <v>0.95</v>
      </c>
      <c r="L69" s="462">
        <f t="shared" si="127"/>
        <v>0.95</v>
      </c>
      <c r="M69" s="244">
        <f t="shared" si="65"/>
        <v>3.1536000000000002E-2</v>
      </c>
      <c r="N69" s="460">
        <v>1</v>
      </c>
      <c r="O69" s="245">
        <v>30</v>
      </c>
      <c r="P69" s="227"/>
      <c r="Q69" s="227"/>
      <c r="R69" s="268" t="str">
        <f>R62</f>
        <v>Hot Water</v>
      </c>
      <c r="S69" s="603" t="s">
        <v>790</v>
      </c>
      <c r="T69" s="246" t="s">
        <v>187</v>
      </c>
      <c r="U69" s="246">
        <v>2018</v>
      </c>
      <c r="V69" s="434" cm="1">
        <f t="array" ref="V69">_xlfn.IFNA(INDEX('Data manipulation'!$C$23:$N$125,MATCH($S69&amp;$R69,'Data manipulation'!$B$23:$B$125&amp;'Data manipulation'!$A$23:$A$125,0),MATCH($U69,'Data manipulation'!$C$22:$N$22,0))/1000,0)*SUMIFS('Regional split'!$F$4:$F$6,'Regional split'!$B$4:$B$6,V$4)</f>
        <v>0</v>
      </c>
      <c r="W69" s="434" cm="1">
        <f t="array" ref="W69">_xlfn.IFNA(INDEX('Data manipulation'!$C$23:$N$125,MATCH($S69&amp;$R69,'Data manipulation'!$B$23:$B$125&amp;'Data manipulation'!$A$23:$A$125,0),MATCH($U69,'Data manipulation'!$C$22:$N$22,0))/1000,0)*SUMIFS('Regional split'!$F$4:$F$6,'Regional split'!$B$4:$B$6,W$4)</f>
        <v>0</v>
      </c>
      <c r="X69" s="434" cm="1">
        <f t="array" ref="X69">_xlfn.IFNA(INDEX('Data manipulation'!$C$23:$N$125,MATCH($S69&amp;$R69,'Data manipulation'!$B$23:$B$125&amp;'Data manipulation'!$A$23:$A$125,0),MATCH($U69,'Data manipulation'!$C$22:$N$22,0))/1000,0)*SUMIFS('Regional split'!$F$4:$F$6,'Regional split'!$B$4:$B$6,X$4)</f>
        <v>0</v>
      </c>
      <c r="Y69" s="445">
        <f t="shared" si="112"/>
        <v>0</v>
      </c>
      <c r="Z69" s="251">
        <f t="shared" ref="Z69:Z76" si="128">W69*K69</f>
        <v>0</v>
      </c>
      <c r="AA69" s="446">
        <f t="shared" ref="AA69:AA76" si="129">X69*L69</f>
        <v>0</v>
      </c>
    </row>
    <row r="70" spans="2:27" ht="14.4">
      <c r="B70" s="233" t="str">
        <f t="shared" ref="B70:E70" si="130">B62</f>
        <v>RWTNGAE1</v>
      </c>
      <c r="C70" s="233" t="str">
        <f t="shared" si="130"/>
        <v>Residential Water Hot Technology   - Natural Gas - Existing 1</v>
      </c>
      <c r="D70" s="233" t="str">
        <f t="shared" si="130"/>
        <v>RESNGA,RESBGA</v>
      </c>
      <c r="E70" s="233" t="str">
        <f t="shared" si="130"/>
        <v>RWDEM</v>
      </c>
      <c r="F70" s="573">
        <f t="shared" ref="F70:F76" si="131">F62+O70</f>
        <v>2048</v>
      </c>
      <c r="G70" s="641">
        <v>0</v>
      </c>
      <c r="H70" s="641">
        <v>0</v>
      </c>
      <c r="I70" s="641">
        <v>0</v>
      </c>
      <c r="J70" s="462">
        <f t="shared" ref="J70:L70" si="132">J62</f>
        <v>0.72</v>
      </c>
      <c r="K70" s="462">
        <f t="shared" si="132"/>
        <v>0.72</v>
      </c>
      <c r="L70" s="462">
        <f t="shared" si="132"/>
        <v>0.72</v>
      </c>
      <c r="M70" s="244">
        <f t="shared" si="65"/>
        <v>3.1536000000000002E-2</v>
      </c>
      <c r="N70" s="460">
        <v>1</v>
      </c>
      <c r="O70" s="245">
        <v>30</v>
      </c>
      <c r="P70" s="227"/>
      <c r="Q70" s="227"/>
      <c r="R70" s="268" t="str">
        <f t="shared" si="116"/>
        <v>Hot Water</v>
      </c>
      <c r="S70" s="604" t="str">
        <f>'Data manipulation'!$B$36</f>
        <v>Natural gas, biogas and LNG</v>
      </c>
      <c r="T70" s="246" t="s">
        <v>187</v>
      </c>
      <c r="U70" s="246">
        <v>2018</v>
      </c>
      <c r="V70" s="434" cm="1">
        <f t="array" ref="V70">_xlfn.IFNA(INDEX('Data manipulation'!$C$23:$N$125,MATCH($S70&amp;$R70,'Data manipulation'!$B$23:$B$125&amp;'Data manipulation'!$A$23:$A$125,0),MATCH($U70,'Data manipulation'!$C$22:$N$22,0))/1000,0)*SUMIFS('Regional split'!$F$4:$F$6,'Regional split'!$B$4:$B$6,V$4)</f>
        <v>200.13201900000001</v>
      </c>
      <c r="W70" s="434" cm="1">
        <f t="array" ref="W70">_xlfn.IFNA(INDEX('Data manipulation'!$C$23:$N$125,MATCH($S70&amp;$R70,'Data manipulation'!$B$23:$B$125&amp;'Data manipulation'!$A$23:$A$125,0),MATCH($U70,'Data manipulation'!$C$22:$N$22,0))/1000,0)*SUMIFS('Regional split'!$F$4:$F$6,'Regional split'!$B$4:$B$6,W$4)</f>
        <v>0</v>
      </c>
      <c r="X70" s="434" cm="1">
        <f t="array" ref="X70">_xlfn.IFNA(INDEX('Data manipulation'!$C$23:$N$125,MATCH($S70&amp;$R70,'Data manipulation'!$B$23:$B$125&amp;'Data manipulation'!$A$23:$A$125,0),MATCH($U70,'Data manipulation'!$C$22:$N$22,0))/1000,0)*SUMIFS('Regional split'!$F$4:$F$6,'Regional split'!$B$4:$B$6,X$4)</f>
        <v>0</v>
      </c>
      <c r="Y70" s="445">
        <f t="shared" si="112"/>
        <v>144.09505368000001</v>
      </c>
      <c r="Z70" s="251">
        <f t="shared" si="128"/>
        <v>0</v>
      </c>
      <c r="AA70" s="446">
        <f t="shared" si="129"/>
        <v>0</v>
      </c>
    </row>
    <row r="71" spans="2:27" ht="15" customHeight="1">
      <c r="B71" s="233" t="str">
        <f>B63</f>
        <v>RWTDSLE1</v>
      </c>
      <c r="C71" s="233" t="str">
        <f t="shared" ref="C71:E71" si="133">C63</f>
        <v>Residential Water Hot Technology   - Diesel - Existing 1</v>
      </c>
      <c r="D71" s="233" t="str">
        <f t="shared" si="133"/>
        <v>RESDSL,RESDSB</v>
      </c>
      <c r="E71" s="233" t="str">
        <f t="shared" si="133"/>
        <v>RWDEM</v>
      </c>
      <c r="F71" s="573">
        <f t="shared" si="131"/>
        <v>2048</v>
      </c>
      <c r="G71" s="641">
        <v>0</v>
      </c>
      <c r="H71" s="641">
        <v>0</v>
      </c>
      <c r="I71" s="641">
        <v>0</v>
      </c>
      <c r="J71" s="462">
        <v>0.71</v>
      </c>
      <c r="K71" s="462">
        <v>0.71</v>
      </c>
      <c r="L71" s="462">
        <v>0.71</v>
      </c>
      <c r="M71" s="244">
        <f t="shared" si="65"/>
        <v>3.1536000000000002E-2</v>
      </c>
      <c r="N71" s="460">
        <v>1</v>
      </c>
      <c r="O71" s="245">
        <v>30</v>
      </c>
      <c r="P71" s="227"/>
      <c r="Q71" s="268"/>
      <c r="R71" s="268" t="str">
        <f t="shared" ref="R71:R76" si="134">R70</f>
        <v>Hot Water</v>
      </c>
      <c r="S71" s="604" t="s">
        <v>890</v>
      </c>
      <c r="T71" s="246" t="s">
        <v>899</v>
      </c>
      <c r="U71" s="246">
        <v>2018</v>
      </c>
      <c r="V71" s="434" cm="1">
        <f t="array" ref="V71">_xlfn.IFNA(INDEX('Data manipulation'!$C$23:$N$125,MATCH($S71&amp;$R71,'Data manipulation'!$B$23:$B$125&amp;'Data manipulation'!$A$23:$A$125,0),MATCH($U71,'Data manipulation'!$C$22:$N$22,0))/1000,0)*SUMIFS('Regional split'!$F$4:$F$6,'Regional split'!$B$4:$B$6,V$4)</f>
        <v>58.220644</v>
      </c>
      <c r="W71" s="434" cm="1">
        <f t="array" ref="W71">_xlfn.IFNA(INDEX('Data manipulation'!$C$23:$N$125,MATCH($S71&amp;$R71,'Data manipulation'!$B$23:$B$125&amp;'Data manipulation'!$A$23:$A$125,0),MATCH($U71,'Data manipulation'!$C$22:$N$22,0))/1000,0)*SUMIFS('Regional split'!$F$4:$F$6,'Regional split'!$B$4:$B$6,W$4)</f>
        <v>0</v>
      </c>
      <c r="X71" s="434" cm="1">
        <f t="array" ref="X71">_xlfn.IFNA(INDEX('Data manipulation'!$C$23:$N$125,MATCH($S71&amp;$R71,'Data manipulation'!$B$23:$B$125&amp;'Data manipulation'!$A$23:$A$125,0),MATCH($U71,'Data manipulation'!$C$22:$N$22,0))/1000,0)*SUMIFS('Regional split'!$F$4:$F$6,'Regional split'!$B$4:$B$6,X$4)</f>
        <v>0</v>
      </c>
      <c r="Y71" s="445">
        <f t="shared" si="112"/>
        <v>41.336657240000001</v>
      </c>
      <c r="Z71" s="251">
        <f t="shared" si="128"/>
        <v>0</v>
      </c>
      <c r="AA71" s="446">
        <f t="shared" si="129"/>
        <v>0</v>
      </c>
    </row>
    <row r="72" spans="2:27" ht="15" customHeight="1">
      <c r="B72" s="233" t="str">
        <f t="shared" ref="B72:E72" si="135">B64</f>
        <v>RWTSOLE1</v>
      </c>
      <c r="C72" s="233" t="str">
        <f t="shared" si="135"/>
        <v>Residential Water Hot Technology   - Solar - Existing 1</v>
      </c>
      <c r="D72" s="233" t="str">
        <f t="shared" si="135"/>
        <v>RESSOL</v>
      </c>
      <c r="E72" s="233" t="str">
        <f t="shared" si="135"/>
        <v>RWDEM</v>
      </c>
      <c r="F72" s="573">
        <f t="shared" si="131"/>
        <v>2048</v>
      </c>
      <c r="G72" s="641">
        <v>0</v>
      </c>
      <c r="H72" s="641">
        <v>0</v>
      </c>
      <c r="I72" s="641">
        <v>0</v>
      </c>
      <c r="J72" s="462">
        <v>0.95</v>
      </c>
      <c r="K72" s="462">
        <v>0.95</v>
      </c>
      <c r="L72" s="462">
        <v>0.95</v>
      </c>
      <c r="M72" s="244">
        <f t="shared" si="65"/>
        <v>3.1536000000000002E-2</v>
      </c>
      <c r="N72" s="460">
        <v>1</v>
      </c>
      <c r="O72" s="245">
        <v>30</v>
      </c>
      <c r="P72" s="227"/>
      <c r="Q72" s="268"/>
      <c r="R72" s="268" t="str">
        <f t="shared" si="134"/>
        <v>Hot Water</v>
      </c>
      <c r="S72" s="589" t="s">
        <v>852</v>
      </c>
      <c r="T72" s="246" t="s">
        <v>188</v>
      </c>
      <c r="U72" s="246">
        <v>2018</v>
      </c>
      <c r="V72" s="434" cm="1">
        <f t="array" ref="V72">_xlfn.IFNA(INDEX('Data manipulation'!$C$23:$N$125,MATCH($S72&amp;$R72,'Data manipulation'!$B$23:$B$125&amp;'Data manipulation'!$A$23:$A$125,0),MATCH($U72,'Data manipulation'!$C$22:$N$22,0))/1000,0)*SUMIFS('Regional split'!$F$4:$F$6,'Regional split'!$B$4:$B$6,V$4)</f>
        <v>26.551425999999999</v>
      </c>
      <c r="W72" s="434" cm="1">
        <f t="array" ref="W72">_xlfn.IFNA(INDEX('Data manipulation'!$C$23:$N$125,MATCH($S72&amp;$R72,'Data manipulation'!$B$23:$B$125&amp;'Data manipulation'!$A$23:$A$125,0),MATCH($U72,'Data manipulation'!$C$22:$N$22,0))/1000,0)*SUMIFS('Regional split'!$F$4:$F$6,'Regional split'!$B$4:$B$6,W$4)</f>
        <v>0</v>
      </c>
      <c r="X72" s="434" cm="1">
        <f t="array" ref="X72">_xlfn.IFNA(INDEX('Data manipulation'!$C$23:$N$125,MATCH($S72&amp;$R72,'Data manipulation'!$B$23:$B$125&amp;'Data manipulation'!$A$23:$A$125,0),MATCH($U72,'Data manipulation'!$C$22:$N$22,0))/1000,0)*SUMIFS('Regional split'!$F$4:$F$6,'Regional split'!$B$4:$B$6,X$4)</f>
        <v>0</v>
      </c>
      <c r="Y72" s="445">
        <f t="shared" si="112"/>
        <v>25.223854699999997</v>
      </c>
      <c r="Z72" s="251">
        <f t="shared" si="128"/>
        <v>0</v>
      </c>
      <c r="AA72" s="446">
        <f t="shared" si="129"/>
        <v>0</v>
      </c>
    </row>
    <row r="73" spans="2:27" ht="15" customHeight="1">
      <c r="B73" s="233" t="str">
        <f t="shared" ref="B73:E73" si="136">B65</f>
        <v>RWTELCHE1</v>
      </c>
      <c r="C73" s="233" t="str">
        <f t="shared" si="136"/>
        <v>Residential Water Hot Technology   - Electricity Heating - Existing 1</v>
      </c>
      <c r="D73" s="233" t="str">
        <f t="shared" si="136"/>
        <v>RESELCH</v>
      </c>
      <c r="E73" s="233" t="str">
        <f t="shared" si="136"/>
        <v>RWDEM</v>
      </c>
      <c r="F73" s="573">
        <f t="shared" si="131"/>
        <v>2048</v>
      </c>
      <c r="G73" s="641">
        <v>0</v>
      </c>
      <c r="H73" s="641">
        <v>0</v>
      </c>
      <c r="I73" s="641">
        <v>0</v>
      </c>
      <c r="J73" s="462">
        <v>2.3199999999999998</v>
      </c>
      <c r="K73" s="462">
        <v>2.3199999999999998</v>
      </c>
      <c r="L73" s="462">
        <v>2.3199999999999998</v>
      </c>
      <c r="M73" s="244">
        <f t="shared" si="65"/>
        <v>3.1536000000000002E-2</v>
      </c>
      <c r="N73" s="460">
        <v>1</v>
      </c>
      <c r="O73" s="245">
        <v>30</v>
      </c>
      <c r="P73" s="227"/>
      <c r="Q73" s="268"/>
      <c r="R73" s="268" t="str">
        <f t="shared" si="134"/>
        <v>Hot Water</v>
      </c>
      <c r="S73" s="589" t="s">
        <v>851</v>
      </c>
      <c r="T73" s="246" t="s">
        <v>900</v>
      </c>
      <c r="U73" s="246">
        <v>2018</v>
      </c>
      <c r="V73" s="434" cm="1">
        <f t="array" ref="V73">_xlfn.IFNA(INDEX('Data manipulation'!$C$23:$N$125,MATCH($S73&amp;$R73,'Data manipulation'!$B$23:$B$125&amp;'Data manipulation'!$A$23:$A$125,0),MATCH($U73,'Data manipulation'!$C$22:$N$22,0))/1000,0)*SUMIFS('Regional split'!$F$4:$F$6,'Regional split'!$B$4:$B$6,V$4)</f>
        <v>4.0014000000000003</v>
      </c>
      <c r="W73" s="434" cm="1">
        <f t="array" ref="W73">_xlfn.IFNA(INDEX('Data manipulation'!$C$23:$N$125,MATCH($S73&amp;$R73,'Data manipulation'!$B$23:$B$125&amp;'Data manipulation'!$A$23:$A$125,0),MATCH($U73,'Data manipulation'!$C$22:$N$22,0))/1000,0)*SUMIFS('Regional split'!$F$4:$F$6,'Regional split'!$B$4:$B$6,W$4)</f>
        <v>0</v>
      </c>
      <c r="X73" s="434" cm="1">
        <f t="array" ref="X73">_xlfn.IFNA(INDEX('Data manipulation'!$C$23:$N$125,MATCH($S73&amp;$R73,'Data manipulation'!$B$23:$B$125&amp;'Data manipulation'!$A$23:$A$125,0),MATCH($U73,'Data manipulation'!$C$22:$N$22,0))/1000,0)*SUMIFS('Regional split'!$F$4:$F$6,'Regional split'!$B$4:$B$6,X$4)</f>
        <v>0</v>
      </c>
      <c r="Y73" s="445">
        <f t="shared" si="112"/>
        <v>9.2832480000000004</v>
      </c>
      <c r="Z73" s="251">
        <f t="shared" si="128"/>
        <v>0</v>
      </c>
      <c r="AA73" s="446">
        <f t="shared" si="129"/>
        <v>0</v>
      </c>
    </row>
    <row r="74" spans="2:27" ht="15" customHeight="1">
      <c r="B74" s="233" t="str">
        <f t="shared" ref="B74:E74" si="137">B66</f>
        <v>RWTFIWE1</v>
      </c>
      <c r="C74" s="233" t="str">
        <f t="shared" si="137"/>
        <v>Residential Water Hot Technology   - Fire wood - Existing 1</v>
      </c>
      <c r="D74" s="233" t="str">
        <f t="shared" si="137"/>
        <v>RESFIW</v>
      </c>
      <c r="E74" s="233" t="str">
        <f t="shared" si="137"/>
        <v>RWDEM</v>
      </c>
      <c r="F74" s="573">
        <f t="shared" si="131"/>
        <v>2048</v>
      </c>
      <c r="G74" s="641">
        <v>0</v>
      </c>
      <c r="H74" s="641">
        <v>0</v>
      </c>
      <c r="I74" s="641">
        <v>0</v>
      </c>
      <c r="J74" s="462">
        <v>0.65</v>
      </c>
      <c r="K74" s="462">
        <v>0.65</v>
      </c>
      <c r="L74" s="462">
        <v>0.65</v>
      </c>
      <c r="M74" s="244">
        <f t="shared" si="65"/>
        <v>3.1536000000000002E-2</v>
      </c>
      <c r="N74" s="460">
        <v>1</v>
      </c>
      <c r="O74" s="245">
        <v>30</v>
      </c>
      <c r="P74" s="227"/>
      <c r="Q74" s="268"/>
      <c r="R74" s="268" t="str">
        <f t="shared" si="134"/>
        <v>Hot Water</v>
      </c>
      <c r="S74" s="589" t="s">
        <v>850</v>
      </c>
      <c r="T74" s="246" t="s">
        <v>220</v>
      </c>
      <c r="U74" s="246">
        <v>2018</v>
      </c>
      <c r="V74" s="434" cm="1">
        <f t="array" ref="V74">_xlfn.IFNA(INDEX('Data manipulation'!$C$23:$N$125,MATCH($S74&amp;$R74,'Data manipulation'!$B$23:$B$125&amp;'Data manipulation'!$A$23:$A$125,0),MATCH($U74,'Data manipulation'!$C$22:$N$22,0))/1000,0)*SUMIFS('Regional split'!$F$4:$F$6,'Regional split'!$B$4:$B$6,V$4)</f>
        <v>35.600675000000003</v>
      </c>
      <c r="W74" s="434" cm="1">
        <f t="array" ref="W74">_xlfn.IFNA(INDEX('Data manipulation'!$C$23:$N$125,MATCH($S74&amp;$R74,'Data manipulation'!$B$23:$B$125&amp;'Data manipulation'!$A$23:$A$125,0),MATCH($U74,'Data manipulation'!$C$22:$N$22,0))/1000,0)*SUMIFS('Regional split'!$F$4:$F$6,'Regional split'!$B$4:$B$6,W$4)</f>
        <v>0</v>
      </c>
      <c r="X74" s="434" cm="1">
        <f t="array" ref="X74">_xlfn.IFNA(INDEX('Data manipulation'!$C$23:$N$125,MATCH($S74&amp;$R74,'Data manipulation'!$B$23:$B$125&amp;'Data manipulation'!$A$23:$A$125,0),MATCH($U74,'Data manipulation'!$C$22:$N$22,0))/1000,0)*SUMIFS('Regional split'!$F$4:$F$6,'Regional split'!$B$4:$B$6,X$4)</f>
        <v>0</v>
      </c>
      <c r="Y74" s="445">
        <f t="shared" si="112"/>
        <v>23.140438750000001</v>
      </c>
      <c r="Z74" s="251">
        <f t="shared" si="128"/>
        <v>0</v>
      </c>
      <c r="AA74" s="446">
        <f t="shared" si="129"/>
        <v>0</v>
      </c>
    </row>
    <row r="75" spans="2:27" ht="15" customHeight="1">
      <c r="B75" s="233" t="str">
        <f t="shared" ref="B75:E75" si="138">B67</f>
        <v>RWTELCWE1</v>
      </c>
      <c r="C75" s="233" t="str">
        <f t="shared" si="138"/>
        <v>Residential Water Hot Technology   - Electricity Water Heating - Existing 1</v>
      </c>
      <c r="D75" s="233" t="str">
        <f t="shared" si="138"/>
        <v>RESELCW</v>
      </c>
      <c r="E75" s="233" t="str">
        <f t="shared" si="138"/>
        <v>RWDEM</v>
      </c>
      <c r="F75" s="573">
        <f t="shared" si="131"/>
        <v>2048</v>
      </c>
      <c r="G75" s="641">
        <v>0</v>
      </c>
      <c r="H75" s="641">
        <v>0</v>
      </c>
      <c r="I75" s="641">
        <v>0</v>
      </c>
      <c r="J75" s="462">
        <v>0.95</v>
      </c>
      <c r="K75" s="462">
        <v>0.95</v>
      </c>
      <c r="L75" s="462">
        <v>0.95</v>
      </c>
      <c r="M75" s="244">
        <f t="shared" si="65"/>
        <v>3.1536000000000002E-2</v>
      </c>
      <c r="N75" s="460">
        <v>1</v>
      </c>
      <c r="O75" s="245">
        <v>30</v>
      </c>
      <c r="P75" s="227"/>
      <c r="Q75" s="268"/>
      <c r="R75" s="268" t="str">
        <f t="shared" si="134"/>
        <v>Hot Water</v>
      </c>
      <c r="S75" s="589" t="s">
        <v>79</v>
      </c>
      <c r="T75" s="246" t="s">
        <v>903</v>
      </c>
      <c r="U75" s="246">
        <v>2018</v>
      </c>
      <c r="V75" s="434" cm="1">
        <f t="array" ref="V75">_xlfn.IFNA(INDEX('Data manipulation'!$C$23:$N$125,MATCH($S75&amp;$R75,'Data manipulation'!$B$23:$B$125&amp;'Data manipulation'!$A$23:$A$125,0),MATCH($U75,'Data manipulation'!$C$22:$N$22,0))/1000,0)*SUMIFS('Regional split'!$F$4:$F$6,'Regional split'!$B$4:$B$6,V$4)</f>
        <v>56.031815000000002</v>
      </c>
      <c r="W75" s="434" cm="1">
        <f t="array" ref="W75">_xlfn.IFNA(INDEX('Data manipulation'!$C$23:$N$125,MATCH($S75&amp;$R75,'Data manipulation'!$B$23:$B$125&amp;'Data manipulation'!$A$23:$A$125,0),MATCH($U75,'Data manipulation'!$C$22:$N$22,0))/1000,0)*SUMIFS('Regional split'!$F$4:$F$6,'Regional split'!$B$4:$B$6,W$4)</f>
        <v>0</v>
      </c>
      <c r="X75" s="434" cm="1">
        <f t="array" ref="X75">_xlfn.IFNA(INDEX('Data manipulation'!$C$23:$N$125,MATCH($S75&amp;$R75,'Data manipulation'!$B$23:$B$125&amp;'Data manipulation'!$A$23:$A$125,0),MATCH($U75,'Data manipulation'!$C$22:$N$22,0))/1000,0)*SUMIFS('Regional split'!$F$4:$F$6,'Regional split'!$B$4:$B$6,X$4)</f>
        <v>0</v>
      </c>
      <c r="Y75" s="445">
        <f t="shared" si="112"/>
        <v>53.230224249999999</v>
      </c>
      <c r="Z75" s="251">
        <f t="shared" si="128"/>
        <v>0</v>
      </c>
      <c r="AA75" s="446">
        <f t="shared" si="129"/>
        <v>0</v>
      </c>
    </row>
    <row r="76" spans="2:27" ht="15" customHeight="1">
      <c r="B76" s="233" t="str">
        <f t="shared" ref="B76:E76" si="139">B68</f>
        <v>RWTHCEE1</v>
      </c>
      <c r="C76" s="233" t="str">
        <f t="shared" si="139"/>
        <v>Residential Water Hot Technology   - District heating Central - Existing 1</v>
      </c>
      <c r="D76" s="233" t="str">
        <f t="shared" si="139"/>
        <v>RESELCW</v>
      </c>
      <c r="E76" s="233" t="str">
        <f t="shared" si="139"/>
        <v>RWDEM</v>
      </c>
      <c r="F76" s="573">
        <f t="shared" si="131"/>
        <v>2048</v>
      </c>
      <c r="G76" s="641">
        <v>0</v>
      </c>
      <c r="H76" s="641">
        <v>0</v>
      </c>
      <c r="I76" s="641">
        <v>0</v>
      </c>
      <c r="J76" s="462">
        <v>0.95</v>
      </c>
      <c r="K76" s="462">
        <v>0.95</v>
      </c>
      <c r="L76" s="462">
        <v>0.95</v>
      </c>
      <c r="M76" s="244">
        <f t="shared" si="65"/>
        <v>3.1536000000000002E-2</v>
      </c>
      <c r="N76" s="460">
        <v>1</v>
      </c>
      <c r="O76" s="245">
        <v>30</v>
      </c>
      <c r="P76" s="227"/>
      <c r="Q76" s="268"/>
      <c r="R76" s="268" t="str">
        <f t="shared" si="134"/>
        <v>Hot Water</v>
      </c>
      <c r="S76" s="589" t="s">
        <v>219</v>
      </c>
      <c r="T76" s="246" t="s">
        <v>219</v>
      </c>
      <c r="U76" s="246">
        <v>2018</v>
      </c>
      <c r="V76" s="434" cm="1">
        <f t="array" ref="V76">_xlfn.IFNA(INDEX('Data manipulation'!$C$23:$N$125,MATCH($S76&amp;$R76,'Data manipulation'!$B$23:$B$125&amp;'Data manipulation'!$A$23:$A$125,0),MATCH($U76,'Data manipulation'!$C$22:$N$22,0))/1000,0)*SUMIFS('Regional split'!$F$4:$F$6,'Regional split'!$B$4:$B$6,V$4)</f>
        <v>13.854982</v>
      </c>
      <c r="W76" s="434" cm="1">
        <f t="array" ref="W76">_xlfn.IFNA(INDEX('Data manipulation'!$C$23:$N$125,MATCH($S76&amp;$R76,'Data manipulation'!$B$23:$B$125&amp;'Data manipulation'!$A$23:$A$125,0),MATCH($U76,'Data manipulation'!$C$22:$N$22,0))/1000,0)*SUMIFS('Regional split'!$F$4:$F$6,'Regional split'!$B$4:$B$6,W$4)</f>
        <v>0</v>
      </c>
      <c r="X76" s="434" cm="1">
        <f t="array" ref="X76">_xlfn.IFNA(INDEX('Data manipulation'!$C$23:$N$125,MATCH($S76&amp;$R76,'Data manipulation'!$B$23:$B$125&amp;'Data manipulation'!$A$23:$A$125,0),MATCH($U76,'Data manipulation'!$C$22:$N$22,0))/1000,0)*SUMIFS('Regional split'!$F$4:$F$6,'Regional split'!$B$4:$B$6,X$4)</f>
        <v>0</v>
      </c>
      <c r="Y76" s="445">
        <f t="shared" si="112"/>
        <v>13.162232899999999</v>
      </c>
      <c r="Z76" s="251">
        <f t="shared" si="128"/>
        <v>0</v>
      </c>
      <c r="AA76" s="446">
        <f t="shared" si="129"/>
        <v>0</v>
      </c>
    </row>
  </sheetData>
  <phoneticPr fontId="123"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92D050"/>
  </sheetPr>
  <dimension ref="B1:AQ74"/>
  <sheetViews>
    <sheetView topLeftCell="A12" zoomScaleNormal="100" workbookViewId="0">
      <selection activeCell="F56" sqref="F56"/>
    </sheetView>
  </sheetViews>
  <sheetFormatPr defaultColWidth="8.77734375" defaultRowHeight="13.2"/>
  <cols>
    <col min="1" max="1" width="2.77734375" customWidth="1"/>
    <col min="2" max="2" width="10.6640625" customWidth="1"/>
    <col min="3" max="3" width="54" bestFit="1" customWidth="1"/>
    <col min="4" max="4" width="9.44140625" style="24" bestFit="1" customWidth="1"/>
    <col min="5" max="5" width="9.21875" customWidth="1"/>
    <col min="6" max="6" width="12.44140625" bestFit="1" customWidth="1"/>
    <col min="7" max="7" width="13.21875" customWidth="1"/>
    <col min="8" max="8" width="12.44140625" customWidth="1"/>
    <col min="9" max="9" width="12.6640625" bestFit="1" customWidth="1"/>
    <col min="10" max="11" width="5.77734375" bestFit="1" customWidth="1"/>
    <col min="12" max="12" width="5.44140625" bestFit="1" customWidth="1"/>
    <col min="13" max="13" width="12.33203125" bestFit="1" customWidth="1"/>
    <col min="14" max="15" width="13.6640625" customWidth="1"/>
    <col min="16" max="16" width="6.77734375" bestFit="1" customWidth="1"/>
    <col min="17" max="17" width="12.6640625" bestFit="1" customWidth="1"/>
    <col min="18" max="18" width="5.44140625" bestFit="1" customWidth="1"/>
    <col min="19" max="19" width="5.77734375" bestFit="1" customWidth="1"/>
    <col min="20" max="21" width="11.6640625" bestFit="1" customWidth="1"/>
    <col min="22" max="22" width="5.77734375" bestFit="1" customWidth="1"/>
    <col min="23" max="23" width="7" bestFit="1" customWidth="1"/>
    <col min="24" max="24" width="14.77734375" customWidth="1"/>
    <col min="25" max="25" width="10.6640625" bestFit="1" customWidth="1"/>
    <col min="26" max="26" width="5.6640625" bestFit="1" customWidth="1"/>
    <col min="27" max="27" width="6.33203125" bestFit="1" customWidth="1"/>
    <col min="28" max="30" width="6.44140625" bestFit="1" customWidth="1"/>
    <col min="31" max="31" width="21.33203125" bestFit="1" customWidth="1"/>
    <col min="32" max="33" width="6.44140625" bestFit="1" customWidth="1"/>
    <col min="34" max="35" width="6.21875" bestFit="1" customWidth="1"/>
    <col min="36" max="38" width="6" bestFit="1" customWidth="1"/>
    <col min="39" max="39" width="5.33203125" bestFit="1" customWidth="1"/>
    <col min="40" max="41" width="5.77734375" bestFit="1" customWidth="1"/>
  </cols>
  <sheetData>
    <row r="1" spans="2:43">
      <c r="F1" t="str">
        <f t="shared" ref="F1:L1" si="0">RIGHT(F4,3)</f>
        <v>DE1</v>
      </c>
      <c r="G1" t="str">
        <f t="shared" si="0"/>
        <v>DE2</v>
      </c>
      <c r="H1" t="str">
        <f t="shared" si="0"/>
        <v>DE3</v>
      </c>
      <c r="I1" t="str">
        <f t="shared" si="0"/>
        <v/>
      </c>
      <c r="J1" t="str">
        <f t="shared" si="0"/>
        <v/>
      </c>
      <c r="K1" t="str">
        <f t="shared" si="0"/>
        <v/>
      </c>
      <c r="L1" t="str">
        <f t="shared" si="0"/>
        <v/>
      </c>
    </row>
    <row r="2" spans="2:43">
      <c r="G2" s="192"/>
      <c r="H2" s="192"/>
      <c r="I2" s="192"/>
      <c r="AG2" s="192"/>
      <c r="AH2" s="192"/>
      <c r="AI2" s="192"/>
      <c r="AJ2" s="192"/>
      <c r="AK2" s="192"/>
      <c r="AL2" s="192"/>
      <c r="AM2" s="192"/>
      <c r="AN2" s="192"/>
      <c r="AO2" s="192"/>
    </row>
    <row r="3" spans="2:43">
      <c r="B3" s="5" t="s">
        <v>8</v>
      </c>
      <c r="C3" s="5"/>
    </row>
    <row r="4" spans="2:43" s="10" customFormat="1" ht="13.8">
      <c r="B4" s="25" t="s">
        <v>4</v>
      </c>
      <c r="C4" s="103" t="s">
        <v>136</v>
      </c>
      <c r="D4" s="103" t="s">
        <v>27</v>
      </c>
      <c r="E4" s="418" t="s">
        <v>108</v>
      </c>
      <c r="F4" s="197" t="s">
        <v>919</v>
      </c>
      <c r="G4" s="197" t="s">
        <v>953</v>
      </c>
      <c r="H4" s="197" t="s">
        <v>954</v>
      </c>
      <c r="I4"/>
      <c r="J4"/>
      <c r="AH4"/>
      <c r="AI4"/>
      <c r="AJ4"/>
      <c r="AK4"/>
      <c r="AL4"/>
      <c r="AM4"/>
      <c r="AN4"/>
      <c r="AO4"/>
      <c r="AP4"/>
      <c r="AQ4"/>
    </row>
    <row r="5" spans="2:43">
      <c r="B5" s="7" t="str">
        <f>Commodities!C7</f>
        <v>RHUDB</v>
      </c>
      <c r="C5" s="466" t="str">
        <f>Commodities!D7</f>
        <v>Residential Heating Urban Detached Building  Demand</v>
      </c>
      <c r="D5" s="466" t="str">
        <f>Commodities!E7</f>
        <v>Mm2</v>
      </c>
      <c r="E5" s="467">
        <v>2010</v>
      </c>
      <c r="F5" s="9">
        <f>F41</f>
        <v>1422.1644440733771</v>
      </c>
      <c r="G5" s="9">
        <f t="shared" ref="G5:H5" si="1">G41</f>
        <v>0</v>
      </c>
      <c r="H5" s="9">
        <f t="shared" si="1"/>
        <v>0</v>
      </c>
    </row>
    <row r="6" spans="2:43">
      <c r="B6" s="7" t="str">
        <f>Commodities!C8</f>
        <v>RHRDB</v>
      </c>
      <c r="C6" s="466" t="str">
        <f>Commodities!D8</f>
        <v>Residential Heating Rural Detached Building  Demand</v>
      </c>
      <c r="D6" s="466" t="str">
        <f>Commodities!E8</f>
        <v>Mm2</v>
      </c>
      <c r="E6" s="467">
        <v>2010</v>
      </c>
      <c r="F6" s="9">
        <f t="shared" ref="F6:H6" si="2">F42</f>
        <v>1082.7705600000002</v>
      </c>
      <c r="G6" s="9">
        <f t="shared" si="2"/>
        <v>0</v>
      </c>
      <c r="H6" s="9">
        <f t="shared" si="2"/>
        <v>0</v>
      </c>
    </row>
    <row r="7" spans="2:43">
      <c r="B7" s="7" t="str">
        <f>Commodities!C9</f>
        <v>RHUMB</v>
      </c>
      <c r="C7" s="466" t="str">
        <f>Commodities!D9</f>
        <v>Residential Heating Urban Multi Building  Demand</v>
      </c>
      <c r="D7" s="466" t="str">
        <f>Commodities!E9</f>
        <v>Mm2</v>
      </c>
      <c r="E7" s="467">
        <v>2010</v>
      </c>
      <c r="F7" s="9">
        <f t="shared" ref="F7:H7" si="3">F43</f>
        <v>997.27555592662316</v>
      </c>
      <c r="G7" s="9">
        <f t="shared" si="3"/>
        <v>0</v>
      </c>
      <c r="H7" s="9">
        <f t="shared" si="3"/>
        <v>0</v>
      </c>
      <c r="AJ7" s="9"/>
    </row>
    <row r="8" spans="2:43">
      <c r="B8" s="7" t="str">
        <f>Commodities!C10</f>
        <v>RHRMB</v>
      </c>
      <c r="C8" s="466" t="str">
        <f>Commodities!D10</f>
        <v>Residential Heating Rural Multi Building  Demand</v>
      </c>
      <c r="D8" s="466" t="str">
        <f>Commodities!E10</f>
        <v>Mm2</v>
      </c>
      <c r="E8" s="467">
        <v>2010</v>
      </c>
      <c r="F8" s="9">
        <f t="shared" ref="F8:H8" si="4">F44</f>
        <v>55.789439999999999</v>
      </c>
      <c r="G8" s="9">
        <f t="shared" si="4"/>
        <v>0</v>
      </c>
      <c r="H8" s="9">
        <f t="shared" si="4"/>
        <v>0</v>
      </c>
    </row>
    <row r="9" spans="2:43">
      <c r="B9" s="7" t="str">
        <f t="shared" ref="B9:C12" si="5">B5</f>
        <v>RHUDB</v>
      </c>
      <c r="C9" s="466" t="str">
        <f t="shared" si="5"/>
        <v>Residential Heating Urban Detached Building  Demand</v>
      </c>
      <c r="D9" s="466" t="str">
        <f>Commodities!E11</f>
        <v>Mm2</v>
      </c>
      <c r="E9" s="467">
        <v>2015</v>
      </c>
      <c r="F9" s="9">
        <f>F45</f>
        <v>1466.9318464725393</v>
      </c>
      <c r="G9" s="9">
        <f t="shared" ref="G9:H9" si="6">G45</f>
        <v>0</v>
      </c>
      <c r="H9" s="9">
        <f t="shared" si="6"/>
        <v>0</v>
      </c>
    </row>
    <row r="10" spans="2:43">
      <c r="B10" s="7" t="str">
        <f t="shared" si="5"/>
        <v>RHRDB</v>
      </c>
      <c r="C10" s="466" t="str">
        <f t="shared" si="5"/>
        <v>Residential Heating Rural Detached Building  Demand</v>
      </c>
      <c r="D10" s="466" t="str">
        <f>Commodities!E12</f>
        <v>Mm2</v>
      </c>
      <c r="E10" s="467">
        <v>2015</v>
      </c>
      <c r="F10" s="9">
        <f t="shared" ref="F10:H10" si="7">F46</f>
        <v>1116.8544000000002</v>
      </c>
      <c r="G10" s="9">
        <f t="shared" si="7"/>
        <v>0</v>
      </c>
      <c r="H10" s="9">
        <f t="shared" si="7"/>
        <v>0</v>
      </c>
    </row>
    <row r="11" spans="2:43">
      <c r="B11" s="7" t="str">
        <f t="shared" si="5"/>
        <v>RHUMB</v>
      </c>
      <c r="C11" s="466" t="str">
        <f t="shared" si="5"/>
        <v>Residential Heating Urban Multi Building  Demand</v>
      </c>
      <c r="D11" s="466" t="str">
        <f>Commodities!E13</f>
        <v>Mm2</v>
      </c>
      <c r="E11" s="467">
        <v>2015</v>
      </c>
      <c r="F11" s="9">
        <f t="shared" ref="F11:H11" si="8">F47</f>
        <v>1028.6681535274611</v>
      </c>
      <c r="G11" s="9">
        <f t="shared" si="8"/>
        <v>0</v>
      </c>
      <c r="H11" s="9">
        <f t="shared" si="8"/>
        <v>0</v>
      </c>
    </row>
    <row r="12" spans="2:43">
      <c r="B12" s="7" t="str">
        <f t="shared" si="5"/>
        <v>RHRMB</v>
      </c>
      <c r="C12" s="466" t="str">
        <f t="shared" si="5"/>
        <v>Residential Heating Rural Multi Building  Demand</v>
      </c>
      <c r="D12" s="466" t="str">
        <f>Commodities!E14</f>
        <v>Mm2</v>
      </c>
      <c r="E12" s="467">
        <v>2015</v>
      </c>
      <c r="F12" s="9">
        <f t="shared" ref="F12:H12" si="9">F48</f>
        <v>57.5456</v>
      </c>
      <c r="G12" s="9">
        <f t="shared" si="9"/>
        <v>0</v>
      </c>
      <c r="H12" s="9">
        <f t="shared" si="9"/>
        <v>0</v>
      </c>
    </row>
    <row r="13" spans="2:43">
      <c r="B13" s="7" t="str">
        <f t="shared" ref="B13:D16" si="10">B5</f>
        <v>RHUDB</v>
      </c>
      <c r="C13" s="466" t="str">
        <f t="shared" si="10"/>
        <v>Residential Heating Urban Detached Building  Demand</v>
      </c>
      <c r="D13" s="466" t="str">
        <f t="shared" si="10"/>
        <v>Mm2</v>
      </c>
      <c r="E13" s="467">
        <v>2017</v>
      </c>
      <c r="F13" s="9">
        <f>F49</f>
        <v>1488.9158387221278</v>
      </c>
      <c r="G13" s="9">
        <f t="shared" ref="G13:H13" si="11">G49</f>
        <v>0</v>
      </c>
      <c r="H13" s="9">
        <f t="shared" si="11"/>
        <v>0</v>
      </c>
      <c r="L13" s="577"/>
      <c r="M13" s="577"/>
      <c r="N13" s="577"/>
    </row>
    <row r="14" spans="2:43">
      <c r="B14" s="7" t="str">
        <f t="shared" si="10"/>
        <v>RHRDB</v>
      </c>
      <c r="C14" s="466" t="str">
        <f t="shared" si="10"/>
        <v>Residential Heating Rural Detached Building  Demand</v>
      </c>
      <c r="D14" s="466" t="str">
        <f t="shared" si="10"/>
        <v>Mm2</v>
      </c>
      <c r="E14" s="467">
        <v>2017</v>
      </c>
      <c r="F14" s="9">
        <f t="shared" ref="F14:H14" si="12">F50</f>
        <v>1133.5920000000001</v>
      </c>
      <c r="G14" s="9">
        <f t="shared" si="12"/>
        <v>0</v>
      </c>
      <c r="H14" s="9">
        <f t="shared" si="12"/>
        <v>0</v>
      </c>
      <c r="L14" s="577"/>
      <c r="M14" s="577"/>
      <c r="N14" s="577"/>
    </row>
    <row r="15" spans="2:43">
      <c r="B15" s="7" t="str">
        <f t="shared" si="10"/>
        <v>RHUMB</v>
      </c>
      <c r="C15" s="466" t="str">
        <f t="shared" si="10"/>
        <v>Residential Heating Urban Multi Building  Demand</v>
      </c>
      <c r="D15" s="466" t="str">
        <f t="shared" si="10"/>
        <v>Mm2</v>
      </c>
      <c r="E15" s="467">
        <v>2017</v>
      </c>
      <c r="F15" s="9">
        <f t="shared" ref="F15:H15" si="13">F51</f>
        <v>1044.0841612778727</v>
      </c>
      <c r="G15" s="9">
        <f t="shared" si="13"/>
        <v>0</v>
      </c>
      <c r="H15" s="9">
        <f t="shared" si="13"/>
        <v>0</v>
      </c>
      <c r="L15" s="577"/>
      <c r="M15" s="577"/>
      <c r="N15" s="577"/>
    </row>
    <row r="16" spans="2:43">
      <c r="B16" s="7" t="str">
        <f t="shared" si="10"/>
        <v>RHRMB</v>
      </c>
      <c r="C16" s="466" t="str">
        <f t="shared" si="10"/>
        <v>Residential Heating Rural Multi Building  Demand</v>
      </c>
      <c r="D16" s="466" t="str">
        <f t="shared" si="10"/>
        <v>Mm2</v>
      </c>
      <c r="E16" s="467">
        <v>2017</v>
      </c>
      <c r="F16" s="9">
        <f t="shared" ref="F16:H16" si="14">F52</f>
        <v>58.408000000000001</v>
      </c>
      <c r="G16" s="9">
        <f t="shared" si="14"/>
        <v>0</v>
      </c>
      <c r="H16" s="9">
        <f t="shared" si="14"/>
        <v>0</v>
      </c>
      <c r="L16" s="577"/>
      <c r="M16" s="577"/>
      <c r="N16" s="577"/>
    </row>
    <row r="17" spans="2:8">
      <c r="B17" s="7" t="str">
        <f>Commodities!C11</f>
        <v>RCUDB</v>
      </c>
      <c r="C17" s="104" t="str">
        <f>Commodities!D11</f>
        <v>Residential Cooling Urban Detached Building  Demand</v>
      </c>
      <c r="D17" s="104" t="str">
        <f>Commodities!E11</f>
        <v>Mm2</v>
      </c>
      <c r="E17" s="419">
        <v>2010</v>
      </c>
      <c r="F17" s="9">
        <f t="shared" ref="F17:H17" si="15">F53</f>
        <v>1422.1644440733771</v>
      </c>
      <c r="G17" s="9">
        <f t="shared" si="15"/>
        <v>0</v>
      </c>
      <c r="H17" s="9">
        <f t="shared" si="15"/>
        <v>0</v>
      </c>
    </row>
    <row r="18" spans="2:8">
      <c r="B18" s="7" t="str">
        <f>Commodities!C12</f>
        <v>RCRDB</v>
      </c>
      <c r="C18" s="104" t="str">
        <f>Commodities!D12</f>
        <v>Residential Cooling Rural Detached Building  Demand</v>
      </c>
      <c r="D18" s="104" t="str">
        <f>Commodities!E12</f>
        <v>Mm2</v>
      </c>
      <c r="E18" s="419">
        <v>2010</v>
      </c>
      <c r="F18" s="9">
        <f t="shared" ref="F18:H18" si="16">F54</f>
        <v>1082.7705600000002</v>
      </c>
      <c r="G18" s="9">
        <f t="shared" si="16"/>
        <v>0</v>
      </c>
      <c r="H18" s="9">
        <f t="shared" si="16"/>
        <v>0</v>
      </c>
    </row>
    <row r="19" spans="2:8">
      <c r="B19" s="7" t="str">
        <f>Commodities!C13</f>
        <v>RCUMB</v>
      </c>
      <c r="C19" s="104" t="str">
        <f>Commodities!D13</f>
        <v>Residential Cooling Urban Multi Building  Demand</v>
      </c>
      <c r="D19" s="104" t="str">
        <f>Commodities!E13</f>
        <v>Mm2</v>
      </c>
      <c r="E19" s="419">
        <v>2010</v>
      </c>
      <c r="F19" s="9">
        <f t="shared" ref="F19:H19" si="17">F55</f>
        <v>997.27555592662316</v>
      </c>
      <c r="G19" s="9">
        <f t="shared" si="17"/>
        <v>0</v>
      </c>
      <c r="H19" s="9">
        <f t="shared" si="17"/>
        <v>0</v>
      </c>
    </row>
    <row r="20" spans="2:8">
      <c r="B20" s="7" t="str">
        <f>Commodities!C14</f>
        <v>RCRMB</v>
      </c>
      <c r="C20" s="104" t="str">
        <f>Commodities!D14</f>
        <v>Residential Cooling Rural Multi Building  Demand</v>
      </c>
      <c r="D20" s="104" t="str">
        <f>Commodities!E14</f>
        <v>Mm2</v>
      </c>
      <c r="E20" s="419">
        <v>2010</v>
      </c>
      <c r="F20" s="9">
        <f t="shared" ref="F20:H20" si="18">F56</f>
        <v>55.789439999999999</v>
      </c>
      <c r="G20" s="9">
        <f t="shared" si="18"/>
        <v>0</v>
      </c>
      <c r="H20" s="9">
        <f t="shared" si="18"/>
        <v>0</v>
      </c>
    </row>
    <row r="21" spans="2:8">
      <c r="B21" s="7" t="str">
        <f t="shared" ref="B21:D24" si="19">B17</f>
        <v>RCUDB</v>
      </c>
      <c r="C21" s="104" t="str">
        <f t="shared" si="19"/>
        <v>Residential Cooling Urban Detached Building  Demand</v>
      </c>
      <c r="D21" s="104" t="str">
        <f t="shared" si="19"/>
        <v>Mm2</v>
      </c>
      <c r="E21" s="419">
        <v>2015</v>
      </c>
      <c r="F21" s="9">
        <f t="shared" ref="F21:H21" si="20">F57</f>
        <v>1466.9318464725393</v>
      </c>
      <c r="G21" s="9">
        <f t="shared" si="20"/>
        <v>0</v>
      </c>
      <c r="H21" s="9">
        <f t="shared" si="20"/>
        <v>0</v>
      </c>
    </row>
    <row r="22" spans="2:8">
      <c r="B22" s="7" t="str">
        <f t="shared" si="19"/>
        <v>RCRDB</v>
      </c>
      <c r="C22" s="104" t="str">
        <f t="shared" si="19"/>
        <v>Residential Cooling Rural Detached Building  Demand</v>
      </c>
      <c r="D22" s="104" t="str">
        <f t="shared" si="19"/>
        <v>Mm2</v>
      </c>
      <c r="E22" s="419">
        <v>2015</v>
      </c>
      <c r="F22" s="9">
        <f t="shared" ref="F22:H22" si="21">F58</f>
        <v>1116.8544000000002</v>
      </c>
      <c r="G22" s="9">
        <f t="shared" si="21"/>
        <v>0</v>
      </c>
      <c r="H22" s="9">
        <f t="shared" si="21"/>
        <v>0</v>
      </c>
    </row>
    <row r="23" spans="2:8">
      <c r="B23" s="7" t="str">
        <f t="shared" si="19"/>
        <v>RCUMB</v>
      </c>
      <c r="C23" s="104" t="str">
        <f t="shared" si="19"/>
        <v>Residential Cooling Urban Multi Building  Demand</v>
      </c>
      <c r="D23" s="104" t="str">
        <f t="shared" si="19"/>
        <v>Mm2</v>
      </c>
      <c r="E23" s="419">
        <v>2015</v>
      </c>
      <c r="F23" s="9">
        <f t="shared" ref="F23:H23" si="22">F59</f>
        <v>1028.6681535274611</v>
      </c>
      <c r="G23" s="9">
        <f t="shared" si="22"/>
        <v>0</v>
      </c>
      <c r="H23" s="9">
        <f t="shared" si="22"/>
        <v>0</v>
      </c>
    </row>
    <row r="24" spans="2:8">
      <c r="B24" s="7" t="str">
        <f t="shared" si="19"/>
        <v>RCRMB</v>
      </c>
      <c r="C24" s="104" t="str">
        <f t="shared" si="19"/>
        <v>Residential Cooling Rural Multi Building  Demand</v>
      </c>
      <c r="D24" s="104" t="str">
        <f t="shared" si="19"/>
        <v>Mm2</v>
      </c>
      <c r="E24" s="419">
        <v>2015</v>
      </c>
      <c r="F24" s="9">
        <f t="shared" ref="F24:H24" si="23">F60</f>
        <v>57.5456</v>
      </c>
      <c r="G24" s="9">
        <f t="shared" si="23"/>
        <v>0</v>
      </c>
      <c r="H24" s="9">
        <f t="shared" si="23"/>
        <v>0</v>
      </c>
    </row>
    <row r="25" spans="2:8">
      <c r="B25" s="7" t="str">
        <f t="shared" ref="B25:D28" si="24">B17</f>
        <v>RCUDB</v>
      </c>
      <c r="C25" s="104" t="str">
        <f t="shared" si="24"/>
        <v>Residential Cooling Urban Detached Building  Demand</v>
      </c>
      <c r="D25" s="104" t="str">
        <f t="shared" si="24"/>
        <v>Mm2</v>
      </c>
      <c r="E25" s="419">
        <v>2017</v>
      </c>
      <c r="F25" s="9">
        <f t="shared" ref="F25:H25" si="25">F61</f>
        <v>1488.9158387221278</v>
      </c>
      <c r="G25" s="9">
        <f t="shared" si="25"/>
        <v>0</v>
      </c>
      <c r="H25" s="9">
        <f t="shared" si="25"/>
        <v>0</v>
      </c>
    </row>
    <row r="26" spans="2:8">
      <c r="B26" s="7" t="str">
        <f t="shared" si="24"/>
        <v>RCRDB</v>
      </c>
      <c r="C26" s="104" t="str">
        <f t="shared" si="24"/>
        <v>Residential Cooling Rural Detached Building  Demand</v>
      </c>
      <c r="D26" s="104" t="str">
        <f t="shared" si="24"/>
        <v>Mm2</v>
      </c>
      <c r="E26" s="419">
        <v>2017</v>
      </c>
      <c r="F26" s="9">
        <f t="shared" ref="F26:H26" si="26">F62</f>
        <v>1133.5920000000001</v>
      </c>
      <c r="G26" s="9">
        <f t="shared" si="26"/>
        <v>0</v>
      </c>
      <c r="H26" s="9">
        <f t="shared" si="26"/>
        <v>0</v>
      </c>
    </row>
    <row r="27" spans="2:8">
      <c r="B27" s="7" t="str">
        <f t="shared" si="24"/>
        <v>RCUMB</v>
      </c>
      <c r="C27" s="104" t="str">
        <f t="shared" si="24"/>
        <v>Residential Cooling Urban Multi Building  Demand</v>
      </c>
      <c r="D27" s="104" t="str">
        <f t="shared" si="24"/>
        <v>Mm2</v>
      </c>
      <c r="E27" s="419">
        <v>2017</v>
      </c>
      <c r="F27" s="9">
        <f t="shared" ref="F27:H27" si="27">F63</f>
        <v>1044.0841612778727</v>
      </c>
      <c r="G27" s="9">
        <f t="shared" si="27"/>
        <v>0</v>
      </c>
      <c r="H27" s="9">
        <f t="shared" si="27"/>
        <v>0</v>
      </c>
    </row>
    <row r="28" spans="2:8">
      <c r="B28" s="7" t="str">
        <f t="shared" si="24"/>
        <v>RCRMB</v>
      </c>
      <c r="C28" s="104" t="str">
        <f t="shared" si="24"/>
        <v>Residential Cooling Rural Multi Building  Demand</v>
      </c>
      <c r="D28" s="104" t="str">
        <f t="shared" si="24"/>
        <v>Mm2</v>
      </c>
      <c r="E28" s="419">
        <v>2017</v>
      </c>
      <c r="F28" s="9">
        <f t="shared" ref="F28:H28" si="28">F64</f>
        <v>58.408000000000001</v>
      </c>
      <c r="G28" s="9">
        <f t="shared" si="28"/>
        <v>0</v>
      </c>
      <c r="H28" s="9">
        <f t="shared" si="28"/>
        <v>0</v>
      </c>
    </row>
    <row r="29" spans="2:8">
      <c r="B29" s="3" t="str">
        <f>Commodities!$C$15</f>
        <v>RWDEM</v>
      </c>
      <c r="C29" s="499" t="s">
        <v>198</v>
      </c>
      <c r="D29" s="505" t="s">
        <v>44</v>
      </c>
      <c r="E29" s="500">
        <v>2010</v>
      </c>
      <c r="F29" s="9">
        <f>F65</f>
        <v>264.50223208</v>
      </c>
      <c r="G29" s="9">
        <f t="shared" ref="G29:H30" si="29">G65</f>
        <v>0</v>
      </c>
      <c r="H29" s="9">
        <f t="shared" si="29"/>
        <v>0</v>
      </c>
    </row>
    <row r="30" spans="2:8">
      <c r="B30" s="3" t="str">
        <f>Commodities!$C$15</f>
        <v>RWDEM</v>
      </c>
      <c r="C30" s="499" t="s">
        <v>198</v>
      </c>
      <c r="D30" s="505" t="s">
        <v>44</v>
      </c>
      <c r="E30" s="500">
        <v>2015</v>
      </c>
      <c r="F30" s="9">
        <f>F66</f>
        <v>273.13487925000004</v>
      </c>
      <c r="G30" s="9">
        <f t="shared" si="29"/>
        <v>0</v>
      </c>
      <c r="H30" s="9">
        <f t="shared" si="29"/>
        <v>0</v>
      </c>
    </row>
    <row r="31" spans="2:8">
      <c r="B31" s="3" t="str">
        <f>B29</f>
        <v>RWDEM</v>
      </c>
      <c r="C31" s="499" t="s">
        <v>198</v>
      </c>
      <c r="D31" s="505" t="s">
        <v>44</v>
      </c>
      <c r="E31" s="500">
        <v>2018</v>
      </c>
      <c r="F31" s="9">
        <f t="shared" ref="F31:H31" si="30">F67</f>
        <v>309.47170951999999</v>
      </c>
      <c r="G31" s="9">
        <f t="shared" si="30"/>
        <v>0</v>
      </c>
      <c r="H31" s="9">
        <f t="shared" si="30"/>
        <v>0</v>
      </c>
    </row>
    <row r="32" spans="2:8">
      <c r="B32" s="3" t="str">
        <f>Commodities!$C$16</f>
        <v>RADEM</v>
      </c>
      <c r="C32" s="501" t="s">
        <v>199</v>
      </c>
      <c r="D32" s="506" t="s">
        <v>44</v>
      </c>
      <c r="E32" s="502">
        <v>2010</v>
      </c>
      <c r="F32" s="9">
        <f t="shared" ref="F32:H33" si="31">F68</f>
        <v>254.33360135000001</v>
      </c>
      <c r="G32" s="9">
        <f t="shared" si="31"/>
        <v>0</v>
      </c>
      <c r="H32" s="9">
        <f t="shared" si="31"/>
        <v>0</v>
      </c>
    </row>
    <row r="33" spans="2:28">
      <c r="B33" s="3" t="str">
        <f>Commodities!$C$16</f>
        <v>RADEM</v>
      </c>
      <c r="C33" s="501" t="s">
        <v>199</v>
      </c>
      <c r="D33" s="506" t="s">
        <v>44</v>
      </c>
      <c r="E33" s="502">
        <v>2015</v>
      </c>
      <c r="F33" s="9">
        <f t="shared" si="31"/>
        <v>239.16803029999997</v>
      </c>
      <c r="G33" s="9">
        <f t="shared" si="31"/>
        <v>0</v>
      </c>
      <c r="H33" s="9">
        <f t="shared" si="31"/>
        <v>0</v>
      </c>
    </row>
    <row r="34" spans="2:28">
      <c r="B34" s="3" t="str">
        <f>B32</f>
        <v>RADEM</v>
      </c>
      <c r="C34" s="501" t="s">
        <v>199</v>
      </c>
      <c r="D34" s="506" t="s">
        <v>44</v>
      </c>
      <c r="E34" s="502">
        <v>2018</v>
      </c>
      <c r="F34" s="9">
        <f t="shared" ref="F34:H34" si="32">F70</f>
        <v>235.50629955000002</v>
      </c>
      <c r="G34" s="9">
        <f t="shared" si="32"/>
        <v>0</v>
      </c>
      <c r="H34" s="9">
        <f t="shared" si="32"/>
        <v>0</v>
      </c>
    </row>
    <row r="35" spans="2:28">
      <c r="B35" s="3" t="str">
        <f>Commodities!$C$17</f>
        <v>RFDEM</v>
      </c>
      <c r="C35" s="503" t="s">
        <v>197</v>
      </c>
      <c r="D35" s="507" t="s">
        <v>44</v>
      </c>
      <c r="E35" s="504">
        <v>2010</v>
      </c>
      <c r="F35" s="9">
        <f t="shared" ref="F35:H36" si="33">F71</f>
        <v>136.33140649999999</v>
      </c>
      <c r="G35" s="9">
        <f t="shared" si="33"/>
        <v>0</v>
      </c>
      <c r="H35" s="9">
        <f t="shared" si="33"/>
        <v>0</v>
      </c>
    </row>
    <row r="36" spans="2:28">
      <c r="B36" s="3" t="str">
        <f>Commodities!$C$17</f>
        <v>RFDEM</v>
      </c>
      <c r="C36" s="503" t="s">
        <v>197</v>
      </c>
      <c r="D36" s="507" t="s">
        <v>44</v>
      </c>
      <c r="E36" s="504">
        <v>2015</v>
      </c>
      <c r="F36" s="9">
        <f t="shared" si="33"/>
        <v>130.87360329999998</v>
      </c>
      <c r="G36" s="9">
        <f t="shared" si="33"/>
        <v>0</v>
      </c>
      <c r="H36" s="9">
        <f t="shared" si="33"/>
        <v>0</v>
      </c>
    </row>
    <row r="37" spans="2:28">
      <c r="B37" s="3" t="str">
        <f>B35</f>
        <v>RFDEM</v>
      </c>
      <c r="C37" s="503" t="s">
        <v>197</v>
      </c>
      <c r="D37" s="507" t="s">
        <v>44</v>
      </c>
      <c r="E37" s="504">
        <v>2018</v>
      </c>
      <c r="F37" s="9">
        <f t="shared" ref="F37:H37" si="34">F73</f>
        <v>136.23877130000002</v>
      </c>
      <c r="G37" s="9">
        <f t="shared" si="34"/>
        <v>0</v>
      </c>
      <c r="H37" s="9">
        <f t="shared" si="34"/>
        <v>0</v>
      </c>
    </row>
    <row r="38" spans="2:28">
      <c r="B38" s="3"/>
      <c r="C38" s="3"/>
      <c r="D38" s="3"/>
      <c r="E38" s="3"/>
      <c r="F38" s="3"/>
      <c r="G38" s="6"/>
      <c r="H38" s="6"/>
      <c r="I38" s="6"/>
      <c r="J38" s="6"/>
      <c r="K38" s="6"/>
      <c r="L38" s="6"/>
      <c r="M38" s="6"/>
      <c r="N38" s="6"/>
      <c r="O38" s="6"/>
      <c r="P38" s="6"/>
      <c r="Q38" s="6"/>
      <c r="R38" s="6"/>
      <c r="S38" s="6"/>
      <c r="T38" s="6"/>
      <c r="U38" s="6"/>
      <c r="V38" s="6"/>
      <c r="W38" s="6"/>
      <c r="X38" s="6"/>
      <c r="Y38" s="6"/>
      <c r="Z38" s="6"/>
      <c r="AA38" s="6"/>
      <c r="AB38" s="6"/>
    </row>
    <row r="39" spans="2:28">
      <c r="B39" s="3"/>
      <c r="C39" s="3"/>
      <c r="D39" s="3"/>
      <c r="E39" s="3"/>
      <c r="F39" s="3"/>
      <c r="G39" s="6"/>
      <c r="H39" s="6"/>
      <c r="I39" s="6"/>
      <c r="J39" s="6"/>
      <c r="K39" s="6"/>
      <c r="L39" s="6"/>
      <c r="M39" s="6"/>
      <c r="N39" s="6"/>
      <c r="O39" s="6"/>
      <c r="P39" s="6"/>
      <c r="Q39" s="6"/>
      <c r="R39" s="6"/>
      <c r="S39" s="6"/>
      <c r="T39" s="6"/>
      <c r="U39" s="6"/>
      <c r="V39" s="6"/>
      <c r="W39" s="6"/>
      <c r="X39" s="6"/>
      <c r="Y39" s="6"/>
      <c r="Z39" s="6"/>
      <c r="AA39" s="6"/>
      <c r="AB39" s="6"/>
    </row>
    <row r="40" spans="2:28">
      <c r="B40" s="3"/>
      <c r="C40" s="3"/>
      <c r="D40" s="3"/>
      <c r="E40" s="3"/>
      <c r="F40" s="127" t="s">
        <v>782</v>
      </c>
      <c r="G40" s="6"/>
      <c r="H40" s="6"/>
      <c r="I40" s="6"/>
      <c r="J40" s="6"/>
      <c r="K40" s="6"/>
      <c r="L40" s="6"/>
      <c r="M40" s="6"/>
      <c r="N40" s="6"/>
      <c r="O40" s="6"/>
      <c r="P40" s="6"/>
      <c r="Q40" s="6"/>
      <c r="R40" s="126"/>
      <c r="S40" s="6"/>
      <c r="T40" s="188"/>
      <c r="U40" s="6"/>
      <c r="V40" s="6"/>
      <c r="W40" s="6"/>
      <c r="X40" s="6"/>
      <c r="Y40" s="6"/>
      <c r="Z40" s="6"/>
      <c r="AA40" s="6"/>
      <c r="AB40" s="6"/>
    </row>
    <row r="41" spans="2:28">
      <c r="B41" s="3"/>
      <c r="C41" s="3"/>
      <c r="D41" s="3"/>
      <c r="E41" s="3"/>
      <c r="F41" s="23">
        <f>SUMIFS('Data manipulation'!$W$5:$AF$5,Sources!$D$13:$M$13,Dem!$E5)*'Data manipulation'!X21</f>
        <v>1422.1644440733771</v>
      </c>
      <c r="G41" s="23">
        <f>SUMIFS('Data manipulation'!$W$5:$AF$5,Sources!$D$13:$M$13,Dem!$E5)*'Data manipulation'!Y21</f>
        <v>0</v>
      </c>
      <c r="H41" s="23">
        <f>SUMIFS('Data manipulation'!$W$5:$AF$5,Sources!$D$13:$M$13,Dem!$E5)*'Data manipulation'!Z21</f>
        <v>0</v>
      </c>
      <c r="I41" s="6"/>
      <c r="J41" s="6"/>
      <c r="K41" s="6"/>
      <c r="L41" s="6"/>
      <c r="M41" s="6"/>
      <c r="N41" s="6"/>
      <c r="O41" s="6"/>
      <c r="P41" s="6"/>
      <c r="Q41" s="6"/>
      <c r="R41" s="6"/>
      <c r="S41" s="6"/>
      <c r="T41" s="188"/>
      <c r="U41" s="6"/>
      <c r="V41" s="6"/>
      <c r="W41" s="6"/>
      <c r="X41" s="6"/>
      <c r="Y41" s="6"/>
      <c r="Z41" s="6"/>
      <c r="AA41" s="6"/>
      <c r="AB41" s="6"/>
    </row>
    <row r="42" spans="2:28">
      <c r="B42" s="3"/>
      <c r="C42" s="3"/>
      <c r="D42" s="3"/>
      <c r="E42" s="3"/>
      <c r="F42" s="23">
        <f>SUMIFS('Data manipulation'!$W$5:$AF$5,Sources!$D$13:$M$13,Dem!$E6)*'Data manipulation'!X22</f>
        <v>1082.7705600000002</v>
      </c>
      <c r="G42" s="23">
        <f>SUMIFS('Data manipulation'!$W$5:$AF$5,Sources!$D$13:$M$13,Dem!$E6)*'Data manipulation'!Y22</f>
        <v>0</v>
      </c>
      <c r="H42" s="23">
        <f>SUMIFS('Data manipulation'!$W$5:$AF$5,Sources!$D$13:$M$13,Dem!$E6)*'Data manipulation'!Z22</f>
        <v>0</v>
      </c>
      <c r="I42" s="6"/>
      <c r="J42" s="6"/>
      <c r="K42" s="6"/>
      <c r="L42" s="6"/>
      <c r="M42" s="6"/>
      <c r="N42" s="6"/>
      <c r="O42" s="6"/>
      <c r="P42" s="6"/>
      <c r="Q42" s="6"/>
      <c r="R42" s="126"/>
      <c r="S42" s="6"/>
      <c r="T42" s="188"/>
      <c r="U42" s="6"/>
      <c r="V42" s="6"/>
      <c r="W42" s="6"/>
      <c r="X42" s="6"/>
      <c r="Y42" s="6"/>
      <c r="Z42" s="6"/>
      <c r="AA42" s="6"/>
      <c r="AB42" s="6"/>
    </row>
    <row r="43" spans="2:28">
      <c r="B43" s="6"/>
      <c r="C43" s="6"/>
      <c r="D43" s="6"/>
      <c r="E43" s="6"/>
      <c r="F43" s="23">
        <f>SUMIFS('Data manipulation'!$W$5:$AF$5,Sources!$D$13:$M$13,Dem!$E7)*'Data manipulation'!X23</f>
        <v>997.27555592662316</v>
      </c>
      <c r="G43" s="23">
        <f>SUMIFS('Data manipulation'!$W$5:$AF$5,Sources!$D$13:$M$13,Dem!$E7)*'Data manipulation'!Y23</f>
        <v>0</v>
      </c>
      <c r="H43" s="23">
        <f>SUMIFS('Data manipulation'!$W$5:$AF$5,Sources!$D$13:$M$13,Dem!$E7)*'Data manipulation'!Z23</f>
        <v>0</v>
      </c>
      <c r="I43" s="6"/>
      <c r="J43" s="6"/>
      <c r="K43" s="6"/>
      <c r="L43" s="6"/>
      <c r="M43" s="6"/>
      <c r="N43" s="6"/>
      <c r="O43" s="6"/>
      <c r="P43" s="6"/>
      <c r="Q43" s="6"/>
      <c r="R43" s="6"/>
      <c r="S43" s="6"/>
      <c r="T43" s="188"/>
      <c r="U43" s="6"/>
      <c r="V43" s="6"/>
      <c r="W43" s="6"/>
      <c r="X43" s="6"/>
      <c r="Y43" s="6"/>
      <c r="Z43" s="6"/>
      <c r="AA43" s="6"/>
      <c r="AB43" s="6"/>
    </row>
    <row r="44" spans="2:28">
      <c r="B44" s="6"/>
      <c r="C44" s="6"/>
      <c r="D44" s="6"/>
      <c r="E44" s="6"/>
      <c r="F44" s="23">
        <f>SUMIFS('Data manipulation'!$W$5:$AF$5,Sources!$D$13:$M$13,Dem!$E8)*'Data manipulation'!X24</f>
        <v>55.789439999999999</v>
      </c>
      <c r="G44" s="23">
        <f>SUMIFS('Data manipulation'!$W$5:$AF$5,Sources!$D$13:$M$13,Dem!$E8)*'Data manipulation'!Y24</f>
        <v>0</v>
      </c>
      <c r="H44" s="23">
        <f>SUMIFS('Data manipulation'!$W$5:$AF$5,Sources!$D$13:$M$13,Dem!$E8)*'Data manipulation'!Z24</f>
        <v>0</v>
      </c>
      <c r="I44" s="6"/>
      <c r="J44" s="6"/>
      <c r="K44" s="6"/>
      <c r="L44" s="6"/>
      <c r="M44" s="6"/>
      <c r="N44" s="6"/>
      <c r="O44" s="6"/>
      <c r="P44" s="6"/>
      <c r="Q44" s="6"/>
      <c r="R44" s="6"/>
      <c r="S44" s="6"/>
      <c r="T44" s="6"/>
      <c r="U44" s="6"/>
      <c r="V44" s="6"/>
      <c r="W44" s="6"/>
      <c r="X44" s="6"/>
      <c r="Y44" s="6"/>
      <c r="Z44" s="6"/>
      <c r="AA44" s="6"/>
      <c r="AB44" s="6"/>
    </row>
    <row r="45" spans="2:28">
      <c r="B45" s="6"/>
      <c r="C45" s="126"/>
      <c r="D45" s="6"/>
      <c r="E45" s="188"/>
      <c r="F45" s="23">
        <f>SUMIFS('Data manipulation'!$W$5:$AF$5,Sources!$D$13:$M$13,Dem!$E9)*'Data manipulation'!X21</f>
        <v>1466.9318464725393</v>
      </c>
      <c r="G45" s="23">
        <f>SUMIFS('Data manipulation'!$W$5:$AF$5,Sources!$D$13:$M$13,Dem!$E9)*'Data manipulation'!Y21</f>
        <v>0</v>
      </c>
      <c r="H45" s="23">
        <f>SUMIFS('Data manipulation'!$W$5:$AF$5,Sources!$D$13:$M$13,Dem!$E9)*'Data manipulation'!Z21</f>
        <v>0</v>
      </c>
      <c r="I45" s="6"/>
      <c r="J45" s="6"/>
      <c r="K45" s="6"/>
      <c r="L45" s="6"/>
      <c r="M45" s="6"/>
      <c r="N45" s="6"/>
      <c r="O45" s="6"/>
      <c r="P45" s="6"/>
      <c r="Q45" s="6"/>
      <c r="R45" s="6"/>
      <c r="S45" s="6"/>
      <c r="T45" s="6"/>
      <c r="U45" s="6"/>
      <c r="V45" s="6"/>
      <c r="W45" s="6"/>
      <c r="X45" s="6"/>
      <c r="Y45" s="6"/>
      <c r="Z45" s="6"/>
      <c r="AA45" s="6"/>
      <c r="AB45" s="6"/>
    </row>
    <row r="46" spans="2:28">
      <c r="B46" s="6"/>
      <c r="C46" s="126"/>
      <c r="D46" s="6"/>
      <c r="E46" s="188"/>
      <c r="F46" s="23">
        <f>SUMIFS('Data manipulation'!$W$5:$AF$5,Sources!$D$13:$M$13,Dem!$E10)*'Data manipulation'!X22</f>
        <v>1116.8544000000002</v>
      </c>
      <c r="G46" s="23">
        <f>SUMIFS('Data manipulation'!$W$5:$AF$5,Sources!$D$13:$M$13,Dem!$E10)*'Data manipulation'!Y22</f>
        <v>0</v>
      </c>
      <c r="H46" s="23">
        <f>SUMIFS('Data manipulation'!$W$5:$AF$5,Sources!$D$13:$M$13,Dem!$E10)*'Data manipulation'!Z22</f>
        <v>0</v>
      </c>
      <c r="I46" s="6"/>
      <c r="J46" s="6"/>
      <c r="K46" s="6"/>
      <c r="L46" s="6"/>
      <c r="M46" s="6"/>
      <c r="N46" s="6"/>
      <c r="O46" s="6"/>
      <c r="P46" s="6"/>
      <c r="Q46" s="6"/>
      <c r="R46" s="6"/>
      <c r="S46" s="6"/>
      <c r="T46" s="6"/>
      <c r="U46" s="6"/>
      <c r="V46" s="6"/>
      <c r="W46" s="6"/>
      <c r="X46" s="6"/>
      <c r="Y46" s="6"/>
      <c r="Z46" s="6"/>
      <c r="AA46" s="6"/>
      <c r="AB46" s="6"/>
    </row>
    <row r="47" spans="2:28">
      <c r="B47" s="6"/>
      <c r="C47" s="126"/>
      <c r="D47" s="6"/>
      <c r="E47" s="188"/>
      <c r="F47" s="23">
        <f>SUMIFS('Data manipulation'!$W$5:$AF$5,Sources!$D$13:$M$13,Dem!$E11)*'Data manipulation'!X23</f>
        <v>1028.6681535274611</v>
      </c>
      <c r="G47" s="23">
        <f>SUMIFS('Data manipulation'!$W$5:$AF$5,Sources!$D$13:$M$13,Dem!$E11)*'Data manipulation'!Y23</f>
        <v>0</v>
      </c>
      <c r="H47" s="23">
        <f>SUMIFS('Data manipulation'!$W$5:$AF$5,Sources!$D$13:$M$13,Dem!$E11)*'Data manipulation'!Z23</f>
        <v>0</v>
      </c>
      <c r="I47" s="6"/>
      <c r="J47" s="6"/>
      <c r="K47" s="6"/>
      <c r="L47" s="6"/>
      <c r="M47" s="6"/>
      <c r="N47" s="6"/>
      <c r="O47" s="6"/>
      <c r="P47" s="6"/>
      <c r="Q47" s="6"/>
      <c r="R47" s="6"/>
      <c r="S47" s="6"/>
      <c r="T47" s="6"/>
      <c r="U47" s="6"/>
      <c r="V47" s="6"/>
      <c r="W47" s="6"/>
      <c r="X47" s="6"/>
      <c r="Y47" s="6"/>
      <c r="Z47" s="6"/>
      <c r="AA47" s="6"/>
      <c r="AB47" s="6"/>
    </row>
    <row r="48" spans="2:28">
      <c r="B48" s="6"/>
      <c r="C48" s="126"/>
      <c r="D48" s="6"/>
      <c r="E48" s="188"/>
      <c r="F48" s="23">
        <f>SUMIFS('Data manipulation'!$W$5:$AF$5,Sources!$D$13:$M$13,Dem!$E12)*'Data manipulation'!X24</f>
        <v>57.5456</v>
      </c>
      <c r="G48" s="23">
        <f>SUMIFS('Data manipulation'!$W$5:$AF$5,Sources!$D$13:$M$13,Dem!$E12)*'Data manipulation'!Y24</f>
        <v>0</v>
      </c>
      <c r="H48" s="23">
        <f>SUMIFS('Data manipulation'!$W$5:$AF$5,Sources!$D$13:$M$13,Dem!$E12)*'Data manipulation'!Z24</f>
        <v>0</v>
      </c>
      <c r="I48" s="6"/>
      <c r="J48" s="6"/>
      <c r="K48" s="6"/>
      <c r="L48" s="6"/>
      <c r="M48" s="6"/>
      <c r="N48" s="6"/>
      <c r="O48" s="6"/>
      <c r="P48" s="6"/>
      <c r="Q48" s="6"/>
      <c r="R48" s="6"/>
      <c r="S48" s="6"/>
      <c r="T48" s="6"/>
      <c r="U48" s="6"/>
      <c r="V48" s="6"/>
      <c r="W48" s="6"/>
      <c r="X48" s="6"/>
      <c r="Y48" s="6"/>
      <c r="Z48" s="6"/>
      <c r="AA48" s="6"/>
      <c r="AB48" s="6"/>
    </row>
    <row r="49" spans="2:28">
      <c r="B49" s="6"/>
      <c r="C49" s="126"/>
      <c r="D49" s="6"/>
      <c r="E49" s="188"/>
      <c r="F49" s="23">
        <f>SUMIFS('Data manipulation'!$W$5:$AF$5,Sources!$D$13:$M$13,Dem!$E13)*'Data manipulation'!X21</f>
        <v>1488.9158387221278</v>
      </c>
      <c r="G49" s="23">
        <f>SUMIFS('Data manipulation'!$W$5:$AF$5,Sources!$D$13:$M$13,Dem!$E13)*'Data manipulation'!Y21</f>
        <v>0</v>
      </c>
      <c r="H49" s="23">
        <f>SUMIFS('Data manipulation'!$W$5:$AF$5,Sources!$D$13:$M$13,Dem!$E13)*'Data manipulation'!Z21</f>
        <v>0</v>
      </c>
      <c r="I49" s="6"/>
      <c r="J49" s="6"/>
      <c r="K49" s="6"/>
      <c r="L49" s="6"/>
      <c r="M49" s="6"/>
      <c r="N49" s="6"/>
      <c r="O49" s="6"/>
      <c r="P49" s="6"/>
      <c r="Q49" s="6"/>
      <c r="R49" s="6"/>
      <c r="S49" s="6"/>
      <c r="T49" s="6"/>
      <c r="U49" s="6"/>
      <c r="V49" s="6"/>
      <c r="W49" s="6"/>
      <c r="X49" s="6"/>
      <c r="Y49" s="6"/>
      <c r="Z49" s="6"/>
      <c r="AA49" s="6"/>
      <c r="AB49" s="6"/>
    </row>
    <row r="50" spans="2:28">
      <c r="B50" s="6"/>
      <c r="C50" s="126"/>
      <c r="D50" s="6"/>
      <c r="E50" s="188"/>
      <c r="F50" s="23">
        <f>SUMIFS('Data manipulation'!$W$5:$AF$5,Sources!$D$13:$M$13,Dem!$E14)*'Data manipulation'!X22</f>
        <v>1133.5920000000001</v>
      </c>
      <c r="G50" s="23">
        <f>SUMIFS('Data manipulation'!$W$5:$AF$5,Sources!$D$13:$M$13,Dem!$E14)*'Data manipulation'!Y22</f>
        <v>0</v>
      </c>
      <c r="H50" s="23">
        <f>SUMIFS('Data manipulation'!$W$5:$AF$5,Sources!$D$13:$M$13,Dem!$E14)*'Data manipulation'!Z22</f>
        <v>0</v>
      </c>
      <c r="I50" s="6"/>
      <c r="J50" s="6"/>
      <c r="K50" s="6"/>
      <c r="L50" s="6"/>
      <c r="M50" s="6"/>
      <c r="N50" s="6"/>
      <c r="O50" s="6"/>
      <c r="P50" s="6"/>
      <c r="Q50" s="6"/>
      <c r="R50" s="6"/>
      <c r="S50" s="6"/>
      <c r="T50" s="6"/>
      <c r="U50" s="6"/>
      <c r="V50" s="6"/>
      <c r="W50" s="6"/>
      <c r="X50" s="6"/>
      <c r="Y50" s="6"/>
      <c r="Z50" s="6"/>
      <c r="AA50" s="6"/>
      <c r="AB50" s="6"/>
    </row>
    <row r="51" spans="2:28">
      <c r="B51" s="6"/>
      <c r="C51" s="126"/>
      <c r="D51" s="6"/>
      <c r="E51" s="188"/>
      <c r="F51" s="23">
        <f>SUMIFS('Data manipulation'!$W$5:$AF$5,Sources!$D$13:$M$13,Dem!$E15)*'Data manipulation'!X23</f>
        <v>1044.0841612778727</v>
      </c>
      <c r="G51" s="23">
        <f>SUMIFS('Data manipulation'!$W$5:$AF$5,Sources!$D$13:$M$13,Dem!$E15)*'Data manipulation'!Y23</f>
        <v>0</v>
      </c>
      <c r="H51" s="23">
        <f>SUMIFS('Data manipulation'!$W$5:$AF$5,Sources!$D$13:$M$13,Dem!$E15)*'Data manipulation'!Z23</f>
        <v>0</v>
      </c>
      <c r="I51" s="6"/>
      <c r="J51" s="6"/>
      <c r="K51" s="6"/>
      <c r="L51" s="6"/>
      <c r="M51" s="6"/>
      <c r="N51" s="6"/>
      <c r="O51" s="6"/>
      <c r="P51" s="6"/>
      <c r="Q51" s="6"/>
      <c r="R51" s="6"/>
      <c r="S51" s="6"/>
      <c r="T51" s="6"/>
      <c r="U51" s="6"/>
      <c r="V51" s="6"/>
      <c r="W51" s="6"/>
      <c r="X51" s="6"/>
      <c r="Y51" s="6"/>
      <c r="Z51" s="6"/>
      <c r="AA51" s="6"/>
      <c r="AB51" s="6"/>
    </row>
    <row r="52" spans="2:28">
      <c r="B52" s="6"/>
      <c r="C52" s="126"/>
      <c r="D52" s="6"/>
      <c r="E52" s="188"/>
      <c r="F52" s="23">
        <f>SUMIFS('Data manipulation'!$W$5:$AF$5,Sources!$D$13:$M$13,Dem!$E16)*'Data manipulation'!X24</f>
        <v>58.408000000000001</v>
      </c>
      <c r="G52" s="23">
        <f>SUMIFS('Data manipulation'!$W$5:$AF$5,Sources!$D$13:$M$13,Dem!$E16)*'Data manipulation'!Y24</f>
        <v>0</v>
      </c>
      <c r="H52" s="23">
        <f>SUMIFS('Data manipulation'!$W$5:$AF$5,Sources!$D$13:$M$13,Dem!$E16)*'Data manipulation'!Z24</f>
        <v>0</v>
      </c>
      <c r="I52" s="6"/>
      <c r="J52" s="6"/>
      <c r="K52" s="6"/>
      <c r="L52" s="6"/>
      <c r="M52" s="6"/>
      <c r="N52" s="6"/>
      <c r="O52" s="6"/>
      <c r="P52" s="6"/>
      <c r="Q52" s="6"/>
      <c r="R52" s="6"/>
      <c r="S52" s="6"/>
      <c r="T52" s="6"/>
      <c r="U52" s="6"/>
      <c r="V52" s="6"/>
      <c r="W52" s="6"/>
      <c r="X52" s="6"/>
      <c r="Y52" s="6"/>
      <c r="Z52" s="6"/>
      <c r="AA52" s="6"/>
      <c r="AB52" s="6"/>
    </row>
    <row r="53" spans="2:28">
      <c r="B53" s="6"/>
      <c r="C53" s="126"/>
      <c r="D53" s="6"/>
      <c r="E53" s="188"/>
      <c r="F53" s="23">
        <f>SUMIFS('Data manipulation'!$W$5:$AF$5,Sources!$D$13:$M$13,Dem!$E17)*'Data manipulation'!X21</f>
        <v>1422.1644440733771</v>
      </c>
      <c r="G53" s="23">
        <f>SUMIFS('Data manipulation'!$W$5:$AF$5,Sources!$D$13:$M$13,Dem!$E17)*'Data manipulation'!Y21</f>
        <v>0</v>
      </c>
      <c r="H53" s="23">
        <f>SUMIFS('Data manipulation'!$W$5:$AF$5,Sources!$D$13:$M$13,Dem!$E17)*'Data manipulation'!Z21</f>
        <v>0</v>
      </c>
      <c r="I53" s="6"/>
      <c r="J53" s="6"/>
      <c r="K53" s="6"/>
      <c r="L53" s="6"/>
      <c r="M53" s="6"/>
      <c r="N53" s="6"/>
      <c r="O53" s="6"/>
      <c r="P53" s="6"/>
      <c r="Q53" s="6"/>
      <c r="R53" s="6"/>
      <c r="S53" s="6"/>
      <c r="T53" s="6"/>
      <c r="U53" s="6"/>
      <c r="V53" s="6"/>
      <c r="W53" s="6"/>
      <c r="X53" s="6"/>
      <c r="Y53" s="6"/>
      <c r="Z53" s="6"/>
      <c r="AA53" s="6"/>
      <c r="AB53" s="6"/>
    </row>
    <row r="54" spans="2:28">
      <c r="B54" s="6"/>
      <c r="C54" s="126"/>
      <c r="D54" s="6"/>
      <c r="E54" s="188"/>
      <c r="F54" s="23">
        <f>SUMIFS('Data manipulation'!$W$5:$AF$5,Sources!$D$13:$M$13,Dem!$E18)*'Data manipulation'!X22</f>
        <v>1082.7705600000002</v>
      </c>
      <c r="G54" s="23">
        <f>SUMIFS('Data manipulation'!$W$5:$AF$5,Sources!$D$13:$M$13,Dem!$E18)*'Data manipulation'!Y22</f>
        <v>0</v>
      </c>
      <c r="H54" s="23">
        <f>SUMIFS('Data manipulation'!$W$5:$AF$5,Sources!$D$13:$M$13,Dem!$E18)*'Data manipulation'!Z22</f>
        <v>0</v>
      </c>
      <c r="I54" s="6"/>
      <c r="J54" s="6"/>
      <c r="K54" s="6"/>
      <c r="L54" s="6"/>
      <c r="M54" s="6"/>
      <c r="N54" s="6"/>
      <c r="O54" s="6"/>
      <c r="P54" s="6"/>
      <c r="Q54" s="6"/>
      <c r="R54" s="6"/>
      <c r="S54" s="6"/>
      <c r="T54" s="6"/>
      <c r="U54" s="6"/>
      <c r="V54" s="6"/>
      <c r="W54" s="6"/>
      <c r="X54" s="6"/>
      <c r="Y54" s="6"/>
      <c r="Z54" s="6"/>
      <c r="AA54" s="6"/>
      <c r="AB54" s="6"/>
    </row>
    <row r="55" spans="2:28">
      <c r="B55" s="6"/>
      <c r="C55" s="126"/>
      <c r="D55" s="6"/>
      <c r="E55" s="188"/>
      <c r="F55" s="23">
        <f>SUMIFS('Data manipulation'!$W$5:$AF$5,Sources!$D$13:$M$13,Dem!$E19)*'Data manipulation'!X23</f>
        <v>997.27555592662316</v>
      </c>
      <c r="G55" s="23">
        <f>SUMIFS('Data manipulation'!$W$5:$AF$5,Sources!$D$13:$M$13,Dem!$E19)*'Data manipulation'!Y23</f>
        <v>0</v>
      </c>
      <c r="H55" s="23">
        <f>SUMIFS('Data manipulation'!$W$5:$AF$5,Sources!$D$13:$M$13,Dem!$E19)*'Data manipulation'!Z23</f>
        <v>0</v>
      </c>
      <c r="I55" s="6"/>
      <c r="J55" s="6"/>
      <c r="K55" s="6"/>
      <c r="L55" s="6"/>
      <c r="M55" s="6"/>
      <c r="N55" s="6"/>
      <c r="O55" s="6"/>
      <c r="P55" s="6"/>
      <c r="Q55" s="6"/>
      <c r="R55" s="6"/>
      <c r="S55" s="6"/>
      <c r="T55" s="6"/>
      <c r="U55" s="6"/>
      <c r="V55" s="6"/>
      <c r="W55" s="6"/>
      <c r="X55" s="6"/>
      <c r="Y55" s="6"/>
      <c r="Z55" s="6"/>
      <c r="AA55" s="6"/>
      <c r="AB55" s="6"/>
    </row>
    <row r="56" spans="2:28">
      <c r="B56" s="6"/>
      <c r="C56" s="126"/>
      <c r="D56" s="6"/>
      <c r="E56" s="188"/>
      <c r="F56" s="23">
        <f>SUMIFS('Data manipulation'!$W$5:$AF$5,Sources!$D$13:$M$13,Dem!$E20)*'Data manipulation'!X24</f>
        <v>55.789439999999999</v>
      </c>
      <c r="G56" s="23">
        <f>SUMIFS('Data manipulation'!$W$5:$AF$5,Sources!$D$13:$M$13,Dem!$E20)*'Data manipulation'!Y24</f>
        <v>0</v>
      </c>
      <c r="H56" s="23">
        <f>SUMIFS('Data manipulation'!$W$5:$AF$5,Sources!$D$13:$M$13,Dem!$E20)*'Data manipulation'!Z24</f>
        <v>0</v>
      </c>
      <c r="I56" s="6"/>
      <c r="J56" s="6"/>
      <c r="K56" s="6"/>
      <c r="L56" s="6"/>
      <c r="M56" s="6"/>
      <c r="N56" s="6"/>
      <c r="O56" s="6"/>
      <c r="P56" s="6"/>
      <c r="Q56" s="6"/>
      <c r="R56" s="6"/>
      <c r="S56" s="6"/>
      <c r="T56" s="6"/>
      <c r="U56" s="6"/>
      <c r="V56" s="6"/>
      <c r="W56" s="6"/>
      <c r="X56" s="6"/>
      <c r="Y56" s="6"/>
      <c r="Z56" s="6"/>
      <c r="AA56" s="6"/>
      <c r="AB56" s="6"/>
    </row>
    <row r="57" spans="2:28">
      <c r="B57" s="6"/>
      <c r="C57" s="6"/>
      <c r="D57" s="6"/>
      <c r="E57" s="188"/>
      <c r="F57" s="23">
        <f>SUMIFS('Data manipulation'!$W$5:$AF$5,Sources!$D$13:$M$13,Dem!$E21)*'Data manipulation'!X21</f>
        <v>1466.9318464725393</v>
      </c>
      <c r="G57" s="23">
        <f>SUMIFS('Data manipulation'!$W$5:$AF$5,Sources!$D$13:$M$13,Dem!$E21)*'Data manipulation'!Y21</f>
        <v>0</v>
      </c>
      <c r="H57" s="23">
        <f>SUMIFS('Data manipulation'!$W$5:$AF$5,Sources!$D$13:$M$13,Dem!$E21)*'Data manipulation'!Z21</f>
        <v>0</v>
      </c>
      <c r="I57" s="6"/>
      <c r="J57" s="6"/>
      <c r="K57" s="6"/>
      <c r="L57" s="6"/>
      <c r="M57" s="6"/>
      <c r="N57" s="6"/>
      <c r="O57" s="6"/>
      <c r="P57" s="6"/>
      <c r="Q57" s="6"/>
      <c r="R57" s="6"/>
      <c r="S57" s="6"/>
      <c r="T57" s="6"/>
      <c r="U57" s="6"/>
      <c r="V57" s="6"/>
      <c r="W57" s="6"/>
      <c r="X57" s="6"/>
      <c r="Y57" s="6"/>
      <c r="Z57" s="6"/>
      <c r="AA57" s="6"/>
      <c r="AB57" s="6"/>
    </row>
    <row r="58" spans="2:28">
      <c r="B58" s="6"/>
      <c r="C58" s="6"/>
      <c r="D58" s="6"/>
      <c r="E58" s="6"/>
      <c r="F58" s="23">
        <f>SUMIFS('Data manipulation'!$W$5:$AF$5,Sources!$D$13:$M$13,Dem!$E22)*'Data manipulation'!X22</f>
        <v>1116.8544000000002</v>
      </c>
      <c r="G58" s="23">
        <f>SUMIFS('Data manipulation'!$W$5:$AF$5,Sources!$D$13:$M$13,Dem!$E22)*'Data manipulation'!Y22</f>
        <v>0</v>
      </c>
      <c r="H58" s="23">
        <f>SUMIFS('Data manipulation'!$W$5:$AF$5,Sources!$D$13:$M$13,Dem!$E22)*'Data manipulation'!Z22</f>
        <v>0</v>
      </c>
      <c r="I58" s="6"/>
      <c r="J58" s="6"/>
      <c r="K58" s="6"/>
      <c r="L58" s="6"/>
      <c r="M58" s="6"/>
      <c r="N58" s="6"/>
      <c r="O58" s="6"/>
      <c r="P58" s="6"/>
      <c r="Q58" s="6"/>
      <c r="R58" s="6"/>
      <c r="S58" s="6"/>
      <c r="T58" s="6"/>
      <c r="U58" s="6"/>
      <c r="V58" s="6"/>
      <c r="W58" s="6"/>
      <c r="X58" s="6"/>
      <c r="Y58" s="6"/>
      <c r="Z58" s="6"/>
      <c r="AA58" s="6"/>
      <c r="AB58" s="6"/>
    </row>
    <row r="59" spans="2:28">
      <c r="B59" s="6"/>
      <c r="C59" s="6"/>
      <c r="D59" s="6"/>
      <c r="E59" s="6"/>
      <c r="F59" s="23">
        <f>SUMIFS('Data manipulation'!$W$5:$AF$5,Sources!$D$13:$M$13,Dem!$E23)*'Data manipulation'!X23</f>
        <v>1028.6681535274611</v>
      </c>
      <c r="G59" s="23">
        <f>SUMIFS('Data manipulation'!$W$5:$AF$5,Sources!$D$13:$M$13,Dem!$E23)*'Data manipulation'!Y23</f>
        <v>0</v>
      </c>
      <c r="H59" s="23">
        <f>SUMIFS('Data manipulation'!$W$5:$AF$5,Sources!$D$13:$M$13,Dem!$E23)*'Data manipulation'!Z23</f>
        <v>0</v>
      </c>
      <c r="I59" s="6"/>
      <c r="J59" s="6"/>
      <c r="K59" s="6"/>
      <c r="L59" s="6"/>
      <c r="M59" s="6"/>
      <c r="N59" s="6"/>
      <c r="O59" s="6"/>
      <c r="P59" s="6"/>
      <c r="Q59" s="6"/>
      <c r="R59" s="6"/>
      <c r="S59" s="6"/>
      <c r="T59" s="6"/>
      <c r="U59" s="6"/>
      <c r="V59" s="6"/>
      <c r="W59" s="6"/>
      <c r="X59" s="6"/>
      <c r="Y59" s="6"/>
      <c r="Z59" s="6"/>
      <c r="AA59" s="6"/>
      <c r="AB59" s="6"/>
    </row>
    <row r="60" spans="2:28">
      <c r="B60" s="6"/>
      <c r="C60" s="6"/>
      <c r="D60" s="6"/>
      <c r="E60" s="6"/>
      <c r="F60" s="23">
        <f>SUMIFS('Data manipulation'!$W$5:$AF$5,Sources!$D$13:$M$13,Dem!$E24)*'Data manipulation'!X24</f>
        <v>57.5456</v>
      </c>
      <c r="G60" s="23">
        <f>SUMIFS('Data manipulation'!$W$5:$AF$5,Sources!$D$13:$M$13,Dem!$E24)*'Data manipulation'!Y24</f>
        <v>0</v>
      </c>
      <c r="H60" s="23">
        <f>SUMIFS('Data manipulation'!$W$5:$AF$5,Sources!$D$13:$M$13,Dem!$E24)*'Data manipulation'!Z24</f>
        <v>0</v>
      </c>
      <c r="I60" s="6"/>
      <c r="J60" s="6"/>
      <c r="K60" s="6"/>
      <c r="L60" s="6"/>
      <c r="M60" s="6"/>
      <c r="N60" s="6"/>
      <c r="O60" s="6"/>
      <c r="P60" s="6"/>
      <c r="Q60" s="6"/>
      <c r="R60" s="6"/>
      <c r="S60" s="6"/>
      <c r="T60" s="6"/>
      <c r="U60" s="6"/>
      <c r="V60" s="6"/>
      <c r="W60" s="6"/>
      <c r="X60" s="6"/>
      <c r="Y60" s="6"/>
      <c r="Z60" s="6"/>
      <c r="AA60" s="6"/>
      <c r="AB60" s="6"/>
    </row>
    <row r="61" spans="2:28">
      <c r="B61" s="6"/>
      <c r="C61" s="6"/>
      <c r="D61" s="6"/>
      <c r="E61" s="6"/>
      <c r="F61" s="23">
        <f>SUMIFS('Data manipulation'!$W$5:$AF$5,Sources!$D$13:$M$13,Dem!$E25)*'Data manipulation'!X21</f>
        <v>1488.9158387221278</v>
      </c>
      <c r="G61" s="23">
        <f>SUMIFS('Data manipulation'!$W$5:$AF$5,Sources!$D$13:$M$13,Dem!$E25)*'Data manipulation'!Y21</f>
        <v>0</v>
      </c>
      <c r="H61" s="23">
        <f>SUMIFS('Data manipulation'!$W$5:$AF$5,Sources!$D$13:$M$13,Dem!$E25)*'Data manipulation'!Z21</f>
        <v>0</v>
      </c>
      <c r="I61" s="6"/>
      <c r="J61" s="6"/>
      <c r="K61" s="6"/>
      <c r="L61" s="6"/>
      <c r="M61" s="6"/>
      <c r="N61" s="6"/>
      <c r="O61" s="6"/>
      <c r="P61" s="6"/>
      <c r="Q61" s="6"/>
      <c r="R61" s="6"/>
      <c r="S61" s="6"/>
      <c r="T61" s="6"/>
      <c r="U61" s="6"/>
      <c r="V61" s="6"/>
      <c r="W61" s="6"/>
      <c r="X61" s="6"/>
      <c r="Y61" s="6"/>
      <c r="Z61" s="6"/>
      <c r="AA61" s="6"/>
      <c r="AB61" s="6"/>
    </row>
    <row r="62" spans="2:28">
      <c r="B62" s="6"/>
      <c r="C62" s="6"/>
      <c r="D62" s="6"/>
      <c r="E62" s="6"/>
      <c r="F62" s="23">
        <f>SUMIFS('Data manipulation'!$W$5:$AF$5,Sources!$D$13:$M$13,Dem!$E26)*'Data manipulation'!X22</f>
        <v>1133.5920000000001</v>
      </c>
      <c r="G62" s="23">
        <f>SUMIFS('Data manipulation'!$W$5:$AF$5,Sources!$D$13:$M$13,Dem!$E26)*'Data manipulation'!Y22</f>
        <v>0</v>
      </c>
      <c r="H62" s="23">
        <f>SUMIFS('Data manipulation'!$W$5:$AF$5,Sources!$D$13:$M$13,Dem!$E26)*'Data manipulation'!Z22</f>
        <v>0</v>
      </c>
      <c r="I62" s="6"/>
      <c r="J62" s="6"/>
      <c r="K62" s="6"/>
      <c r="L62" s="6"/>
      <c r="M62" s="6"/>
      <c r="N62" s="6"/>
      <c r="O62" s="6"/>
      <c r="P62" s="6"/>
      <c r="Q62" s="6"/>
      <c r="R62" s="6"/>
      <c r="S62" s="6"/>
      <c r="T62" s="6"/>
      <c r="U62" s="6"/>
      <c r="V62" s="6"/>
      <c r="W62" s="6"/>
      <c r="X62" s="6"/>
      <c r="Y62" s="6"/>
      <c r="Z62" s="6"/>
      <c r="AA62" s="6"/>
      <c r="AB62" s="6"/>
    </row>
    <row r="63" spans="2:28">
      <c r="B63" s="6"/>
      <c r="C63" s="6"/>
      <c r="D63" s="6"/>
      <c r="E63" s="6"/>
      <c r="F63" s="23">
        <f>SUMIFS('Data manipulation'!$W$5:$AF$5,Sources!$D$13:$M$13,Dem!$E27)*'Data manipulation'!X23</f>
        <v>1044.0841612778727</v>
      </c>
      <c r="G63" s="23">
        <f>SUMIFS('Data manipulation'!$W$5:$AF$5,Sources!$D$13:$M$13,Dem!$E27)*'Data manipulation'!Y23</f>
        <v>0</v>
      </c>
      <c r="H63" s="23">
        <f>SUMIFS('Data manipulation'!$W$5:$AF$5,Sources!$D$13:$M$13,Dem!$E27)*'Data manipulation'!Z23</f>
        <v>0</v>
      </c>
      <c r="I63" s="6"/>
      <c r="J63" s="6"/>
      <c r="K63" s="6"/>
      <c r="L63" s="6"/>
      <c r="M63" s="6"/>
      <c r="N63" s="6"/>
      <c r="O63" s="6"/>
      <c r="P63" s="6"/>
      <c r="Q63" s="6"/>
      <c r="R63" s="6"/>
      <c r="S63" s="6"/>
      <c r="T63" s="6"/>
      <c r="U63" s="6"/>
      <c r="V63" s="6"/>
      <c r="W63" s="6"/>
      <c r="X63" s="6"/>
      <c r="Y63" s="6"/>
      <c r="Z63" s="6"/>
      <c r="AA63" s="6"/>
      <c r="AB63" s="6"/>
    </row>
    <row r="64" spans="2:28">
      <c r="D64"/>
      <c r="F64" s="23">
        <f>SUMIFS('Data manipulation'!$W$5:$AF$5,Sources!$D$13:$M$13,Dem!$E28)*'Data manipulation'!X24</f>
        <v>58.408000000000001</v>
      </c>
      <c r="G64" s="23">
        <f>SUMIFS('Data manipulation'!$W$5:$AF$5,Sources!$D$13:$M$13,Dem!$E28)*'Data manipulation'!Y24</f>
        <v>0</v>
      </c>
      <c r="H64" s="23">
        <f>SUMIFS('Data manipulation'!$W$5:$AF$5,Sources!$D$13:$M$13,Dem!$E28)*'Data manipulation'!Z24</f>
        <v>0</v>
      </c>
    </row>
    <row r="65" spans="4:8">
      <c r="D65"/>
      <c r="F65" s="23">
        <f>SUM('Appliances&amp;Cooking'!Y45:Y52)</f>
        <v>264.50223208</v>
      </c>
      <c r="G65" s="23">
        <f>SUM('Appliances&amp;Cooking'!Z45:Z46)</f>
        <v>0</v>
      </c>
      <c r="H65" s="23">
        <f>SUM('Appliances&amp;Cooking'!AA45:AA46)</f>
        <v>0</v>
      </c>
    </row>
    <row r="66" spans="4:8">
      <c r="F66" s="23">
        <f>SUM('Appliances&amp;Cooking'!Y53:Y60)</f>
        <v>273.13487925000004</v>
      </c>
      <c r="G66" s="23">
        <f>SUM('Appliances&amp;Cooking'!Z53:Z54)</f>
        <v>0</v>
      </c>
      <c r="H66" s="23">
        <f>SUM('Appliances&amp;Cooking'!AA53:AA54)</f>
        <v>0</v>
      </c>
    </row>
    <row r="67" spans="4:8">
      <c r="F67" s="23">
        <f>SUM('Appliances&amp;Cooking'!Y61:Y68)</f>
        <v>309.47170951999999</v>
      </c>
      <c r="G67" s="23">
        <f>SUM('Appliances&amp;Cooking'!Z61:Z62)</f>
        <v>0</v>
      </c>
      <c r="H67" s="23">
        <f>SUM('Appliances&amp;Cooking'!AA61:AA62)</f>
        <v>0</v>
      </c>
    </row>
    <row r="68" spans="4:8">
      <c r="F68" s="23">
        <f>SUM('Appliances&amp;Cooking'!Y30:Y31)</f>
        <v>254.33360135000001</v>
      </c>
      <c r="G68" s="23">
        <f>SUM('Appliances&amp;Cooking'!Z30:Z31)</f>
        <v>0</v>
      </c>
      <c r="H68" s="23">
        <f>SUM('Appliances&amp;Cooking'!AA30:AA31)</f>
        <v>0</v>
      </c>
    </row>
    <row r="69" spans="4:8">
      <c r="F69" s="23">
        <f>SUM('Appliances&amp;Cooking'!Y32:Y33)</f>
        <v>239.16803029999997</v>
      </c>
      <c r="G69" s="23">
        <f>SUM('Appliances&amp;Cooking'!Z32:Z33)</f>
        <v>0</v>
      </c>
      <c r="H69" s="23">
        <f>SUM('Appliances&amp;Cooking'!AA32:AA33)</f>
        <v>0</v>
      </c>
    </row>
    <row r="70" spans="4:8">
      <c r="F70" s="23">
        <f>SUM('Appliances&amp;Cooking'!Y34:Y35)</f>
        <v>235.50629955000002</v>
      </c>
      <c r="G70" s="23">
        <f>SUM('Appliances&amp;Cooking'!Z34:Z35)</f>
        <v>0</v>
      </c>
      <c r="H70" s="23">
        <f>SUM('Appliances&amp;Cooking'!AA34:AA35)</f>
        <v>0</v>
      </c>
    </row>
    <row r="71" spans="4:8">
      <c r="F71" s="23">
        <f>SUM('Appliances&amp;Cooking'!Y7:Y10)</f>
        <v>136.33140649999999</v>
      </c>
      <c r="G71" s="23">
        <f>SUM('Appliances&amp;Cooking'!Z7:Z8)</f>
        <v>0</v>
      </c>
      <c r="H71" s="23">
        <f>SUM('Appliances&amp;Cooking'!AA7:AA8)</f>
        <v>0</v>
      </c>
    </row>
    <row r="72" spans="4:8">
      <c r="F72" s="23">
        <f>SUM('Appliances&amp;Cooking'!Y11:Y14)</f>
        <v>130.87360329999998</v>
      </c>
      <c r="G72" s="23">
        <f>SUM('Appliances&amp;Cooking'!Z11:Z12)</f>
        <v>0</v>
      </c>
      <c r="H72" s="23">
        <f>SUM('Appliances&amp;Cooking'!AA11:AA12)</f>
        <v>0</v>
      </c>
    </row>
    <row r="73" spans="4:8">
      <c r="F73" s="23">
        <f>SUM('Appliances&amp;Cooking'!Y15:Y18)</f>
        <v>136.23877130000002</v>
      </c>
      <c r="G73" s="23">
        <f>SUM('Appliances&amp;Cooking'!Z15:Z16)</f>
        <v>0</v>
      </c>
      <c r="H73" s="23">
        <f>SUM('Appliances&amp;Cooking'!AA15:AA16)</f>
        <v>0</v>
      </c>
    </row>
    <row r="74" spans="4:8">
      <c r="F74" s="6"/>
      <c r="G74" s="6"/>
      <c r="H74" s="6"/>
    </row>
  </sheetData>
  <phoneticPr fontId="28" type="noConversion"/>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6" tint="0.39997558519241921"/>
  </sheetPr>
  <dimension ref="B2:G11"/>
  <sheetViews>
    <sheetView zoomScaleNormal="100" workbookViewId="0">
      <selection activeCell="G12" sqref="G12"/>
    </sheetView>
  </sheetViews>
  <sheetFormatPr defaultColWidth="8.77734375" defaultRowHeight="13.2"/>
  <cols>
    <col min="2" max="2" width="30.6640625" bestFit="1" customWidth="1"/>
    <col min="3" max="3" width="7.6640625" bestFit="1" customWidth="1"/>
    <col min="4" max="4" width="6.44140625" bestFit="1" customWidth="1"/>
  </cols>
  <sheetData>
    <row r="2" spans="2:7" ht="13.8">
      <c r="B2" s="51" t="s">
        <v>122</v>
      </c>
      <c r="C2" s="50"/>
      <c r="D2" s="51"/>
    </row>
    <row r="4" spans="2:7" ht="13.8">
      <c r="B4" s="52" t="s">
        <v>123</v>
      </c>
      <c r="C4" s="54"/>
      <c r="D4" s="56"/>
    </row>
    <row r="5" spans="2:7" ht="13.8">
      <c r="B5" s="51" t="s">
        <v>124</v>
      </c>
      <c r="C5" s="50"/>
      <c r="D5" s="51"/>
    </row>
    <row r="6" spans="2:7" ht="13.8">
      <c r="B6" s="50"/>
      <c r="C6" s="55" t="s">
        <v>126</v>
      </c>
      <c r="D6" s="55" t="s">
        <v>125</v>
      </c>
    </row>
    <row r="7" spans="2:7" ht="13.8">
      <c r="B7" s="50"/>
    </row>
    <row r="8" spans="2:7" ht="13.8">
      <c r="B8" s="53" t="s">
        <v>127</v>
      </c>
      <c r="C8" s="50"/>
      <c r="D8" s="50"/>
    </row>
    <row r="9" spans="2:7" ht="13.8">
      <c r="B9" s="57" t="s">
        <v>4</v>
      </c>
      <c r="C9" s="58" t="str">
        <f>Commodities!$C$18</f>
        <v>RESNGA</v>
      </c>
      <c r="D9" s="58" t="str">
        <f>Commodities!$C$20</f>
        <v>RESLPG</v>
      </c>
      <c r="E9" s="58" t="str">
        <f>Commodities!$C$21</f>
        <v>RESDSL</v>
      </c>
      <c r="F9" s="58" t="str">
        <f>Commodities!$C$22</f>
        <v>RESGSL</v>
      </c>
      <c r="G9" s="58" t="str">
        <f>Commodities!$C$25</f>
        <v>RESCOA</v>
      </c>
    </row>
    <row r="10" spans="2:7" ht="14.4" thickBot="1">
      <c r="B10" s="59" t="s">
        <v>128</v>
      </c>
      <c r="C10" s="60" t="s">
        <v>129</v>
      </c>
      <c r="D10" s="60"/>
      <c r="E10" s="60" t="s">
        <v>129</v>
      </c>
      <c r="F10" s="60"/>
      <c r="G10" s="60"/>
    </row>
    <row r="11" spans="2:7" ht="13.8">
      <c r="B11" s="61" t="str">
        <f>Commodities!$C$82</f>
        <v>RESCO2</v>
      </c>
      <c r="C11" s="62">
        <v>56.97</v>
      </c>
      <c r="D11" s="62">
        <v>63.1</v>
      </c>
      <c r="E11" s="62">
        <v>74</v>
      </c>
      <c r="F11" s="62">
        <v>69.3</v>
      </c>
      <c r="G11" s="62">
        <v>94.6</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59999389629810485"/>
  </sheetPr>
  <dimension ref="A2:AO131"/>
  <sheetViews>
    <sheetView topLeftCell="A11" zoomScale="60" zoomScaleNormal="60" workbookViewId="0">
      <selection activeCell="F25" sqref="F25"/>
    </sheetView>
  </sheetViews>
  <sheetFormatPr defaultColWidth="8.77734375" defaultRowHeight="13.2"/>
  <cols>
    <col min="2" max="2" width="30.44140625" bestFit="1" customWidth="1"/>
    <col min="3" max="3" width="9.21875" bestFit="1" customWidth="1"/>
    <col min="5" max="5" width="9.21875" bestFit="1" customWidth="1"/>
    <col min="6" max="6" width="11.77734375" bestFit="1" customWidth="1"/>
    <col min="7" max="7" width="10" customWidth="1"/>
    <col min="8" max="14" width="8.77734375" bestFit="1" customWidth="1"/>
    <col min="15" max="15" width="13.44140625" customWidth="1"/>
    <col min="16" max="16" width="9.21875" bestFit="1" customWidth="1"/>
    <col min="21" max="21" width="8.77734375" style="21"/>
    <col min="22" max="22" width="29.33203125" bestFit="1" customWidth="1"/>
    <col min="23" max="23" width="8.33203125" bestFit="1" customWidth="1"/>
    <col min="24" max="24" width="6" bestFit="1" customWidth="1"/>
    <col min="25" max="25" width="5.44140625" bestFit="1" customWidth="1"/>
    <col min="26" max="26" width="7.21875" bestFit="1" customWidth="1"/>
    <col min="27" max="28" width="5.44140625" bestFit="1" customWidth="1"/>
    <col min="29" max="29" width="15" customWidth="1"/>
    <col min="30" max="30" width="20.77734375" bestFit="1" customWidth="1"/>
    <col min="31" max="32" width="7" bestFit="1" customWidth="1"/>
    <col min="33" max="33" width="5.44140625" bestFit="1" customWidth="1"/>
  </cols>
  <sheetData>
    <row r="2" spans="2:41" ht="15.6">
      <c r="B2" s="360" t="s">
        <v>296</v>
      </c>
      <c r="C2" s="300"/>
      <c r="D2" s="300"/>
      <c r="E2" s="300"/>
      <c r="F2" s="300"/>
      <c r="G2" s="300"/>
      <c r="H2" s="300"/>
      <c r="I2" s="300"/>
      <c r="J2" s="300"/>
      <c r="K2" s="300"/>
      <c r="V2" s="360" t="s">
        <v>297</v>
      </c>
    </row>
    <row r="3" spans="2:41" ht="13.8">
      <c r="B3" s="300"/>
      <c r="C3" s="300"/>
      <c r="D3" s="300"/>
      <c r="E3" s="300"/>
      <c r="F3" s="300"/>
      <c r="G3" s="300"/>
      <c r="H3" s="300"/>
      <c r="I3" s="300"/>
    </row>
    <row r="4" spans="2:41" ht="13.8">
      <c r="B4" s="300"/>
      <c r="C4" s="300" t="s">
        <v>106</v>
      </c>
      <c r="D4" s="300" t="s">
        <v>290</v>
      </c>
      <c r="E4" s="300" t="s">
        <v>284</v>
      </c>
      <c r="F4" s="300" t="s">
        <v>291</v>
      </c>
      <c r="G4" s="300" t="s">
        <v>292</v>
      </c>
      <c r="H4" s="300" t="s">
        <v>293</v>
      </c>
      <c r="V4" s="132" t="s">
        <v>927</v>
      </c>
    </row>
    <row r="5" spans="2:41" ht="13.8">
      <c r="B5" s="300" t="s">
        <v>288</v>
      </c>
      <c r="C5" s="358">
        <f>'Energy balance'!N20</f>
        <v>24117.5</v>
      </c>
      <c r="D5" s="358">
        <f>$C5*D10</f>
        <v>0</v>
      </c>
      <c r="E5" s="358">
        <f t="shared" ref="D5:H9" si="0">$C5*E10</f>
        <v>0</v>
      </c>
      <c r="F5" s="358">
        <f t="shared" si="0"/>
        <v>0</v>
      </c>
      <c r="G5" s="358">
        <f>$C5*G10</f>
        <v>23478.625827814569</v>
      </c>
      <c r="H5" s="358">
        <f>$C5*H10</f>
        <v>638.87417218543044</v>
      </c>
      <c r="V5" s="106" t="s">
        <v>234</v>
      </c>
      <c r="W5" s="476">
        <f>Sources!D15</f>
        <v>3393</v>
      </c>
      <c r="X5" s="476">
        <f>Sources!E15</f>
        <v>3410</v>
      </c>
      <c r="Y5" s="476">
        <f>Sources!F15</f>
        <v>3558</v>
      </c>
      <c r="Z5" s="476">
        <f>Sources!G15</f>
        <v>3577</v>
      </c>
      <c r="AA5" s="476">
        <f>Sources!H15</f>
        <v>3598</v>
      </c>
      <c r="AB5" s="476">
        <f>Sources!I15</f>
        <v>3620</v>
      </c>
      <c r="AC5" s="476">
        <f>Sources!J15</f>
        <v>3646</v>
      </c>
      <c r="AD5" s="476">
        <f>Sources!K15</f>
        <v>3670</v>
      </c>
      <c r="AE5" s="476">
        <f>Sources!L15</f>
        <v>3698</v>
      </c>
      <c r="AF5" s="476">
        <f>Sources!M15</f>
        <v>3725</v>
      </c>
    </row>
    <row r="6" spans="2:41" ht="14.4" thickBot="1">
      <c r="B6" s="300" t="s">
        <v>80</v>
      </c>
      <c r="C6" s="358">
        <f>'Energy balance'!N18+'Energy balance'!N8</f>
        <v>119609.5</v>
      </c>
      <c r="D6" s="358">
        <f>$C6*D11</f>
        <v>83726.649999999994</v>
      </c>
      <c r="E6" s="358">
        <f t="shared" si="0"/>
        <v>10472.984928229665</v>
      </c>
      <c r="F6" s="358">
        <f t="shared" si="0"/>
        <v>25409.865071770331</v>
      </c>
      <c r="G6" s="358">
        <f t="shared" si="0"/>
        <v>0</v>
      </c>
      <c r="H6" s="358">
        <f t="shared" si="0"/>
        <v>0</v>
      </c>
      <c r="AF6" s="645"/>
    </row>
    <row r="7" spans="2:41" ht="13.8">
      <c r="B7" s="300" t="s">
        <v>220</v>
      </c>
      <c r="C7" s="358">
        <f>'Energy balance'!N21</f>
        <v>470.8</v>
      </c>
      <c r="D7" s="358">
        <f t="shared" si="0"/>
        <v>470.8</v>
      </c>
      <c r="E7" s="358">
        <f t="shared" si="0"/>
        <v>0</v>
      </c>
      <c r="F7" s="358">
        <f t="shared" si="0"/>
        <v>0</v>
      </c>
      <c r="G7" s="358">
        <f t="shared" si="0"/>
        <v>0</v>
      </c>
      <c r="H7" s="358">
        <f t="shared" si="0"/>
        <v>0</v>
      </c>
    </row>
    <row r="8" spans="2:41" ht="13.8">
      <c r="B8" s="300" t="s">
        <v>289</v>
      </c>
      <c r="C8" s="358">
        <f>'Energy balance'!N12+'Energy balance'!N11+'Energy balance'!N9</f>
        <v>371.4</v>
      </c>
      <c r="D8" s="358">
        <f>$C8*D13</f>
        <v>371.4</v>
      </c>
      <c r="E8" s="358">
        <f t="shared" si="0"/>
        <v>0</v>
      </c>
      <c r="F8" s="358">
        <f t="shared" si="0"/>
        <v>0</v>
      </c>
      <c r="G8" s="358">
        <f t="shared" si="0"/>
        <v>0</v>
      </c>
      <c r="H8" s="358">
        <f t="shared" si="0"/>
        <v>0</v>
      </c>
    </row>
    <row r="9" spans="2:41" ht="13.8">
      <c r="B9" s="300" t="s">
        <v>219</v>
      </c>
      <c r="C9" s="358">
        <f>'Energy balance'!N19</f>
        <v>5051.2</v>
      </c>
      <c r="D9" s="358">
        <f t="shared" si="0"/>
        <v>5051.2</v>
      </c>
      <c r="E9" s="358">
        <f t="shared" si="0"/>
        <v>0</v>
      </c>
      <c r="F9" s="358">
        <f t="shared" si="0"/>
        <v>0</v>
      </c>
      <c r="G9" s="358">
        <f t="shared" si="0"/>
        <v>0</v>
      </c>
      <c r="H9" s="358">
        <f t="shared" si="0"/>
        <v>0</v>
      </c>
      <c r="V9" s="421" t="s">
        <v>739</v>
      </c>
      <c r="W9" s="421"/>
      <c r="X9" s="421"/>
    </row>
    <row r="10" spans="2:41" ht="13.8">
      <c r="B10" s="300"/>
      <c r="C10" s="358"/>
      <c r="D10" s="359">
        <v>0</v>
      </c>
      <c r="E10" s="359">
        <v>0</v>
      </c>
      <c r="F10" s="359">
        <v>0</v>
      </c>
      <c r="G10" s="359">
        <f>1-H10-SUM(D10:F10)</f>
        <v>0.97350993377483441</v>
      </c>
      <c r="H10" s="359">
        <f>Sources!B95/SUM(Sources!B91:B92)</f>
        <v>2.6490066225165563E-2</v>
      </c>
      <c r="V10" s="207" t="s">
        <v>742</v>
      </c>
      <c r="W10" s="300" t="s">
        <v>734</v>
      </c>
      <c r="X10" s="300" t="s">
        <v>735</v>
      </c>
      <c r="AD10" s="106" t="s">
        <v>738</v>
      </c>
      <c r="AE10" s="106" t="s">
        <v>734</v>
      </c>
      <c r="AF10" s="106" t="s">
        <v>735</v>
      </c>
      <c r="AI10" s="106" t="s">
        <v>921</v>
      </c>
      <c r="AK10" s="106" t="s">
        <v>922</v>
      </c>
    </row>
    <row r="11" spans="2:41" ht="13.8">
      <c r="B11" s="300"/>
      <c r="C11" s="358"/>
      <c r="D11" s="359">
        <v>0.7</v>
      </c>
      <c r="E11" s="359">
        <f>0.3*Sources!B93/SUM(Sources!B93:B94)</f>
        <v>8.7559808612440199E-2</v>
      </c>
      <c r="F11" s="359">
        <f>0.3*Sources!B94/SUM(Sources!B93:B94)</f>
        <v>0.21244019138755979</v>
      </c>
      <c r="G11" s="359">
        <v>0</v>
      </c>
      <c r="H11" s="359">
        <v>0</v>
      </c>
      <c r="V11" t="s">
        <v>740</v>
      </c>
      <c r="W11" s="420">
        <f>AM16</f>
        <v>0.58780727940076094</v>
      </c>
      <c r="X11" s="420">
        <f>SUM(Sources!E65:E66)/100</f>
        <v>0.95100000000000007</v>
      </c>
      <c r="Y11" t="s">
        <v>955</v>
      </c>
      <c r="AC11" s="106" t="s">
        <v>906</v>
      </c>
      <c r="AD11">
        <f>SUMIFS(Sources!C$134:C$653,Sources!$A$134:$A$653,$AC11)</f>
        <v>8586.6999999999989</v>
      </c>
      <c r="AE11">
        <f>SUMIFS(Sources!F$134:F$653,Sources!$A$134:$A$653,'Data manipulation'!$AC11)</f>
        <v>4862.3</v>
      </c>
      <c r="AF11">
        <f>SUMIFS(Sources!I$134:I$653,Sources!$A$134:$A$653,'Data manipulation'!$AC11)</f>
        <v>3724.4</v>
      </c>
      <c r="AI11">
        <f>12867/19273</f>
        <v>0.66761791106729618</v>
      </c>
      <c r="AK11">
        <f>1-AI11</f>
        <v>0.33238208893270382</v>
      </c>
      <c r="AL11" t="s">
        <v>926</v>
      </c>
    </row>
    <row r="12" spans="2:41" ht="13.8">
      <c r="B12" s="300"/>
      <c r="C12" s="358"/>
      <c r="D12" s="359">
        <v>1</v>
      </c>
      <c r="E12" s="359">
        <v>0</v>
      </c>
      <c r="F12" s="359">
        <v>0</v>
      </c>
      <c r="G12" s="359">
        <v>0</v>
      </c>
      <c r="H12" s="359">
        <v>0</v>
      </c>
      <c r="V12" t="s">
        <v>741</v>
      </c>
      <c r="W12" s="420">
        <f>AN16</f>
        <v>0.41219272059923912</v>
      </c>
      <c r="X12" s="420">
        <f>SUM(Sources!E67:E69)/100</f>
        <v>4.8999999999999995E-2</v>
      </c>
      <c r="AC12" s="106" t="s">
        <v>933</v>
      </c>
      <c r="AD12">
        <f>SUMIFS(Sources!C$134:C$653,Sources!$A$134:$A$653,$AC12)</f>
        <v>938.7</v>
      </c>
      <c r="AE12">
        <f>SUMIFS(Sources!F$134:F$653,Sources!$A$134:$A$653,'Data manipulation'!$AC12)</f>
        <v>277.09999999999997</v>
      </c>
      <c r="AF12">
        <f>SUMIFS(Sources!I$134:I$653,Sources!$A$134:$A$653,'Data manipulation'!$AC12)</f>
        <v>661.59999999999991</v>
      </c>
    </row>
    <row r="13" spans="2:41" ht="13.8">
      <c r="B13" s="300"/>
      <c r="C13" s="358"/>
      <c r="D13" s="359">
        <v>1</v>
      </c>
      <c r="E13" s="359">
        <v>0</v>
      </c>
      <c r="F13" s="359">
        <v>0</v>
      </c>
      <c r="G13" s="359">
        <v>0</v>
      </c>
      <c r="H13" s="359">
        <v>0</v>
      </c>
      <c r="AC13" s="106" t="s">
        <v>934</v>
      </c>
      <c r="AD13">
        <f>SUMIFS(Sources!C$134:C$653,Sources!$A$134:$A$653,$AC13)</f>
        <v>456.09999999999991</v>
      </c>
      <c r="AE13">
        <f>SUMIFS(Sources!F$134:F$653,Sources!$A$134:$A$653,'Data manipulation'!$AC13)</f>
        <v>134.5</v>
      </c>
      <c r="AF13">
        <f>SUMIFS(Sources!I$134:I$653,Sources!$A$134:$A$653,'Data manipulation'!$AC13)</f>
        <v>321.60000000000002</v>
      </c>
    </row>
    <row r="14" spans="2:41" ht="13.8">
      <c r="B14" s="300"/>
      <c r="C14" s="358"/>
      <c r="D14" s="359">
        <v>1</v>
      </c>
      <c r="E14" s="359">
        <v>0</v>
      </c>
      <c r="F14" s="359">
        <v>0</v>
      </c>
      <c r="G14" s="359">
        <v>0</v>
      </c>
      <c r="H14" s="359">
        <v>0</v>
      </c>
      <c r="V14" s="132" t="s">
        <v>743</v>
      </c>
      <c r="W14" t="s">
        <v>734</v>
      </c>
      <c r="X14" t="s">
        <v>735</v>
      </c>
      <c r="AM14" t="s">
        <v>740</v>
      </c>
      <c r="AN14" t="s">
        <v>741</v>
      </c>
    </row>
    <row r="15" spans="2:41" ht="13.8">
      <c r="B15" s="300" t="s">
        <v>294</v>
      </c>
      <c r="C15" s="300"/>
      <c r="D15" s="300">
        <f>SUM(D5:D9)/SUM($C$5:$C$9)</f>
        <v>0.59898282587133833</v>
      </c>
      <c r="E15" s="300">
        <f>SUM(E5:E9)/SUM($C$5:$C$9)</f>
        <v>6.999703869411969E-2</v>
      </c>
      <c r="F15" s="300">
        <f>SUM(F5:F9)/SUM($C$5:$C$9)</f>
        <v>0.16982888076606087</v>
      </c>
      <c r="G15" s="300">
        <f>SUM(G5:G9)/SUM($C$5:$C$9)</f>
        <v>0.15692128765739544</v>
      </c>
      <c r="H15" s="300">
        <f>SUM(H5:H9)/SUM($C$5:$C$9)</f>
        <v>4.2699670110855903E-3</v>
      </c>
      <c r="V15" t="s">
        <v>906</v>
      </c>
      <c r="W15" s="9">
        <v>0.68</v>
      </c>
      <c r="X15" s="9">
        <v>0.32</v>
      </c>
      <c r="Y15" s="650" t="s">
        <v>920</v>
      </c>
      <c r="AL15" t="s">
        <v>923</v>
      </c>
      <c r="AM15">
        <f>12867-12867*0.95*0.32</f>
        <v>8955.4320000000007</v>
      </c>
      <c r="AN15">
        <f>(3153+3229)-(3153+3229)*0.05*0.32</f>
        <v>6279.8879999999999</v>
      </c>
      <c r="AO15" t="s">
        <v>924</v>
      </c>
    </row>
    <row r="16" spans="2:41">
      <c r="V16" t="s">
        <v>933</v>
      </c>
      <c r="W16" s="9">
        <f>'Regional split'!C5*AE12/AD12</f>
        <v>0</v>
      </c>
      <c r="X16" s="9">
        <f>'Regional split'!C5*AF12/AD12</f>
        <v>0</v>
      </c>
      <c r="AL16" t="s">
        <v>923</v>
      </c>
      <c r="AM16">
        <f>AM15/(AM15+AN15)</f>
        <v>0.58780727940076094</v>
      </c>
      <c r="AN16">
        <f>AN15/(AN15+AM15)</f>
        <v>0.41219272059923912</v>
      </c>
      <c r="AO16" t="s">
        <v>925</v>
      </c>
    </row>
    <row r="17" spans="1:36">
      <c r="K17" s="609"/>
      <c r="V17" t="s">
        <v>934</v>
      </c>
      <c r="W17" s="9">
        <f>'Regional split'!C6*AE13/AD13</f>
        <v>0</v>
      </c>
      <c r="X17" s="9">
        <f>'Regional split'!C6*AF13/AD13</f>
        <v>0</v>
      </c>
    </row>
    <row r="19" spans="1:36">
      <c r="F19" s="609"/>
      <c r="G19" s="609"/>
      <c r="H19" s="609"/>
      <c r="I19" s="609"/>
      <c r="J19" s="609"/>
      <c r="K19" s="609"/>
      <c r="L19" s="609"/>
      <c r="M19" s="609"/>
      <c r="N19" s="609"/>
      <c r="O19" s="609"/>
      <c r="V19" s="106" t="s">
        <v>744</v>
      </c>
      <c r="Y19" s="127"/>
      <c r="Z19" s="127"/>
    </row>
    <row r="20" spans="1:36" ht="13.8">
      <c r="F20" s="609"/>
      <c r="G20" s="609"/>
      <c r="H20" s="609"/>
      <c r="I20" s="609"/>
      <c r="J20" s="609"/>
      <c r="K20" s="609"/>
      <c r="L20" s="609"/>
      <c r="M20" s="609"/>
      <c r="N20" s="609"/>
      <c r="O20" s="609"/>
      <c r="X20" t="s">
        <v>906</v>
      </c>
      <c r="Y20" t="s">
        <v>933</v>
      </c>
      <c r="Z20" t="s">
        <v>934</v>
      </c>
      <c r="AH20" s="351"/>
      <c r="AI20" s="351"/>
    </row>
    <row r="21" spans="1:36" ht="16.2" thickBot="1">
      <c r="B21" s="357" t="s">
        <v>277</v>
      </c>
      <c r="V21" s="106" t="s">
        <v>734</v>
      </c>
      <c r="W21" s="106" t="s">
        <v>740</v>
      </c>
      <c r="X21" s="476">
        <f t="shared" ref="X21:Z21" si="1">INDEX($W$15:$X$17,MATCH(X$20,$V$15:$V$17,0),MATCH($V21,$W$14:$X$14,0))*INDEX($W$11:$X$12,MATCH($W21,$V$11:$V$12,0),MATCH($V21,$W$10:$X$10,0))</f>
        <v>0.39970894999251749</v>
      </c>
      <c r="Y21" s="476">
        <f t="shared" si="1"/>
        <v>0</v>
      </c>
      <c r="Z21" s="476">
        <f t="shared" si="1"/>
        <v>0</v>
      </c>
      <c r="AC21" s="106"/>
      <c r="AD21" s="106"/>
      <c r="AH21" s="351"/>
      <c r="AI21" s="351"/>
    </row>
    <row r="22" spans="1:36" ht="14.4" thickBot="1">
      <c r="B22" s="303"/>
      <c r="C22" s="304">
        <v>2007</v>
      </c>
      <c r="D22" s="305">
        <v>2008</v>
      </c>
      <c r="E22" s="305">
        <v>2009</v>
      </c>
      <c r="F22" s="305">
        <v>2010</v>
      </c>
      <c r="G22" s="305">
        <v>2011</v>
      </c>
      <c r="H22" s="305">
        <v>2012</v>
      </c>
      <c r="I22" s="305">
        <v>2013</v>
      </c>
      <c r="J22" s="305">
        <v>2014</v>
      </c>
      <c r="K22" s="305">
        <v>2015</v>
      </c>
      <c r="L22" s="305">
        <v>2016</v>
      </c>
      <c r="M22" s="306">
        <v>2017</v>
      </c>
      <c r="N22" s="307">
        <v>2018</v>
      </c>
      <c r="O22" s="307">
        <v>2019</v>
      </c>
      <c r="P22" t="s">
        <v>932</v>
      </c>
      <c r="V22" s="127" t="s">
        <v>735</v>
      </c>
      <c r="W22" s="106" t="s">
        <v>740</v>
      </c>
      <c r="X22" s="476">
        <f t="shared" ref="X22:Z24" si="2">INDEX($W$15:$X$17,MATCH(X$20,$V$15:$V$17,0),MATCH($V22,$W$14:$X$14,0))*INDEX($W$11:$X$12,MATCH($W22,$V$11:$V$12,0),MATCH($V22,$W$10:$X$10,0))</f>
        <v>0.30432000000000003</v>
      </c>
      <c r="Y22" s="476">
        <f t="shared" si="2"/>
        <v>0</v>
      </c>
      <c r="Z22" s="476">
        <f t="shared" si="2"/>
        <v>0</v>
      </c>
      <c r="AC22" s="106"/>
      <c r="AD22" s="106"/>
      <c r="AH22" s="351"/>
      <c r="AI22" s="351"/>
    </row>
    <row r="23" spans="1:36" ht="13.8">
      <c r="A23" s="106" t="s">
        <v>759</v>
      </c>
      <c r="B23" s="589" t="s">
        <v>857</v>
      </c>
      <c r="C23" s="477">
        <f>IFERROR('Energy balance'!C5*'Data manipulation'!$Q23,0)</f>
        <v>0</v>
      </c>
      <c r="D23" s="477">
        <f>IFERROR('Energy balance'!D5*'Data manipulation'!$Q23,0)</f>
        <v>0</v>
      </c>
      <c r="E23" s="477">
        <f>IFERROR('Energy balance'!E5*'Data manipulation'!$Q23,0)</f>
        <v>0</v>
      </c>
      <c r="F23" s="597">
        <f>IFERROR(Raw_Data!D12,0)</f>
        <v>41537.841999999997</v>
      </c>
      <c r="G23" s="597">
        <f>IFERROR(Raw_Data!K12,0)</f>
        <v>36247.555</v>
      </c>
      <c r="H23" s="597">
        <f>IFERROR(Raw_Data!R12,0)</f>
        <v>31476.024000000001</v>
      </c>
      <c r="I23" s="597">
        <f>IFERROR(Raw_Data!Y12,0)</f>
        <v>28480.179</v>
      </c>
      <c r="J23" s="597">
        <f>IFERROR(Raw_Data!AF12,0)</f>
        <v>23980.505000000001</v>
      </c>
      <c r="K23" s="597">
        <f>IFERROR(Raw_Data!AM12,0)</f>
        <v>23740.733</v>
      </c>
      <c r="L23" s="597">
        <f>IFERROR(Raw_Data!AT12,0)</f>
        <v>21756.46</v>
      </c>
      <c r="M23" s="597">
        <f>IFERROR(Raw_Data!BA12,0)</f>
        <v>20949.705000000002</v>
      </c>
      <c r="N23" s="597">
        <f>IFERROR(Raw_Data!BH12,0)</f>
        <v>20619.144</v>
      </c>
      <c r="O23" s="597">
        <f>IFERROR(Raw_Data!BO12,0)</f>
        <v>14453.804</v>
      </c>
      <c r="P23">
        <f t="shared" ref="P23:P28" si="3">O23/(O107+O86+O65+O44+O23)</f>
        <v>1</v>
      </c>
      <c r="S23" s="598"/>
      <c r="V23" s="106" t="s">
        <v>734</v>
      </c>
      <c r="W23" s="106" t="s">
        <v>741</v>
      </c>
      <c r="X23" s="476">
        <f t="shared" si="2"/>
        <v>0.28029105000748261</v>
      </c>
      <c r="Y23" s="476">
        <f t="shared" si="2"/>
        <v>0</v>
      </c>
      <c r="Z23" s="476">
        <f t="shared" si="2"/>
        <v>0</v>
      </c>
      <c r="AH23" s="351"/>
      <c r="AI23" s="351"/>
    </row>
    <row r="24" spans="1:36" ht="13.8">
      <c r="A24" s="106" t="s">
        <v>759</v>
      </c>
      <c r="B24" s="589" t="s">
        <v>80</v>
      </c>
      <c r="C24" s="478">
        <f>IFERROR('Energy balance'!C6*'Data manipulation'!$Q24,0)</f>
        <v>0</v>
      </c>
      <c r="D24" s="478">
        <f>IFERROR('Energy balance'!D6*'Data manipulation'!$Q24,0)</f>
        <v>0</v>
      </c>
      <c r="E24" s="478">
        <f>IFERROR('Energy balance'!E6*'Data manipulation'!$Q24,0)</f>
        <v>0</v>
      </c>
      <c r="F24" s="597">
        <f>IFERROR(Raw_Data!D13,0)</f>
        <v>840518.70299999998</v>
      </c>
      <c r="G24" s="597">
        <f>IFERROR(Raw_Data!K13,0)</f>
        <v>649373.11699999997</v>
      </c>
      <c r="H24" s="597">
        <f>IFERROR(Raw_Data!R13,0)</f>
        <v>725012.73499999999</v>
      </c>
      <c r="I24" s="597">
        <f>IFERROR(Raw_Data!Y13,0)</f>
        <v>768904.68700000003</v>
      </c>
      <c r="J24" s="597">
        <f>IFERROR(Raw_Data!AF13,0)</f>
        <v>609351.34199999995</v>
      </c>
      <c r="K24" s="597">
        <f>IFERROR(Raw_Data!AM13,0)</f>
        <v>670193.98400000005</v>
      </c>
      <c r="L24" s="597">
        <f>IFERROR(Raw_Data!AT13,0)</f>
        <v>751759.625</v>
      </c>
      <c r="M24" s="597">
        <f>IFERROR(Raw_Data!BA13,0)</f>
        <v>720706.64800000004</v>
      </c>
      <c r="N24" s="597">
        <f>IFERROR(Raw_Data!BH13,0)</f>
        <v>735319.29299999995</v>
      </c>
      <c r="O24" s="597">
        <f>IFERROR(Raw_Data!BO13,0)</f>
        <v>733740.78899999999</v>
      </c>
      <c r="P24">
        <f t="shared" si="3"/>
        <v>0.78308632957832913</v>
      </c>
      <c r="S24" s="599"/>
      <c r="V24" s="127" t="s">
        <v>735</v>
      </c>
      <c r="W24" s="106" t="s">
        <v>741</v>
      </c>
      <c r="X24" s="476">
        <f t="shared" si="2"/>
        <v>1.5679999999999999E-2</v>
      </c>
      <c r="Y24" s="476">
        <f t="shared" si="2"/>
        <v>0</v>
      </c>
      <c r="Z24" s="476">
        <f t="shared" si="2"/>
        <v>0</v>
      </c>
      <c r="AH24" s="351"/>
      <c r="AI24" s="351"/>
    </row>
    <row r="25" spans="1:36" ht="13.8">
      <c r="A25" s="106" t="s">
        <v>759</v>
      </c>
      <c r="B25" s="589" t="s">
        <v>856</v>
      </c>
      <c r="C25" s="478">
        <f>IFERROR('Energy balance'!C7*'Data manipulation'!$Q25,0)</f>
        <v>0</v>
      </c>
      <c r="D25" s="478">
        <f>IFERROR('Energy balance'!D7*'Data manipulation'!$Q25,0)</f>
        <v>0</v>
      </c>
      <c r="E25" s="478">
        <f>IFERROR('Energy balance'!E7*'Data manipulation'!$Q25,0)</f>
        <v>0</v>
      </c>
      <c r="F25" s="597">
        <f>IFERROR(Raw_Data!D14,0)</f>
        <v>30866.179</v>
      </c>
      <c r="G25" s="597">
        <f>IFERROR(Raw_Data!K14,0)</f>
        <v>27398.664000000001</v>
      </c>
      <c r="H25" s="597">
        <f>IFERROR(Raw_Data!R14,0)</f>
        <v>25519.585999999999</v>
      </c>
      <c r="I25" s="597">
        <f>IFERROR(Raw_Data!Y14,0)</f>
        <v>32085.218000000001</v>
      </c>
      <c r="J25" s="597">
        <f>IFERROR(Raw_Data!AF14,0)</f>
        <v>25781.713</v>
      </c>
      <c r="K25" s="597">
        <f>IFERROR(Raw_Data!AM14,0)</f>
        <v>21665.96</v>
      </c>
      <c r="L25" s="597">
        <f>IFERROR(Raw_Data!AT14,0)</f>
        <v>27530.704000000002</v>
      </c>
      <c r="M25" s="597">
        <f>IFERROR(Raw_Data!BA14,0)</f>
        <v>20350.311000000002</v>
      </c>
      <c r="N25" s="597">
        <f>IFERROR(Raw_Data!BH14,0)</f>
        <v>30792.31</v>
      </c>
      <c r="O25" s="597">
        <f>IFERROR(Raw_Data!BO14,0)</f>
        <v>28007.361000000001</v>
      </c>
      <c r="P25">
        <f t="shared" si="3"/>
        <v>0.84995425109729084</v>
      </c>
      <c r="S25" s="599"/>
      <c r="X25" s="476"/>
    </row>
    <row r="26" spans="1:36" ht="13.8">
      <c r="A26" s="106" t="s">
        <v>759</v>
      </c>
      <c r="B26" s="589" t="s">
        <v>855</v>
      </c>
      <c r="C26" s="479">
        <f>IFERROR('Energy balance'!C8*'Data manipulation'!$Q26,0)</f>
        <v>0</v>
      </c>
      <c r="D26" s="479">
        <f>IFERROR('Energy balance'!D8*'Data manipulation'!$Q26,0)</f>
        <v>0</v>
      </c>
      <c r="E26" s="479">
        <f>IFERROR('Energy balance'!E8*'Data manipulation'!$Q26,0)</f>
        <v>0</v>
      </c>
      <c r="F26" s="597">
        <f>IFERROR(Raw_Data!D15,0)</f>
        <v>528774.55200000003</v>
      </c>
      <c r="G26" s="597">
        <f>IFERROR(Raw_Data!K15,0)</f>
        <v>424603.68699999998</v>
      </c>
      <c r="H26" s="597">
        <f>IFERROR(Raw_Data!R15,0)</f>
        <v>453503.58</v>
      </c>
      <c r="I26" s="597">
        <f>IFERROR(Raw_Data!Y15,0)</f>
        <v>524524.77599999995</v>
      </c>
      <c r="J26" s="597">
        <f>IFERROR(Raw_Data!AF15,0)</f>
        <v>445259.50699999998</v>
      </c>
      <c r="K26" s="597">
        <f>IFERROR(Raw_Data!AM15,0)</f>
        <v>419117.08100000001</v>
      </c>
      <c r="L26" s="597">
        <f>IFERROR(Raw_Data!AT15,0)</f>
        <v>413960.451</v>
      </c>
      <c r="M26" s="597">
        <f>IFERROR(Raw_Data!BA15,0)</f>
        <v>403282.68400000001</v>
      </c>
      <c r="N26" s="597">
        <f>IFERROR(Raw_Data!BH15,0)</f>
        <v>360771.79700000002</v>
      </c>
      <c r="O26" s="597">
        <f>IFERROR(Raw_Data!BO15,0)</f>
        <v>417606.283</v>
      </c>
      <c r="P26">
        <f t="shared" si="3"/>
        <v>0.84217325936770249</v>
      </c>
      <c r="Q26" s="106"/>
      <c r="S26" s="599"/>
      <c r="V26" s="187"/>
      <c r="W26" s="187"/>
      <c r="X26" s="187"/>
      <c r="Y26" s="187"/>
      <c r="Z26" s="187"/>
      <c r="AA26" s="187"/>
      <c r="AB26" s="187"/>
      <c r="AC26" s="187"/>
      <c r="AD26" s="187"/>
      <c r="AE26" s="187"/>
      <c r="AF26" s="187"/>
      <c r="AG26" s="187"/>
      <c r="AH26" s="187"/>
      <c r="AI26" s="187"/>
      <c r="AJ26" s="187"/>
    </row>
    <row r="27" spans="1:36" ht="13.8">
      <c r="A27" s="106" t="s">
        <v>759</v>
      </c>
      <c r="B27" s="589" t="s">
        <v>212</v>
      </c>
      <c r="C27" s="479">
        <f>IFERROR('Energy balance'!C9*'Data manipulation'!$Q27,0)</f>
        <v>0</v>
      </c>
      <c r="D27" s="479">
        <f>IFERROR('Energy balance'!D9*'Data manipulation'!$Q27,0)</f>
        <v>0</v>
      </c>
      <c r="E27" s="479">
        <f>IFERROR('Energy balance'!E9*'Data manipulation'!$Q27,0)</f>
        <v>0</v>
      </c>
      <c r="F27" s="610">
        <f>IFERROR('Energy balance'!F9*'Data manipulation'!$Q27,0)</f>
        <v>0</v>
      </c>
      <c r="G27" s="610">
        <f>IFERROR('Energy balance'!G9*'Data manipulation'!$Q27,0)</f>
        <v>0</v>
      </c>
      <c r="H27" s="610">
        <f>IFERROR('Energy balance'!H9*'Data manipulation'!$Q27,0)</f>
        <v>0</v>
      </c>
      <c r="I27" s="610">
        <f>IFERROR('Energy balance'!I9*'Data manipulation'!$Q27,0)</f>
        <v>0</v>
      </c>
      <c r="J27" s="610">
        <f>IFERROR('Energy balance'!J9*'Data manipulation'!$Q27,0)</f>
        <v>0</v>
      </c>
      <c r="K27" s="610">
        <f>IFERROR('Energy balance'!K9*'Data manipulation'!$Q27,0)</f>
        <v>0</v>
      </c>
      <c r="L27" s="610">
        <f>IFERROR('Energy balance'!L9*'Data manipulation'!$Q27,0)</f>
        <v>0</v>
      </c>
      <c r="M27" s="610">
        <f>IFERROR('Energy balance'!M9*'Data manipulation'!$Q27,0)</f>
        <v>0</v>
      </c>
      <c r="N27" s="610">
        <f>IFERROR('Energy balance'!N9*'Data manipulation'!$Q27,0)</f>
        <v>0</v>
      </c>
      <c r="O27" s="610">
        <f>IFERROR('Energy balance'!O9*'Data manipulation'!$Q27,0)</f>
        <v>0</v>
      </c>
      <c r="P27">
        <f t="shared" si="3"/>
        <v>0</v>
      </c>
      <c r="Q27" s="106"/>
      <c r="S27" s="599"/>
      <c r="V27" s="106" t="s">
        <v>753</v>
      </c>
    </row>
    <row r="28" spans="1:36" ht="13.8">
      <c r="A28" s="106" t="s">
        <v>759</v>
      </c>
      <c r="B28" s="589" t="s">
        <v>854</v>
      </c>
      <c r="C28" s="479">
        <f>IFERROR('Energy balance'!C10*'Data manipulation'!$Q28,0)</f>
        <v>0</v>
      </c>
      <c r="D28" s="479">
        <f>IFERROR('Energy balance'!D10*'Data manipulation'!$Q28,0)</f>
        <v>0</v>
      </c>
      <c r="E28" s="479">
        <f>IFERROR('Energy balance'!E10*'Data manipulation'!$Q28,0)</f>
        <v>0</v>
      </c>
      <c r="F28" s="597">
        <f>IFERROR(Raw_Data!D17,0)</f>
        <v>497859.80599999998</v>
      </c>
      <c r="G28" s="597">
        <f>IFERROR(Raw_Data!K17,0)</f>
        <v>397161.25900000002</v>
      </c>
      <c r="H28" s="597">
        <f>IFERROR(Raw_Data!R17,0)</f>
        <v>427936.65600000002</v>
      </c>
      <c r="I28" s="597">
        <f>IFERROR(Raw_Data!Y17,0)</f>
        <v>492390.79300000001</v>
      </c>
      <c r="J28" s="597">
        <f>IFERROR(Raw_Data!AF17,0)</f>
        <v>419513.89799999999</v>
      </c>
      <c r="K28" s="597">
        <f>IFERROR(Raw_Data!AM17,0)</f>
        <v>397364.44699999999</v>
      </c>
      <c r="L28" s="597">
        <f>IFERROR(Raw_Data!AT17,0)</f>
        <v>386369.57199999999</v>
      </c>
      <c r="M28" s="597">
        <f>IFERROR(Raw_Data!BA17,0)</f>
        <v>382979.01500000001</v>
      </c>
      <c r="N28" s="597">
        <f>IFERROR(Raw_Data!BH17,0)</f>
        <v>330026.49900000001</v>
      </c>
      <c r="O28" s="597">
        <f>IFERROR(Raw_Data!BO17,0)</f>
        <v>389645.59499999997</v>
      </c>
      <c r="P28">
        <f t="shared" si="3"/>
        <v>0.84995488916768336</v>
      </c>
      <c r="Q28" s="106"/>
      <c r="S28" s="599"/>
    </row>
    <row r="29" spans="1:36" ht="13.8">
      <c r="A29" s="106" t="s">
        <v>759</v>
      </c>
      <c r="B29" s="589" t="s">
        <v>852</v>
      </c>
      <c r="C29" s="479">
        <f>IFERROR('Energy balance'!C12*'Data manipulation'!$Q29,0)</f>
        <v>0</v>
      </c>
      <c r="D29" s="479">
        <f>IFERROR('Energy balance'!D12*'Data manipulation'!$Q29,0)</f>
        <v>0</v>
      </c>
      <c r="E29" s="479">
        <f>IFERROR('Energy balance'!E12*'Data manipulation'!$Q29,0)</f>
        <v>0</v>
      </c>
      <c r="F29" s="597">
        <f>IFERROR(Raw_Data!D19,0)</f>
        <v>2533.384</v>
      </c>
      <c r="G29" s="597">
        <f>IFERROR(Raw_Data!K19,0)</f>
        <v>3709.91</v>
      </c>
      <c r="H29" s="597">
        <f>IFERROR(Raw_Data!R19,0)</f>
        <v>3634.4</v>
      </c>
      <c r="I29" s="597">
        <f>IFERROR(Raw_Data!Y19,0)</f>
        <v>3673.76</v>
      </c>
      <c r="J29" s="597">
        <f>IFERROR(Raw_Data!AF19,0)</f>
        <v>3239.8919999999998</v>
      </c>
      <c r="K29" s="597">
        <f>IFERROR(Raw_Data!AM19,0)</f>
        <v>3469.1419999999998</v>
      </c>
      <c r="L29" s="597">
        <f>IFERROR(Raw_Data!AT19,0)</f>
        <v>3466.1289999999999</v>
      </c>
      <c r="M29" s="597">
        <f>IFERROR(Raw_Data!BA19,0)</f>
        <v>3540.799</v>
      </c>
      <c r="N29" s="597">
        <f>IFERROR(Raw_Data!BH19,0)</f>
        <v>4002.5740000000001</v>
      </c>
      <c r="O29" s="597">
        <f>IFERROR(Raw_Data!BO19,0)</f>
        <v>3826.6410000000001</v>
      </c>
      <c r="P29">
        <f>O29/(O114+O92+O71+O50+O29)</f>
        <v>0.13100000000000001</v>
      </c>
      <c r="Q29" s="106"/>
      <c r="S29" s="600"/>
      <c r="U29" s="196"/>
      <c r="V29" s="169">
        <v>1.94169475643413</v>
      </c>
      <c r="W29" s="465" t="s">
        <v>751</v>
      </c>
    </row>
    <row r="30" spans="1:36" ht="13.8">
      <c r="A30" s="106" t="s">
        <v>759</v>
      </c>
      <c r="B30" s="589" t="s">
        <v>851</v>
      </c>
      <c r="C30" s="478">
        <f>IFERROR('Energy balance'!C13*'Data manipulation'!$Q30,0)</f>
        <v>0</v>
      </c>
      <c r="D30" s="478">
        <f>IFERROR('Energy balance'!D13*'Data manipulation'!$Q30,0)</f>
        <v>0</v>
      </c>
      <c r="E30" s="478">
        <f>IFERROR('Energy balance'!E13*'Data manipulation'!$Q30,0)</f>
        <v>0</v>
      </c>
      <c r="F30" s="597">
        <f>IFERROR(Raw_Data!D20,0)</f>
        <v>19254.645</v>
      </c>
      <c r="G30" s="597">
        <f>IFERROR(Raw_Data!K20,0)</f>
        <v>21644.031999999999</v>
      </c>
      <c r="H30" s="597">
        <f>IFERROR(Raw_Data!R20,0)</f>
        <v>24786.407999999999</v>
      </c>
      <c r="I30" s="597">
        <f>IFERROR(Raw_Data!Y20,0)</f>
        <v>27896.795999999998</v>
      </c>
      <c r="J30" s="597">
        <f>IFERROR(Raw_Data!AF20,0)</f>
        <v>29357.4</v>
      </c>
      <c r="K30" s="597">
        <f>IFERROR(Raw_Data!AM20,0)</f>
        <v>32175.78</v>
      </c>
      <c r="L30" s="597">
        <f>IFERROR(Raw_Data!AT20,0)</f>
        <v>34791.120000000003</v>
      </c>
      <c r="M30" s="597">
        <f>IFERROR(Raw_Data!BA20,0)</f>
        <v>37668.54</v>
      </c>
      <c r="N30" s="597">
        <f>IFERROR(Raw_Data!BH20,0)</f>
        <v>40458.6</v>
      </c>
      <c r="O30" s="597">
        <f>IFERROR(Raw_Data!BO20,0)</f>
        <v>43784.65</v>
      </c>
      <c r="P30">
        <f>O30/(O115+O93+O72+O51+O30)</f>
        <v>0.91</v>
      </c>
      <c r="Q30" s="106"/>
      <c r="S30" s="600"/>
      <c r="V30" s="169">
        <v>2.3104234107113255</v>
      </c>
      <c r="W30" s="191" t="s">
        <v>752</v>
      </c>
    </row>
    <row r="31" spans="1:36" ht="13.8">
      <c r="A31" s="106" t="s">
        <v>759</v>
      </c>
      <c r="B31" s="589" t="s">
        <v>850</v>
      </c>
      <c r="C31" s="478">
        <f>IFERROR('Energy balance'!C14*'Data manipulation'!$Q31,0)</f>
        <v>0</v>
      </c>
      <c r="D31" s="478">
        <f>IFERROR('Energy balance'!D14*'Data manipulation'!$Q31,0)</f>
        <v>0</v>
      </c>
      <c r="E31" s="478">
        <f>IFERROR('Energy balance'!E14*'Data manipulation'!$Q31,0)</f>
        <v>0</v>
      </c>
      <c r="F31" s="597">
        <f>IFERROR(Raw_Data!D21,0)</f>
        <v>266161.30300000001</v>
      </c>
      <c r="G31" s="597">
        <f>IFERROR(Raw_Data!K21,0)</f>
        <v>222600.91500000001</v>
      </c>
      <c r="H31" s="597">
        <f>IFERROR(Raw_Data!R21,0)</f>
        <v>271868.84299999999</v>
      </c>
      <c r="I31" s="597">
        <f>IFERROR(Raw_Data!Y21,0)</f>
        <v>278865.77600000001</v>
      </c>
      <c r="J31" s="597">
        <f>IFERROR(Raw_Data!AF21,0)</f>
        <v>206771.351</v>
      </c>
      <c r="K31" s="597">
        <f>IFERROR(Raw_Data!AM21,0)</f>
        <v>208035.93400000001</v>
      </c>
      <c r="L31" s="597">
        <f>IFERROR(Raw_Data!AT21,0)</f>
        <v>195344.91699999999</v>
      </c>
      <c r="M31" s="597">
        <f>IFERROR(Raw_Data!BA21,0)</f>
        <v>199800.33199999999</v>
      </c>
      <c r="N31" s="597">
        <f>IFERROR(Raw_Data!BH21,0)</f>
        <v>209755.32500000001</v>
      </c>
      <c r="O31" s="597">
        <f>IFERROR(Raw_Data!BO21,0)</f>
        <v>217163.94699999999</v>
      </c>
      <c r="P31">
        <f>O31/(O116+O93+O73+O52+O31)</f>
        <v>0.8685376668773046</v>
      </c>
      <c r="Q31" s="106"/>
      <c r="S31" s="599"/>
    </row>
    <row r="32" spans="1:36" ht="13.8">
      <c r="A32" s="106" t="s">
        <v>759</v>
      </c>
      <c r="B32" s="589" t="s">
        <v>849</v>
      </c>
      <c r="C32" s="478">
        <f>IFERROR('Energy balance'!C15*'Data manipulation'!$Q32,0)</f>
        <v>0</v>
      </c>
      <c r="D32" s="478">
        <f>IFERROR('Energy balance'!D15*'Data manipulation'!$Q32,0)</f>
        <v>0</v>
      </c>
      <c r="E32" s="478">
        <f>IFERROR('Energy balance'!E15*'Data manipulation'!$Q32,0)</f>
        <v>0</v>
      </c>
      <c r="F32" s="597">
        <f>IFERROR(Raw_Data!D22,0)</f>
        <v>5540.683</v>
      </c>
      <c r="G32" s="597">
        <f>IFERROR(Raw_Data!K22,0)</f>
        <v>6232.0330000000004</v>
      </c>
      <c r="H32" s="597">
        <f>IFERROR(Raw_Data!R22,0)</f>
        <v>7658.5360000000001</v>
      </c>
      <c r="I32" s="597">
        <f>IFERROR(Raw_Data!Y22,0)</f>
        <v>8662.4210000000003</v>
      </c>
      <c r="J32" s="597">
        <f>IFERROR(Raw_Data!AF22,0)</f>
        <v>9357.5460000000003</v>
      </c>
      <c r="K32" s="597">
        <f>IFERROR(Raw_Data!AM22,0)</f>
        <v>10094.69</v>
      </c>
      <c r="L32" s="597">
        <f>IFERROR(Raw_Data!AT22,0)</f>
        <v>11038.137000000001</v>
      </c>
      <c r="M32" s="597">
        <f>IFERROR(Raw_Data!BA22,0)</f>
        <v>11427.138000000001</v>
      </c>
      <c r="N32" s="597">
        <f>IFERROR(Raw_Data!BH22,0)</f>
        <v>10133.153</v>
      </c>
      <c r="O32" s="597">
        <f>IFERROR(Raw_Data!BO22,0)</f>
        <v>10217.477000000001</v>
      </c>
      <c r="P32">
        <f t="shared" ref="P32:P37" si="4">O32/(O117+O95+O74+O53+O32)</f>
        <v>0.62423696901248338</v>
      </c>
      <c r="Q32" s="106"/>
      <c r="S32" s="599"/>
      <c r="V32" s="9">
        <f>SUM(Dem!F41:H44)</f>
        <v>3558.0000000000005</v>
      </c>
      <c r="W32" s="106" t="s">
        <v>755</v>
      </c>
    </row>
    <row r="33" spans="1:25" ht="13.8">
      <c r="A33" s="106" t="s">
        <v>759</v>
      </c>
      <c r="B33" s="589" t="s">
        <v>79</v>
      </c>
      <c r="C33" s="478">
        <f>IFERROR('Energy balance'!C16*'Data manipulation'!$Q33,0)</f>
        <v>0</v>
      </c>
      <c r="D33" s="478">
        <f>IFERROR('Energy balance'!D16*'Data manipulation'!$Q33,0)</f>
        <v>0</v>
      </c>
      <c r="E33" s="478">
        <f>IFERROR('Energy balance'!E16*'Data manipulation'!$Q33,0)</f>
        <v>0</v>
      </c>
      <c r="F33" s="597">
        <f>IFERROR(Raw_Data!D23,0)</f>
        <v>40809.599999999999</v>
      </c>
      <c r="G33" s="597">
        <f>IFERROR(Raw_Data!K23,0)</f>
        <v>32947.919999999998</v>
      </c>
      <c r="H33" s="597">
        <f>IFERROR(Raw_Data!R23,0)</f>
        <v>31564.799999999999</v>
      </c>
      <c r="I33" s="597">
        <f>IFERROR(Raw_Data!Y23,0)</f>
        <v>33742.648999999998</v>
      </c>
      <c r="J33" s="597">
        <f>IFERROR(Raw_Data!AF23,0)</f>
        <v>32823.760000000002</v>
      </c>
      <c r="K33" s="597">
        <f>IFERROR(Raw_Data!AM23,0)</f>
        <v>32233.405999999999</v>
      </c>
      <c r="L33" s="597">
        <f>IFERROR(Raw_Data!AT23,0)</f>
        <v>30419.428</v>
      </c>
      <c r="M33" s="597">
        <f>IFERROR(Raw_Data!BA23,0)</f>
        <v>29537.284</v>
      </c>
      <c r="N33" s="597">
        <f>IFERROR(Raw_Data!BH23,0)</f>
        <v>26827.952000000001</v>
      </c>
      <c r="O33" s="597">
        <f>IFERROR(Raw_Data!BO23,0)</f>
        <v>27214.437999999998</v>
      </c>
      <c r="P33">
        <f t="shared" si="4"/>
        <v>5.9561132910678154E-2</v>
      </c>
      <c r="Q33" s="106"/>
      <c r="S33" s="599"/>
      <c r="V33" s="9">
        <f>SUM(Dem!F41:H41)</f>
        <v>1422.1644440733771</v>
      </c>
      <c r="W33" s="106" t="s">
        <v>769</v>
      </c>
    </row>
    <row r="34" spans="1:25" ht="13.8">
      <c r="A34" s="106" t="s">
        <v>759</v>
      </c>
      <c r="B34" s="589" t="s">
        <v>219</v>
      </c>
      <c r="C34" s="478">
        <f>IFERROR('Energy balance'!C17*'Data manipulation'!$Q34,0)</f>
        <v>0</v>
      </c>
      <c r="D34" s="478">
        <f>IFERROR('Energy balance'!D17*'Data manipulation'!$Q34,0)</f>
        <v>0</v>
      </c>
      <c r="E34" s="478">
        <f>IFERROR('Energy balance'!E17*'Data manipulation'!$Q34,0)</f>
        <v>0</v>
      </c>
      <c r="F34" s="597">
        <f>IFERROR(Raw_Data!D24,0)</f>
        <v>177015.73699999999</v>
      </c>
      <c r="G34" s="597">
        <f>IFERROR(Raw_Data!K24,0)</f>
        <v>145447.095</v>
      </c>
      <c r="H34" s="597">
        <f>IFERROR(Raw_Data!R24,0)</f>
        <v>126227.336</v>
      </c>
      <c r="I34" s="597">
        <f>IFERROR(Raw_Data!Y24,0)</f>
        <v>170625.12400000001</v>
      </c>
      <c r="J34" s="597">
        <f>IFERROR(Raw_Data!AF24,0)</f>
        <v>139442.943</v>
      </c>
      <c r="K34" s="597">
        <f>IFERROR(Raw_Data!AM24,0)</f>
        <v>156121.095</v>
      </c>
      <c r="L34" s="597">
        <f>IFERROR(Raw_Data!AT24,0)</f>
        <v>169982.56599999999</v>
      </c>
      <c r="M34" s="597">
        <f>IFERROR(Raw_Data!BA24,0)</f>
        <v>169382.49900000001</v>
      </c>
      <c r="N34" s="597">
        <f>IFERROR(Raw_Data!BH24,0)</f>
        <v>139234.01800000001</v>
      </c>
      <c r="O34" s="597">
        <f>IFERROR(Raw_Data!BO24,0)</f>
        <v>139293.432</v>
      </c>
      <c r="P34">
        <f t="shared" si="4"/>
        <v>0.90988530854600924</v>
      </c>
      <c r="Q34" s="106"/>
      <c r="S34" s="599"/>
      <c r="V34" s="9">
        <f>SUM(Dem!F42:H42)</f>
        <v>1082.7705600000002</v>
      </c>
      <c r="W34" s="106" t="s">
        <v>771</v>
      </c>
    </row>
    <row r="35" spans="1:25" ht="13.8">
      <c r="A35" s="106" t="s">
        <v>759</v>
      </c>
      <c r="B35" s="604" t="s">
        <v>890</v>
      </c>
      <c r="C35" s="478">
        <f>IFERROR('Energy balance'!C18*'Data manipulation'!$Q106,0)</f>
        <v>0</v>
      </c>
      <c r="D35" s="478">
        <f>IFERROR('Energy balance'!D18*'Data manipulation'!$Q106,0)</f>
        <v>0</v>
      </c>
      <c r="E35" s="540">
        <f>IFERROR('Energy balance'!E18*'Data manipulation'!$Q106,0)</f>
        <v>0</v>
      </c>
      <c r="F35" s="610">
        <f>F26-F25</f>
        <v>497908.37300000002</v>
      </c>
      <c r="G35" s="610">
        <f t="shared" ref="G35:N35" si="5">G26-G25</f>
        <v>397205.02299999999</v>
      </c>
      <c r="H35" s="610">
        <f t="shared" si="5"/>
        <v>427983.99400000001</v>
      </c>
      <c r="I35" s="610">
        <f t="shared" si="5"/>
        <v>492439.55799999996</v>
      </c>
      <c r="J35" s="610">
        <f t="shared" si="5"/>
        <v>419477.79399999999</v>
      </c>
      <c r="K35" s="610">
        <f t="shared" si="5"/>
        <v>397451.12099999998</v>
      </c>
      <c r="L35" s="610">
        <f t="shared" si="5"/>
        <v>386429.74699999997</v>
      </c>
      <c r="M35" s="610">
        <f t="shared" si="5"/>
        <v>382932.37300000002</v>
      </c>
      <c r="N35" s="610">
        <f t="shared" si="5"/>
        <v>329979.48700000002</v>
      </c>
      <c r="O35" s="610">
        <f>O26-O25</f>
        <v>389598.92200000002</v>
      </c>
      <c r="P35">
        <f t="shared" si="4"/>
        <v>0.84161938715543372</v>
      </c>
      <c r="S35" s="599"/>
      <c r="V35" s="9">
        <f>SUM(Dem!F43:H43)</f>
        <v>997.27555592662316</v>
      </c>
      <c r="W35" s="106" t="s">
        <v>770</v>
      </c>
    </row>
    <row r="36" spans="1:25" ht="13.8">
      <c r="A36" s="106" t="s">
        <v>759</v>
      </c>
      <c r="B36" s="604" t="s">
        <v>960</v>
      </c>
      <c r="C36" s="478">
        <f>IFERROR('Energy balance'!C19*'Data manipulation'!$Q107,0)</f>
        <v>0</v>
      </c>
      <c r="D36" s="478">
        <f>IFERROR('Energy balance'!D19*'Data manipulation'!$Q107,0)</f>
        <v>0</v>
      </c>
      <c r="E36" s="478">
        <f>IFERROR('Energy balance'!E19*'Data manipulation'!$Q107,0)</f>
        <v>0</v>
      </c>
      <c r="F36" s="611">
        <f>F24+F32+F25</f>
        <v>876925.56499999994</v>
      </c>
      <c r="G36" s="611">
        <f t="shared" ref="G36:O36" si="6">G24+G32+G25</f>
        <v>683003.81400000001</v>
      </c>
      <c r="H36" s="611">
        <f t="shared" si="6"/>
        <v>758190.85699999996</v>
      </c>
      <c r="I36" s="611">
        <f t="shared" si="6"/>
        <v>809652.326</v>
      </c>
      <c r="J36" s="611">
        <f t="shared" si="6"/>
        <v>644490.60099999991</v>
      </c>
      <c r="K36" s="611">
        <f t="shared" si="6"/>
        <v>701954.63399999996</v>
      </c>
      <c r="L36" s="611">
        <f t="shared" si="6"/>
        <v>790328.46600000001</v>
      </c>
      <c r="M36" s="611">
        <f t="shared" si="6"/>
        <v>752484.09700000007</v>
      </c>
      <c r="N36" s="611">
        <f t="shared" si="6"/>
        <v>776244.75600000005</v>
      </c>
      <c r="O36" s="611">
        <f t="shared" si="6"/>
        <v>771965.62699999998</v>
      </c>
      <c r="P36">
        <f t="shared" si="4"/>
        <v>0.78635479286297427</v>
      </c>
      <c r="S36" s="599"/>
      <c r="V36" s="9">
        <f>SUM(Dem!F44:H44)</f>
        <v>55.789439999999999</v>
      </c>
      <c r="W36" s="106" t="s">
        <v>772</v>
      </c>
    </row>
    <row r="37" spans="1:25" ht="13.8">
      <c r="A37" s="106" t="s">
        <v>759</v>
      </c>
      <c r="B37" s="589" t="s">
        <v>853</v>
      </c>
      <c r="C37" s="479">
        <v>0</v>
      </c>
      <c r="D37" s="479">
        <v>0</v>
      </c>
      <c r="E37" s="479">
        <v>0</v>
      </c>
      <c r="F37" s="597">
        <f>IFERROR(Raw_Data!D18,0)</f>
        <v>294201.18</v>
      </c>
      <c r="G37" s="597">
        <f>IFERROR(Raw_Data!K18,0)</f>
        <v>254869.66</v>
      </c>
      <c r="H37" s="597">
        <f>IFERROR(Raw_Data!R18,0)</f>
        <v>308811.35200000001</v>
      </c>
      <c r="I37" s="597">
        <f>IFERROR(Raw_Data!Y18,0)</f>
        <v>320017.38699999999</v>
      </c>
      <c r="J37" s="597">
        <f>IFERROR(Raw_Data!AF18,0)</f>
        <v>249551.44699999999</v>
      </c>
      <c r="K37" s="597">
        <f>IFERROR(Raw_Data!AM18,0)</f>
        <v>254706.92</v>
      </c>
      <c r="L37" s="597">
        <f>IFERROR(Raw_Data!AT18,0)</f>
        <v>245830.11799999999</v>
      </c>
      <c r="M37" s="597">
        <f>IFERROR(Raw_Data!BA18,0)</f>
        <v>253579.981</v>
      </c>
      <c r="N37" s="597">
        <f>IFERROR(Raw_Data!BH18,0)</f>
        <v>265309.00300000003</v>
      </c>
      <c r="O37" s="597">
        <f>IFERROR(Raw_Data!BO18,0)</f>
        <v>276038.09299999999</v>
      </c>
      <c r="P37">
        <f t="shared" si="4"/>
        <v>0.79524036709475443</v>
      </c>
      <c r="Q37" s="656">
        <f>O37-O31-O30</f>
        <v>15089.496000000006</v>
      </c>
      <c r="S37" s="599"/>
      <c r="V37" s="106" t="s">
        <v>754</v>
      </c>
    </row>
    <row r="38" spans="1:25" ht="13.8">
      <c r="A38" s="106" t="s">
        <v>759</v>
      </c>
      <c r="B38" s="314"/>
      <c r="C38" s="478">
        <f>IFERROR('Energy balance'!C21*'Data manipulation'!$Q109,0)</f>
        <v>0</v>
      </c>
      <c r="D38" s="478">
        <f>IFERROR('Energy balance'!D21*'Data manipulation'!$Q109,0)</f>
        <v>0</v>
      </c>
      <c r="E38" s="479">
        <f>IFERROR('Energy balance'!E21*'Data manipulation'!$Q109,0)</f>
        <v>0</v>
      </c>
      <c r="F38" s="479">
        <f>IFERROR('Energy balance'!F21*'Data manipulation'!$Q109,0)</f>
        <v>0</v>
      </c>
      <c r="G38" s="479">
        <f>IFERROR('Energy balance'!G21*'Data manipulation'!$Q109,0)</f>
        <v>0</v>
      </c>
      <c r="H38" s="479">
        <f>IFERROR('Energy balance'!H21*'Data manipulation'!$Q109,0)</f>
        <v>0</v>
      </c>
      <c r="I38" s="480">
        <f>IFERROR('Energy balance'!I21*'Data manipulation'!$Q109,0)</f>
        <v>0</v>
      </c>
      <c r="J38" s="480">
        <f>IFERROR('Energy balance'!J21*'Data manipulation'!$Q109,0)</f>
        <v>0</v>
      </c>
      <c r="K38" s="480">
        <f>IFERROR('Energy balance'!K21*'Data manipulation'!$Q109,0)</f>
        <v>0</v>
      </c>
      <c r="L38" s="480">
        <f>IFERROR('Energy balance'!L21*'Data manipulation'!$Q109,0)</f>
        <v>0</v>
      </c>
      <c r="M38" s="481">
        <f>IFERROR('Energy balance'!M21*'Data manipulation'!$Q109,0)</f>
        <v>0</v>
      </c>
      <c r="N38" s="482">
        <f>IFERROR('Energy balance'!N21*'Data manipulation'!$Q109,0)</f>
        <v>0</v>
      </c>
      <c r="O38" s="482">
        <f>IFERROR('Energy balance'!O21*'Data manipulation'!$Q109,0)</f>
        <v>0</v>
      </c>
      <c r="S38" s="599"/>
      <c r="V38" s="9">
        <f>($V$33/V29+$V$34/$V$29+$V$35/V30+$V$36/$V$30)</f>
        <v>1745.8653667007479</v>
      </c>
      <c r="W38" s="106" t="s">
        <v>756</v>
      </c>
    </row>
    <row r="39" spans="1:25" ht="14.4" thickBot="1">
      <c r="A39" s="106" t="s">
        <v>759</v>
      </c>
      <c r="B39" s="326"/>
      <c r="C39" s="486">
        <f>IFERROR('Energy balance'!C22*'Data manipulation'!$Q110,0)</f>
        <v>0</v>
      </c>
      <c r="D39" s="486">
        <f>IFERROR('Energy balance'!D22*'Data manipulation'!$Q110,0)</f>
        <v>0</v>
      </c>
      <c r="E39" s="486">
        <f>IFERROR('Energy balance'!E22*'Data manipulation'!$Q110,0)</f>
        <v>0</v>
      </c>
      <c r="F39" s="486">
        <f>IFERROR('Energy balance'!F22*'Data manipulation'!$Q110,0)</f>
        <v>0</v>
      </c>
      <c r="G39" s="486">
        <v>0</v>
      </c>
      <c r="H39" s="486">
        <f>IFERROR('Energy balance'!H22*'Data manipulation'!$Q110,0)</f>
        <v>0</v>
      </c>
      <c r="I39" s="486">
        <f>IFERROR('Energy balance'!I22*'Data manipulation'!$Q110,0)</f>
        <v>0</v>
      </c>
      <c r="J39" s="486">
        <f>IFERROR('Energy balance'!J22*'Data manipulation'!$Q110,0)</f>
        <v>0</v>
      </c>
      <c r="K39" s="486">
        <f>IFERROR('Energy balance'!K22*'Data manipulation'!$Q110,0)</f>
        <v>0</v>
      </c>
      <c r="L39" s="486">
        <f>IFERROR('Energy balance'!L22*'Data manipulation'!$Q110,0)</f>
        <v>0</v>
      </c>
      <c r="M39" s="487">
        <f>IFERROR('Energy balance'!M22*'Data manipulation'!$Q110,0)</f>
        <v>0</v>
      </c>
      <c r="N39" s="488">
        <f>IFERROR('Energy balance'!N22*'Data manipulation'!$Q110,0)</f>
        <v>0</v>
      </c>
      <c r="O39" s="488">
        <f>IFERROR('Energy balance'!O22*'Data manipulation'!$Q110,0)</f>
        <v>0</v>
      </c>
      <c r="S39" s="601"/>
      <c r="V39" s="475">
        <f>ROUND((V33/V29)/V38,3)</f>
        <v>0.42</v>
      </c>
      <c r="W39" s="106" t="s">
        <v>779</v>
      </c>
      <c r="X39" s="106" t="s">
        <v>116</v>
      </c>
      <c r="Y39" s="106" t="s">
        <v>734</v>
      </c>
    </row>
    <row r="40" spans="1:25" ht="13.8">
      <c r="A40" s="106" t="s">
        <v>759</v>
      </c>
      <c r="B40" s="363" t="s">
        <v>106</v>
      </c>
      <c r="C40" s="364">
        <f t="shared" ref="C40:E40" si="7">SUM(C23:C39)</f>
        <v>0</v>
      </c>
      <c r="D40" s="364">
        <f t="shared" si="7"/>
        <v>0</v>
      </c>
      <c r="E40" s="364">
        <f t="shared" si="7"/>
        <v>0</v>
      </c>
      <c r="F40" s="609">
        <f>F23+F36+(F26-F25)+F29+F30+F31+F33+F34</f>
        <v>1922146.449</v>
      </c>
      <c r="G40" s="609">
        <f t="shared" ref="G40:O40" si="8">G23+G36+(G26-G25)+G29+G30+G31+G33+G34</f>
        <v>1542806.2639999997</v>
      </c>
      <c r="H40" s="609">
        <f t="shared" si="8"/>
        <v>1675732.662</v>
      </c>
      <c r="I40" s="609">
        <f t="shared" si="8"/>
        <v>1845376.1680000003</v>
      </c>
      <c r="J40" s="609">
        <f t="shared" si="8"/>
        <v>1499584.2459999998</v>
      </c>
      <c r="K40" s="609">
        <f t="shared" si="8"/>
        <v>1555181.845</v>
      </c>
      <c r="L40" s="609">
        <f t="shared" si="8"/>
        <v>1632518.8330000001</v>
      </c>
      <c r="M40" s="609">
        <f t="shared" si="8"/>
        <v>1596295.6290000002</v>
      </c>
      <c r="N40" s="609">
        <f t="shared" si="8"/>
        <v>1547121.8560000001</v>
      </c>
      <c r="O40" s="609">
        <f t="shared" si="8"/>
        <v>1607301.4610000001</v>
      </c>
      <c r="V40" s="475">
        <f>ROUND((V34/V29)/V38,3)</f>
        <v>0.31900000000000001</v>
      </c>
      <c r="W40" s="106" t="s">
        <v>779</v>
      </c>
      <c r="X40" s="106" t="s">
        <v>116</v>
      </c>
      <c r="Y40" s="106" t="s">
        <v>735</v>
      </c>
    </row>
    <row r="41" spans="1:25">
      <c r="F41" s="609"/>
      <c r="G41" s="609"/>
      <c r="H41" s="609"/>
      <c r="I41" s="609"/>
      <c r="J41" s="609"/>
      <c r="K41" s="609"/>
      <c r="L41" s="609"/>
      <c r="M41" s="609"/>
      <c r="N41" s="609"/>
      <c r="O41" s="609"/>
      <c r="V41" s="475">
        <f>ROUND((V35/V30)/V38,3)</f>
        <v>0.247</v>
      </c>
      <c r="W41" s="106" t="s">
        <v>779</v>
      </c>
      <c r="X41" s="106" t="s">
        <v>778</v>
      </c>
      <c r="Y41" s="106" t="s">
        <v>734</v>
      </c>
    </row>
    <row r="42" spans="1:25" ht="16.2" thickBot="1">
      <c r="B42" s="357" t="s">
        <v>278</v>
      </c>
      <c r="V42" s="475">
        <f>ROUND((V36/V30)/V38,3)</f>
        <v>1.4E-2</v>
      </c>
      <c r="W42" s="106" t="s">
        <v>779</v>
      </c>
      <c r="X42" s="106" t="s">
        <v>778</v>
      </c>
      <c r="Y42" s="106" t="s">
        <v>735</v>
      </c>
    </row>
    <row r="43" spans="1:25" ht="14.4" thickBot="1">
      <c r="B43" s="303"/>
      <c r="C43" s="304">
        <v>2007</v>
      </c>
      <c r="D43" s="305">
        <v>2008</v>
      </c>
      <c r="E43" s="305">
        <v>2009</v>
      </c>
      <c r="F43" s="305">
        <v>2010</v>
      </c>
      <c r="G43" s="305">
        <v>2011</v>
      </c>
      <c r="H43" s="305">
        <v>2012</v>
      </c>
      <c r="I43" s="305">
        <v>2013</v>
      </c>
      <c r="J43" s="305">
        <v>2014</v>
      </c>
      <c r="K43" s="305">
        <v>2015</v>
      </c>
      <c r="L43" s="305">
        <v>2016</v>
      </c>
      <c r="M43" s="306">
        <v>2017</v>
      </c>
      <c r="N43" s="307">
        <v>2018</v>
      </c>
      <c r="O43" s="307">
        <v>2019</v>
      </c>
      <c r="V43" s="522"/>
    </row>
    <row r="44" spans="1:25" ht="13.8">
      <c r="A44" s="106" t="s">
        <v>291</v>
      </c>
      <c r="B44" s="589" t="s">
        <v>857</v>
      </c>
      <c r="C44" s="477">
        <f>IFERROR('Energy balance'!C5*$Q115,0)</f>
        <v>0</v>
      </c>
      <c r="D44" s="477">
        <f>IFERROR('Energy balance'!D5*$Q115,0)</f>
        <v>0</v>
      </c>
      <c r="E44" s="477">
        <f>IFERROR('Energy balance'!E5*$Q115,0)</f>
        <v>0</v>
      </c>
      <c r="F44" s="477">
        <f>IFERROR(Raw_Data!F12,0)</f>
        <v>0</v>
      </c>
      <c r="G44" s="477">
        <f>IFERROR(Raw_Data!M12,0)</f>
        <v>0</v>
      </c>
      <c r="H44" s="477">
        <f>IFERROR(Raw_Data!T12,0)</f>
        <v>0</v>
      </c>
      <c r="I44" s="477">
        <f>IFERROR(Raw_Data!AA12,0)</f>
        <v>0</v>
      </c>
      <c r="J44" s="477">
        <f>IFERROR(Raw_Data!AH12,0)</f>
        <v>0</v>
      </c>
      <c r="K44" s="477">
        <f>IFERROR(Raw_Data!AO12,0)</f>
        <v>0</v>
      </c>
      <c r="L44" s="477">
        <f>IFERROR(Raw_Data!AV12,0)</f>
        <v>0</v>
      </c>
      <c r="M44" s="477">
        <f>IFERROR(Raw_Data!BC12,0)</f>
        <v>0</v>
      </c>
      <c r="N44" s="477">
        <f>IFERROR(Raw_Data!BJ12,0)</f>
        <v>0</v>
      </c>
      <c r="O44" s="477">
        <f>IFERROR(Raw_Data!BQ12,0)</f>
        <v>0</v>
      </c>
      <c r="P44">
        <f t="shared" ref="P44:P58" si="9">O44/(O107+O86+O65+O44+O23)</f>
        <v>0</v>
      </c>
      <c r="Q44" s="646"/>
      <c r="R44" s="647"/>
    </row>
    <row r="45" spans="1:25" ht="13.8">
      <c r="A45" s="106" t="s">
        <v>291</v>
      </c>
      <c r="B45" s="589" t="s">
        <v>80</v>
      </c>
      <c r="C45" s="478">
        <f>IFERROR('Energy balance'!C6*$Q116,0)</f>
        <v>0</v>
      </c>
      <c r="D45" s="478">
        <f>IFERROR('Energy balance'!D6*$Q116,0)</f>
        <v>0</v>
      </c>
      <c r="E45" s="478">
        <f>IFERROR('Energy balance'!E6*$Q116,0)</f>
        <v>0</v>
      </c>
      <c r="F45" s="477">
        <f>IFERROR(Raw_Data!F13,0)</f>
        <v>157968.584</v>
      </c>
      <c r="G45" s="477">
        <f>IFERROR(Raw_Data!M13,0)</f>
        <v>174544.87599999999</v>
      </c>
      <c r="H45" s="477">
        <f>IFERROR(Raw_Data!T13,0)</f>
        <v>176501.228</v>
      </c>
      <c r="I45" s="477">
        <f>IFERROR(Raw_Data!AA13,0)</f>
        <v>169438.43100000001</v>
      </c>
      <c r="J45" s="477">
        <f>IFERROR(Raw_Data!AH13,0)</f>
        <v>153109.72500000001</v>
      </c>
      <c r="K45" s="477">
        <f>IFERROR(Raw_Data!AO13,0)</f>
        <v>152587.462</v>
      </c>
      <c r="L45" s="477">
        <f>IFERROR(Raw_Data!AV13,0)</f>
        <v>169786.71900000001</v>
      </c>
      <c r="M45" s="477">
        <f>IFERROR(Raw_Data!BC13,0)</f>
        <v>179950.59400000001</v>
      </c>
      <c r="N45" s="477">
        <f>IFERROR(Raw_Data!BJ13,0)</f>
        <v>192979.24799999999</v>
      </c>
      <c r="O45" s="477">
        <f>IFERROR(Raw_Data!BQ13,0)</f>
        <v>198875.217</v>
      </c>
      <c r="P45">
        <f t="shared" si="9"/>
        <v>0.21224997445879179</v>
      </c>
      <c r="Q45" s="646"/>
      <c r="R45" s="647"/>
      <c r="V45" s="518" t="s">
        <v>773</v>
      </c>
      <c r="W45" s="106" t="s">
        <v>774</v>
      </c>
    </row>
    <row r="46" spans="1:25" ht="13.8">
      <c r="A46" s="106" t="s">
        <v>291</v>
      </c>
      <c r="B46" s="589" t="s">
        <v>856</v>
      </c>
      <c r="C46" s="478">
        <f>IFERROR('Energy balance'!C7*$Q117,0)</f>
        <v>0</v>
      </c>
      <c r="D46" s="478">
        <f>IFERROR('Energy balance'!D7*$Q117,0)</f>
        <v>0</v>
      </c>
      <c r="E46" s="478">
        <f>IFERROR('Energy balance'!E7*$Q117,0)</f>
        <v>0</v>
      </c>
      <c r="F46" s="477">
        <f>IFERROR(Raw_Data!F14,0)</f>
        <v>3841.1950000000002</v>
      </c>
      <c r="G46" s="477">
        <f>IFERROR(Raw_Data!M14,0)</f>
        <v>5651.5940000000001</v>
      </c>
      <c r="H46" s="477">
        <f>IFERROR(Raw_Data!T14,0)</f>
        <v>4860.8739999999998</v>
      </c>
      <c r="I46" s="477">
        <f>IFERROR(Raw_Data!AA14,0)</f>
        <v>3957.0549999999998</v>
      </c>
      <c r="J46" s="477">
        <f>IFERROR(Raw_Data!AH14,0)</f>
        <v>4104.6369999999997</v>
      </c>
      <c r="K46" s="477">
        <f>IFERROR(Raw_Data!AO14,0)</f>
        <v>3255.2</v>
      </c>
      <c r="L46" s="477">
        <f>IFERROR(Raw_Data!AV14,0)</f>
        <v>4042.538</v>
      </c>
      <c r="M46" s="477">
        <f>IFERROR(Raw_Data!BC14,0)</f>
        <v>3340.3890000000001</v>
      </c>
      <c r="N46" s="477">
        <f>IFERROR(Raw_Data!BJ14,0)</f>
        <v>5432.924</v>
      </c>
      <c r="O46" s="477">
        <f>IFERROR(Raw_Data!BQ14,0)</f>
        <v>4944.2489999999998</v>
      </c>
      <c r="P46">
        <f t="shared" si="9"/>
        <v>0.15004574890270914</v>
      </c>
      <c r="Q46" s="646"/>
      <c r="R46" s="647"/>
      <c r="V46" s="475">
        <f>V39</f>
        <v>0.42</v>
      </c>
      <c r="W46" s="106" t="s">
        <v>780</v>
      </c>
      <c r="X46" s="106" t="s">
        <v>116</v>
      </c>
      <c r="Y46" s="106" t="s">
        <v>734</v>
      </c>
    </row>
    <row r="47" spans="1:25" ht="13.8">
      <c r="A47" s="106" t="s">
        <v>291</v>
      </c>
      <c r="B47" s="589" t="s">
        <v>855</v>
      </c>
      <c r="C47" s="479">
        <f>IFERROR('Energy balance'!C8*$Q118,0)</f>
        <v>0</v>
      </c>
      <c r="D47" s="479">
        <f>IFERROR('Energy balance'!D8*$Q118,0)</f>
        <v>0</v>
      </c>
      <c r="E47" s="479">
        <f>IFERROR('Energy balance'!E8*$Q118,0)</f>
        <v>0</v>
      </c>
      <c r="F47" s="477">
        <f>IFERROR(Raw_Data!F15,0)</f>
        <v>65804.301000000007</v>
      </c>
      <c r="G47" s="477">
        <f>IFERROR(Raw_Data!M15,0)</f>
        <v>87584.114000000001</v>
      </c>
      <c r="H47" s="477">
        <f>IFERROR(Raw_Data!T15,0)</f>
        <v>86381.634000000005</v>
      </c>
      <c r="I47" s="477">
        <f>IFERROR(Raw_Data!AA15,0)</f>
        <v>64689.599999999999</v>
      </c>
      <c r="J47" s="477">
        <f>IFERROR(Raw_Data!AH15,0)</f>
        <v>70888.823000000004</v>
      </c>
      <c r="K47" s="477">
        <f>IFERROR(Raw_Data!AO15,0)</f>
        <v>62970.540999999997</v>
      </c>
      <c r="L47" s="477">
        <f>IFERROR(Raw_Data!AV15,0)</f>
        <v>60784.536999999997</v>
      </c>
      <c r="M47" s="477">
        <f>IFERROR(Raw_Data!BC15,0)</f>
        <v>66196.725000000006</v>
      </c>
      <c r="N47" s="477">
        <f>IFERROR(Raw_Data!BJ15,0)</f>
        <v>63653.567999999999</v>
      </c>
      <c r="O47" s="477">
        <f>IFERROR(Raw_Data!BQ15,0)</f>
        <v>73721.327000000005</v>
      </c>
      <c r="P47">
        <f t="shared" si="9"/>
        <v>0.14867144669971888</v>
      </c>
      <c r="Q47" s="646"/>
      <c r="R47" s="647"/>
      <c r="V47" s="475">
        <f>V40</f>
        <v>0.31900000000000001</v>
      </c>
      <c r="W47" s="106" t="s">
        <v>780</v>
      </c>
      <c r="X47" s="106" t="s">
        <v>116</v>
      </c>
      <c r="Y47" s="106" t="s">
        <v>735</v>
      </c>
    </row>
    <row r="48" spans="1:25" ht="13.8">
      <c r="A48" s="106" t="s">
        <v>291</v>
      </c>
      <c r="B48" s="589" t="s">
        <v>212</v>
      </c>
      <c r="C48" s="479">
        <f>IFERROR('Energy balance'!C9*$Q119,0)</f>
        <v>0</v>
      </c>
      <c r="D48" s="479">
        <f>IFERROR('Energy balance'!D9*$Q119,0)</f>
        <v>0</v>
      </c>
      <c r="E48" s="479">
        <f>IFERROR('Energy balance'!E9*$Q119,0)</f>
        <v>0</v>
      </c>
      <c r="F48" s="477">
        <f>IFERROR(Raw_Data!F16,0)</f>
        <v>0</v>
      </c>
      <c r="G48" s="477">
        <f>IFERROR(Raw_Data!M16,0)</f>
        <v>0</v>
      </c>
      <c r="H48" s="477">
        <f>IFERROR(Raw_Data!T16,0)</f>
        <v>0</v>
      </c>
      <c r="I48" s="477">
        <f>IFERROR(Raw_Data!AA16,0)</f>
        <v>0</v>
      </c>
      <c r="J48" s="477">
        <f>IFERROR(Raw_Data!AH16,0)</f>
        <v>0</v>
      </c>
      <c r="K48" s="477">
        <f>IFERROR(Raw_Data!AO16,0)</f>
        <v>0</v>
      </c>
      <c r="L48" s="477">
        <f>IFERROR(Raw_Data!AV16,0)</f>
        <v>0</v>
      </c>
      <c r="M48" s="477">
        <f>IFERROR(Raw_Data!BC16,0)</f>
        <v>0</v>
      </c>
      <c r="N48" s="477">
        <f>IFERROR(Raw_Data!BJ16,0)</f>
        <v>0</v>
      </c>
      <c r="O48" s="477">
        <f>IFERROR(Raw_Data!BQ16,0)</f>
        <v>0</v>
      </c>
      <c r="P48">
        <f t="shared" si="9"/>
        <v>0</v>
      </c>
      <c r="Q48" s="646"/>
      <c r="R48" s="647"/>
      <c r="V48" s="475">
        <f>V41</f>
        <v>0.247</v>
      </c>
      <c r="W48" s="106" t="s">
        <v>780</v>
      </c>
      <c r="X48" s="106" t="s">
        <v>778</v>
      </c>
      <c r="Y48" s="106" t="s">
        <v>734</v>
      </c>
    </row>
    <row r="49" spans="1:25" ht="13.8">
      <c r="A49" s="106" t="s">
        <v>291</v>
      </c>
      <c r="B49" s="589" t="s">
        <v>854</v>
      </c>
      <c r="C49" s="479">
        <f>IFERROR('Energy balance'!C10*$Q120,0)</f>
        <v>0</v>
      </c>
      <c r="D49" s="479">
        <f>IFERROR('Energy balance'!D10*$Q120,0)</f>
        <v>0</v>
      </c>
      <c r="E49" s="479">
        <f>IFERROR('Energy balance'!E10*$Q120,0)</f>
        <v>0</v>
      </c>
      <c r="F49" s="477">
        <f>IFERROR(Raw_Data!F17,0)</f>
        <v>61957.061999999998</v>
      </c>
      <c r="G49" s="477">
        <f>IFERROR(Raw_Data!M17,0)</f>
        <v>81923.493000000002</v>
      </c>
      <c r="H49" s="477">
        <f>IFERROR(Raw_Data!T17,0)</f>
        <v>81511.744000000006</v>
      </c>
      <c r="I49" s="477">
        <f>IFERROR(Raw_Data!AA17,0)</f>
        <v>60726.53</v>
      </c>
      <c r="J49" s="477">
        <f>IFERROR(Raw_Data!AH17,0)</f>
        <v>66789.933000000005</v>
      </c>
      <c r="K49" s="477">
        <f>IFERROR(Raw_Data!AO17,0)</f>
        <v>59702.317000000003</v>
      </c>
      <c r="L49" s="477">
        <f>IFERROR(Raw_Data!AV17,0)</f>
        <v>56733.212</v>
      </c>
      <c r="M49" s="477">
        <f>IFERROR(Raw_Data!BC17,0)</f>
        <v>62863.993000000002</v>
      </c>
      <c r="N49" s="477">
        <f>IFERROR(Raw_Data!BJ17,0)</f>
        <v>58228.989000000001</v>
      </c>
      <c r="O49" s="477">
        <f>IFERROR(Raw_Data!BQ17,0)</f>
        <v>68785.316999999995</v>
      </c>
      <c r="P49">
        <f t="shared" si="9"/>
        <v>0.15004511083231664</v>
      </c>
      <c r="Q49" s="646"/>
      <c r="R49" s="647"/>
      <c r="V49" s="475">
        <f>V42</f>
        <v>1.4E-2</v>
      </c>
      <c r="W49" s="106" t="s">
        <v>780</v>
      </c>
      <c r="X49" s="106" t="s">
        <v>778</v>
      </c>
      <c r="Y49" s="106" t="s">
        <v>735</v>
      </c>
    </row>
    <row r="50" spans="1:25" ht="13.8">
      <c r="A50" s="106" t="s">
        <v>291</v>
      </c>
      <c r="B50" s="589" t="s">
        <v>852</v>
      </c>
      <c r="C50" s="479">
        <f>IFERROR('Energy balance'!C12*$Q122,0)</f>
        <v>0</v>
      </c>
      <c r="D50" s="479">
        <f>IFERROR('Energy balance'!D12*$Q122,0)</f>
        <v>0</v>
      </c>
      <c r="E50" s="479">
        <f>IFERROR('Energy balance'!E12*$Q122,0)</f>
        <v>0</v>
      </c>
      <c r="F50" s="477">
        <f>IFERROR(Raw_Data!F19,0)</f>
        <v>16514.616000000002</v>
      </c>
      <c r="G50" s="477">
        <f>IFERROR(Raw_Data!M19,0)</f>
        <v>18113.09</v>
      </c>
      <c r="H50" s="477">
        <f>IFERROR(Raw_Data!T19,0)</f>
        <v>19080.599999999999</v>
      </c>
      <c r="I50" s="477">
        <f>IFERROR(Raw_Data!AA19,0)</f>
        <v>19287.240000000002</v>
      </c>
      <c r="J50" s="477">
        <f>IFERROR(Raw_Data!AH19,0)</f>
        <v>21492.108</v>
      </c>
      <c r="K50" s="477">
        <f>IFERROR(Raw_Data!AO19,0)</f>
        <v>23012.858</v>
      </c>
      <c r="L50" s="477">
        <f>IFERROR(Raw_Data!AV19,0)</f>
        <v>22992.870999999999</v>
      </c>
      <c r="M50" s="477">
        <f>IFERROR(Raw_Data!BC19,0)</f>
        <v>23488.201000000001</v>
      </c>
      <c r="N50" s="477">
        <f>IFERROR(Raw_Data!BJ19,0)</f>
        <v>26551.425999999999</v>
      </c>
      <c r="O50" s="477">
        <f>IFERROR(Raw_Data!BQ19,0)</f>
        <v>25384.359</v>
      </c>
      <c r="P50">
        <f t="shared" si="9"/>
        <v>0.86899999999999999</v>
      </c>
      <c r="Q50" s="648"/>
      <c r="R50" s="647"/>
    </row>
    <row r="51" spans="1:25" ht="13.8">
      <c r="A51" s="106" t="s">
        <v>291</v>
      </c>
      <c r="B51" s="589" t="s">
        <v>851</v>
      </c>
      <c r="C51" s="478">
        <f>IFERROR('Energy balance'!C13*$Q123,0)</f>
        <v>0</v>
      </c>
      <c r="D51" s="478">
        <f>IFERROR('Energy balance'!D13*$Q123,0)</f>
        <v>0</v>
      </c>
      <c r="E51" s="478">
        <f>IFERROR('Energy balance'!E13*$Q123,0)</f>
        <v>0</v>
      </c>
      <c r="F51" s="477">
        <f>IFERROR(Raw_Data!F20,0)</f>
        <v>698.35500000000002</v>
      </c>
      <c r="G51" s="477">
        <f>IFERROR(Raw_Data!M20,0)</f>
        <v>1283.9680000000001</v>
      </c>
      <c r="H51" s="477">
        <f>IFERROR(Raw_Data!T20,0)</f>
        <v>1359.5920000000001</v>
      </c>
      <c r="I51" s="477">
        <f>IFERROR(Raw_Data!AA20,0)</f>
        <v>1530.204</v>
      </c>
      <c r="J51" s="477">
        <f>IFERROR(Raw_Data!AH20,0)</f>
        <v>3117.6</v>
      </c>
      <c r="K51" s="477">
        <f>IFERROR(Raw_Data!AO20,0)</f>
        <v>3182.22</v>
      </c>
      <c r="L51" s="477">
        <f>IFERROR(Raw_Data!AV20,0)</f>
        <v>3440.88</v>
      </c>
      <c r="M51" s="477">
        <f>IFERROR(Raw_Data!BC20,0)</f>
        <v>3725.46</v>
      </c>
      <c r="N51" s="477">
        <f>IFERROR(Raw_Data!BJ20,0)</f>
        <v>4001.4</v>
      </c>
      <c r="O51" s="477">
        <f>IFERROR(Raw_Data!BQ20,0)</f>
        <v>4330.3500000000004</v>
      </c>
      <c r="P51">
        <f t="shared" si="9"/>
        <v>9.0000000000000011E-2</v>
      </c>
      <c r="Q51" s="646"/>
      <c r="R51" s="647"/>
    </row>
    <row r="52" spans="1:25" ht="13.8">
      <c r="A52" s="106" t="s">
        <v>291</v>
      </c>
      <c r="B52" s="589" t="s">
        <v>850</v>
      </c>
      <c r="C52" s="478">
        <f>IFERROR('Energy balance'!C14*$Q124,0)</f>
        <v>0</v>
      </c>
      <c r="D52" s="478">
        <f>IFERROR('Energy balance'!D14*$Q124,0)</f>
        <v>0</v>
      </c>
      <c r="E52" s="478">
        <f>IFERROR('Energy balance'!E14*$Q124,0)</f>
        <v>0</v>
      </c>
      <c r="F52" s="477">
        <f>IFERROR(Raw_Data!F21,0)</f>
        <v>12120.697</v>
      </c>
      <c r="G52" s="477">
        <f>IFERROR(Raw_Data!M21,0)</f>
        <v>25752.084999999999</v>
      </c>
      <c r="H52" s="477">
        <f>IFERROR(Raw_Data!T21,0)</f>
        <v>24049.156999999999</v>
      </c>
      <c r="I52" s="477">
        <f>IFERROR(Raw_Data!AA21,0)</f>
        <v>27865.223999999998</v>
      </c>
      <c r="J52" s="477">
        <f>IFERROR(Raw_Data!AH21,0)</f>
        <v>36005.648999999998</v>
      </c>
      <c r="K52" s="477">
        <f>IFERROR(Raw_Data!AO21,0)</f>
        <v>34814.065999999999</v>
      </c>
      <c r="L52" s="477">
        <f>IFERROR(Raw_Data!AV21,0)</f>
        <v>28437.082999999999</v>
      </c>
      <c r="M52" s="477">
        <f>IFERROR(Raw_Data!BC21,0)</f>
        <v>30228.668000000001</v>
      </c>
      <c r="N52" s="477">
        <f>IFERROR(Raw_Data!BJ21,0)</f>
        <v>35600.675000000003</v>
      </c>
      <c r="O52" s="477">
        <f>IFERROR(Raw_Data!BQ21,0)</f>
        <v>32870.053</v>
      </c>
      <c r="P52">
        <f t="shared" si="9"/>
        <v>0.13146233312269531</v>
      </c>
      <c r="Q52" s="646"/>
      <c r="R52" s="647"/>
    </row>
    <row r="53" spans="1:25" ht="13.8">
      <c r="A53" s="106" t="s">
        <v>291</v>
      </c>
      <c r="B53" s="589" t="s">
        <v>849</v>
      </c>
      <c r="C53" s="478">
        <f>IFERROR('Energy balance'!C15*$Q125,0)</f>
        <v>0</v>
      </c>
      <c r="D53" s="478">
        <f>IFERROR('Energy balance'!D15*$Q125,0)</f>
        <v>0</v>
      </c>
      <c r="E53" s="478">
        <f>IFERROR('Energy balance'!E15*$Q125,0)</f>
        <v>0</v>
      </c>
      <c r="F53" s="477">
        <f>IFERROR(Raw_Data!F22,0)</f>
        <v>252.31700000000001</v>
      </c>
      <c r="G53" s="477">
        <f>IFERROR(Raw_Data!M22,0)</f>
        <v>720.96699999999998</v>
      </c>
      <c r="H53" s="477">
        <f>IFERROR(Raw_Data!T22,0)</f>
        <v>677.46400000000006</v>
      </c>
      <c r="I53" s="477">
        <f>IFERROR(Raw_Data!AA22,0)</f>
        <v>865.57899999999995</v>
      </c>
      <c r="J53" s="477">
        <f>IFERROR(Raw_Data!AH22,0)</f>
        <v>1629.454</v>
      </c>
      <c r="K53" s="477">
        <f>IFERROR(Raw_Data!AO22,0)</f>
        <v>1689.31</v>
      </c>
      <c r="L53" s="477">
        <f>IFERROR(Raw_Data!AV22,0)</f>
        <v>1606.8630000000001</v>
      </c>
      <c r="M53" s="477">
        <f>IFERROR(Raw_Data!BC22,0)</f>
        <v>1728.8620000000001</v>
      </c>
      <c r="N53" s="477">
        <f>IFERROR(Raw_Data!BJ22,0)</f>
        <v>1719.847</v>
      </c>
      <c r="O53" s="477">
        <f>IFERROR(Raw_Data!BQ22,0)</f>
        <v>1546.5229999999999</v>
      </c>
      <c r="P53">
        <f t="shared" si="9"/>
        <v>0.13146234274056443</v>
      </c>
      <c r="Q53" s="646"/>
      <c r="R53" s="647"/>
    </row>
    <row r="54" spans="1:25" ht="13.8">
      <c r="A54" s="106" t="s">
        <v>291</v>
      </c>
      <c r="B54" s="589" t="s">
        <v>79</v>
      </c>
      <c r="C54" s="478">
        <f>IFERROR('Energy balance'!C16*$Q126,0)</f>
        <v>0</v>
      </c>
      <c r="D54" s="478">
        <f>IFERROR('Energy balance'!D16*$Q126,0)</f>
        <v>0</v>
      </c>
      <c r="E54" s="478">
        <f>IFERROR('Energy balance'!E16*$Q126,0)</f>
        <v>0</v>
      </c>
      <c r="F54" s="477">
        <f>IFERROR(Raw_Data!F23,0)</f>
        <v>70906.679999999993</v>
      </c>
      <c r="G54" s="477">
        <f>IFERROR(Raw_Data!M23,0)</f>
        <v>69829.919999999998</v>
      </c>
      <c r="H54" s="477">
        <f>IFERROR(Raw_Data!T23,0)</f>
        <v>68554.8</v>
      </c>
      <c r="I54" s="477">
        <f>IFERROR(Raw_Data!AA23,0)</f>
        <v>66213.414000000004</v>
      </c>
      <c r="J54" s="477">
        <f>IFERROR(Raw_Data!AH23,0)</f>
        <v>54616.171999999999</v>
      </c>
      <c r="K54" s="477">
        <f>IFERROR(Raw_Data!AO23,0)</f>
        <v>54601.156999999999</v>
      </c>
      <c r="L54" s="477">
        <f>IFERROR(Raw_Data!AV23,0)</f>
        <v>55565.161</v>
      </c>
      <c r="M54" s="477">
        <f>IFERROR(Raw_Data!BC23,0)</f>
        <v>55843.930999999997</v>
      </c>
      <c r="N54" s="477">
        <f>IFERROR(Raw_Data!BJ23,0)</f>
        <v>56031.815000000002</v>
      </c>
      <c r="O54" s="477">
        <f>IFERROR(Raw_Data!BQ23,0)</f>
        <v>52484.983</v>
      </c>
      <c r="P54">
        <f t="shared" si="9"/>
        <v>0.1137220113079259</v>
      </c>
      <c r="Q54" s="646"/>
      <c r="R54" s="647"/>
    </row>
    <row r="55" spans="1:25" ht="13.8">
      <c r="A55" s="106" t="s">
        <v>291</v>
      </c>
      <c r="B55" s="589" t="s">
        <v>219</v>
      </c>
      <c r="C55" s="478">
        <f>IFERROR('Energy balance'!C17*$Q127,0)</f>
        <v>0</v>
      </c>
      <c r="D55" s="478">
        <f>IFERROR('Energy balance'!D17*$Q127,0)</f>
        <v>0</v>
      </c>
      <c r="E55" s="478">
        <f>IFERROR('Energy balance'!E17*$Q127,0)</f>
        <v>0</v>
      </c>
      <c r="F55" s="477">
        <f>IFERROR(Raw_Data!F24,0)</f>
        <v>11868.263000000001</v>
      </c>
      <c r="G55" s="477">
        <f>IFERROR(Raw_Data!M24,0)</f>
        <v>18899.904999999999</v>
      </c>
      <c r="H55" s="477">
        <f>IFERROR(Raw_Data!T24,0)</f>
        <v>15124.664000000001</v>
      </c>
      <c r="I55" s="477">
        <f>IFERROR(Raw_Data!AA24,0)</f>
        <v>13860.876</v>
      </c>
      <c r="J55" s="477">
        <f>IFERROR(Raw_Data!AH24,0)</f>
        <v>13899.057000000001</v>
      </c>
      <c r="K55" s="477">
        <f>IFERROR(Raw_Data!AO24,0)</f>
        <v>14282.905000000001</v>
      </c>
      <c r="L55" s="477">
        <f>IFERROR(Raw_Data!AV24,0)</f>
        <v>15061.433999999999</v>
      </c>
      <c r="M55" s="477">
        <f>IFERROR(Raw_Data!BC24,0)</f>
        <v>16140.501</v>
      </c>
      <c r="N55" s="477">
        <f>IFERROR(Raw_Data!BJ24,0)</f>
        <v>13854.982</v>
      </c>
      <c r="O55" s="477">
        <f>IFERROR(Raw_Data!BQ24,0)</f>
        <v>13795.567999999999</v>
      </c>
      <c r="P55">
        <f t="shared" si="9"/>
        <v>9.0114691453990814E-2</v>
      </c>
      <c r="Q55" s="646"/>
      <c r="R55" s="647"/>
    </row>
    <row r="56" spans="1:25" ht="13.8">
      <c r="A56" s="106" t="s">
        <v>291</v>
      </c>
      <c r="B56" s="604" t="s">
        <v>890</v>
      </c>
      <c r="C56" s="478">
        <f>IFERROR('Energy balance'!C18*$Q128,0)</f>
        <v>0</v>
      </c>
      <c r="D56" s="478">
        <f>IFERROR('Energy balance'!D18*$Q128,0)</f>
        <v>0</v>
      </c>
      <c r="E56" s="479">
        <f>IFERROR('Energy balance'!E18*$Q128,0)</f>
        <v>0</v>
      </c>
      <c r="F56" s="477">
        <f t="shared" ref="F56:N56" si="10">F47-F46</f>
        <v>61963.106000000007</v>
      </c>
      <c r="G56" s="477">
        <f t="shared" si="10"/>
        <v>81932.52</v>
      </c>
      <c r="H56" s="477">
        <f t="shared" si="10"/>
        <v>81520.760000000009</v>
      </c>
      <c r="I56" s="477">
        <f t="shared" si="10"/>
        <v>60732.544999999998</v>
      </c>
      <c r="J56" s="477">
        <f t="shared" si="10"/>
        <v>66784.186000000002</v>
      </c>
      <c r="K56" s="477">
        <f t="shared" si="10"/>
        <v>59715.341</v>
      </c>
      <c r="L56" s="477">
        <f t="shared" si="10"/>
        <v>56741.998999999996</v>
      </c>
      <c r="M56" s="477">
        <f t="shared" si="10"/>
        <v>62856.336000000003</v>
      </c>
      <c r="N56" s="477">
        <f t="shared" si="10"/>
        <v>58220.644</v>
      </c>
      <c r="O56" s="477">
        <f>O47-O46</f>
        <v>68777.078000000009</v>
      </c>
      <c r="P56">
        <f t="shared" si="9"/>
        <v>0.14857362012080072</v>
      </c>
      <c r="Q56" s="649"/>
      <c r="R56" s="647"/>
    </row>
    <row r="57" spans="1:25" ht="13.8">
      <c r="A57" s="106" t="s">
        <v>291</v>
      </c>
      <c r="B57" s="604" t="s">
        <v>960</v>
      </c>
      <c r="C57" s="478">
        <f>IFERROR('Energy balance'!C19*$Q129,0)</f>
        <v>0</v>
      </c>
      <c r="D57" s="478">
        <f>IFERROR('Energy balance'!D19*$Q129,0)</f>
        <v>0</v>
      </c>
      <c r="E57" s="478">
        <f>IFERROR('Energy balance'!E19*$Q129,0)</f>
        <v>0</v>
      </c>
      <c r="F57" s="477">
        <f>F45+F53+F46</f>
        <v>162062.09600000002</v>
      </c>
      <c r="G57" s="477">
        <f t="shared" ref="G57:O57" si="11">G45+G53+G46</f>
        <v>180917.43700000001</v>
      </c>
      <c r="H57" s="477">
        <f t="shared" si="11"/>
        <v>182039.56600000002</v>
      </c>
      <c r="I57" s="477">
        <f t="shared" si="11"/>
        <v>174261.065</v>
      </c>
      <c r="J57" s="477">
        <f t="shared" si="11"/>
        <v>158843.81599999999</v>
      </c>
      <c r="K57" s="477">
        <f t="shared" si="11"/>
        <v>157531.97200000001</v>
      </c>
      <c r="L57" s="477">
        <f t="shared" si="11"/>
        <v>175436.12000000002</v>
      </c>
      <c r="M57" s="477">
        <f t="shared" si="11"/>
        <v>185019.845</v>
      </c>
      <c r="N57" s="477">
        <f t="shared" si="11"/>
        <v>200132.019</v>
      </c>
      <c r="O57" s="477">
        <f t="shared" si="11"/>
        <v>205365.989</v>
      </c>
      <c r="P57">
        <f t="shared" si="9"/>
        <v>0.20919393829590144</v>
      </c>
      <c r="Q57" s="649"/>
      <c r="R57" s="647"/>
    </row>
    <row r="58" spans="1:25" ht="13.8">
      <c r="A58" s="106" t="s">
        <v>291</v>
      </c>
      <c r="B58" s="589" t="s">
        <v>853</v>
      </c>
      <c r="C58" s="479">
        <f>IFERROR('Energy balance'!C11*$Q121,0)</f>
        <v>0</v>
      </c>
      <c r="D58" s="479">
        <f>IFERROR('Energy balance'!D11*$Q121,0)</f>
        <v>0</v>
      </c>
      <c r="E58" s="479">
        <f>IFERROR('Energy balance'!E11*$Q121,0)</f>
        <v>0</v>
      </c>
      <c r="F58" s="477">
        <f>IFERROR(Raw_Data!F18,0)</f>
        <v>29606.705000000002</v>
      </c>
      <c r="G58" s="477">
        <f>IFERROR(Raw_Data!M18,0)</f>
        <v>45907.294000000002</v>
      </c>
      <c r="H58" s="477">
        <f>IFERROR(Raw_Data!T18,0)</f>
        <v>45212.625</v>
      </c>
      <c r="I58" s="477">
        <f>IFERROR(Raw_Data!AA18,0)</f>
        <v>49595.567000000003</v>
      </c>
      <c r="J58" s="477">
        <f>IFERROR(Raw_Data!AH18,0)</f>
        <v>62326.506999999998</v>
      </c>
      <c r="K58" s="477">
        <f>IFERROR(Raw_Data!AO18,0)</f>
        <v>62785.034</v>
      </c>
      <c r="L58" s="477">
        <f>IFERROR(Raw_Data!AV18,0)</f>
        <v>56589.836000000003</v>
      </c>
      <c r="M58" s="477">
        <f>IFERROR(Raw_Data!BC18,0)</f>
        <v>59275.95</v>
      </c>
      <c r="N58" s="477">
        <f>IFERROR(Raw_Data!BJ18,0)</f>
        <v>67959.928</v>
      </c>
      <c r="O58" s="477">
        <f>IFERROR(Raw_Data!BQ18,0)</f>
        <v>64226.684999999998</v>
      </c>
      <c r="P58">
        <f t="shared" si="9"/>
        <v>0.18503117450778489</v>
      </c>
      <c r="Q58" s="646"/>
      <c r="R58" s="647"/>
    </row>
    <row r="59" spans="1:25" ht="13.8">
      <c r="A59" s="106" t="s">
        <v>291</v>
      </c>
      <c r="B59" s="314"/>
      <c r="C59" s="485">
        <f>IFERROR('Energy balance'!C20*$Q130,0)</f>
        <v>0</v>
      </c>
      <c r="D59" s="478">
        <f>IFERROR('Energy balance'!D20*$Q130,0)</f>
        <v>0</v>
      </c>
      <c r="E59" s="478">
        <f>IFERROR('Energy balance'!E20*$Q130,0)</f>
        <v>0</v>
      </c>
      <c r="F59" s="478">
        <f>IFERROR('Energy balance'!F20*$Q130,0)</f>
        <v>0</v>
      </c>
      <c r="G59" s="480">
        <f>IFERROR('Energy balance'!G20*$Q130,0)</f>
        <v>0</v>
      </c>
      <c r="H59" s="480">
        <f>IFERROR('Energy balance'!H20*$Q130,0)</f>
        <v>0</v>
      </c>
      <c r="I59" s="480">
        <f>IFERROR('Energy balance'!I20*$Q130,0)</f>
        <v>0</v>
      </c>
      <c r="J59" s="480">
        <f>IFERROR('Energy balance'!J20*$Q130,0)</f>
        <v>0</v>
      </c>
      <c r="K59" s="480">
        <f>IFERROR('Energy balance'!K20*$Q130,0)</f>
        <v>0</v>
      </c>
      <c r="L59" s="480">
        <f>IFERROR('Energy balance'!L20*$Q130,0)</f>
        <v>0</v>
      </c>
      <c r="M59" s="481">
        <f>IFERROR('Energy balance'!M20*$Q130,0)</f>
        <v>0</v>
      </c>
      <c r="N59" s="482">
        <f>IFERROR('Energy balance'!N20*$Q130,0)</f>
        <v>0</v>
      </c>
      <c r="O59" s="482">
        <f>IFERROR('Energy balance'!O20*$Q130,0)</f>
        <v>0</v>
      </c>
    </row>
    <row r="60" spans="1:25" ht="13.8">
      <c r="A60" s="106" t="s">
        <v>291</v>
      </c>
      <c r="B60" s="314"/>
      <c r="C60" s="478">
        <f>IFERROR('Energy balance'!C21*$Q131,0)</f>
        <v>0</v>
      </c>
      <c r="D60" s="478">
        <f>IFERROR('Energy balance'!D21*$Q131,0)</f>
        <v>0</v>
      </c>
      <c r="E60" s="479">
        <f>IFERROR('Energy balance'!E21*$Q131,0)</f>
        <v>0</v>
      </c>
      <c r="F60" s="479">
        <f>IFERROR('Energy balance'!F21*$Q131,0)</f>
        <v>0</v>
      </c>
      <c r="G60" s="479">
        <f>IFERROR('Energy balance'!G21*$Q131,0)</f>
        <v>0</v>
      </c>
      <c r="H60" s="479">
        <f>IFERROR('Energy balance'!H21*$Q131,0)</f>
        <v>0</v>
      </c>
      <c r="I60" s="480">
        <f>IFERROR('Energy balance'!I21*$Q131,0)</f>
        <v>0</v>
      </c>
      <c r="J60" s="480">
        <f>IFERROR('Energy balance'!J21*$Q131,0)</f>
        <v>0</v>
      </c>
      <c r="K60" s="480">
        <f>IFERROR('Energy balance'!K21*$Q131,0)</f>
        <v>0</v>
      </c>
      <c r="L60" s="480">
        <f>IFERROR('Energy balance'!L21*$Q131,0)</f>
        <v>0</v>
      </c>
      <c r="M60" s="481">
        <f>IFERROR('Energy balance'!M21*$Q131,0)</f>
        <v>0</v>
      </c>
      <c r="N60" s="482">
        <f>IFERROR('Energy balance'!N21*$Q131,0)</f>
        <v>0</v>
      </c>
      <c r="O60" s="482">
        <f>IFERROR('Energy balance'!O21*$Q131,0)</f>
        <v>0</v>
      </c>
    </row>
    <row r="61" spans="1:25" ht="13.8">
      <c r="A61" s="106" t="s">
        <v>291</v>
      </c>
      <c r="B61" s="363" t="s">
        <v>106</v>
      </c>
      <c r="C61" s="364">
        <f>SUM(C44:C60)</f>
        <v>0</v>
      </c>
      <c r="D61" s="364">
        <f>SUM(D44:D60)</f>
        <v>0</v>
      </c>
      <c r="E61" s="364">
        <f>SUM(E44:E60)</f>
        <v>0</v>
      </c>
      <c r="F61" s="609">
        <f>F44+F57+(F47-F46)+F50+F51+F52+F54+F55</f>
        <v>336133.81300000002</v>
      </c>
      <c r="G61" s="609">
        <f t="shared" ref="G61:O61" si="12">G44+G57+(G47-G46)+G50+G51+G52+G54+G55</f>
        <v>396728.92500000005</v>
      </c>
      <c r="H61" s="609">
        <f t="shared" si="12"/>
        <v>391729.13899999997</v>
      </c>
      <c r="I61" s="609">
        <f t="shared" si="12"/>
        <v>363750.56799999997</v>
      </c>
      <c r="J61" s="609">
        <f t="shared" si="12"/>
        <v>354758.58799999999</v>
      </c>
      <c r="K61" s="609">
        <f t="shared" si="12"/>
        <v>347140.51900000009</v>
      </c>
      <c r="L61" s="609">
        <f t="shared" si="12"/>
        <v>357675.54800000001</v>
      </c>
      <c r="M61" s="609">
        <f t="shared" si="12"/>
        <v>377302.94199999998</v>
      </c>
      <c r="N61" s="609">
        <f t="shared" si="12"/>
        <v>394392.96100000001</v>
      </c>
      <c r="O61" s="609">
        <f t="shared" si="12"/>
        <v>403008.38</v>
      </c>
    </row>
    <row r="63" spans="1:25" ht="16.2" thickBot="1">
      <c r="B63" s="357" t="s">
        <v>279</v>
      </c>
    </row>
    <row r="64" spans="1:25" ht="14.4" thickBot="1">
      <c r="B64" s="303"/>
      <c r="C64" s="304">
        <v>2007</v>
      </c>
      <c r="D64" s="305">
        <v>2008</v>
      </c>
      <c r="E64" s="305">
        <v>2009</v>
      </c>
      <c r="F64" s="305">
        <v>2010</v>
      </c>
      <c r="G64" s="305">
        <v>2011</v>
      </c>
      <c r="H64" s="305">
        <v>2012</v>
      </c>
      <c r="I64" s="305">
        <v>2013</v>
      </c>
      <c r="J64" s="305">
        <v>2014</v>
      </c>
      <c r="K64" s="305">
        <v>2015</v>
      </c>
      <c r="L64" s="305">
        <v>2016</v>
      </c>
      <c r="M64" s="306">
        <v>2017</v>
      </c>
      <c r="N64" s="307">
        <v>2018</v>
      </c>
      <c r="O64" s="307">
        <v>2019</v>
      </c>
    </row>
    <row r="65" spans="1:17" ht="13.8">
      <c r="A65" s="106" t="s">
        <v>284</v>
      </c>
      <c r="B65" s="589" t="s">
        <v>857</v>
      </c>
      <c r="C65" s="477">
        <f>IFERROR('Energy balance'!C5*#REF!,0)</f>
        <v>0</v>
      </c>
      <c r="D65" s="477">
        <f>IFERROR('Energy balance'!D5*#REF!,0)</f>
        <v>0</v>
      </c>
      <c r="E65" s="477">
        <f>IFERROR('Energy balance'!E5*#REF!,0)</f>
        <v>0</v>
      </c>
      <c r="F65" s="477">
        <f>IFERROR(Raw_Data!G12,0)</f>
        <v>0</v>
      </c>
      <c r="G65" s="477">
        <f>IFERROR(Raw_Data!N12,0)</f>
        <v>0</v>
      </c>
      <c r="H65" s="477">
        <f>IFERROR(Raw_Data!U12,0)</f>
        <v>0</v>
      </c>
      <c r="I65" s="477">
        <f>IFERROR(Raw_Data!AB12,0)</f>
        <v>0</v>
      </c>
      <c r="J65" s="477">
        <f>IFERROR(Raw_Data!AI12,0)</f>
        <v>0</v>
      </c>
      <c r="K65" s="477">
        <f>IFERROR(Raw_Data!AP12,0)</f>
        <v>0</v>
      </c>
      <c r="L65" s="477">
        <f>IFERROR(Raw_Data!AW12,0)</f>
        <v>0</v>
      </c>
      <c r="M65" s="477">
        <f>IFERROR(Raw_Data!BD12,0)</f>
        <v>0</v>
      </c>
      <c r="N65" s="477">
        <f>IFERROR(Raw_Data!BK12,0)</f>
        <v>0</v>
      </c>
      <c r="O65" s="477">
        <f>IFERROR(Raw_Data!BR12,0)</f>
        <v>0</v>
      </c>
      <c r="P65">
        <f t="shared" ref="P65:P79" si="13">O65/(O107+O86+O65+O44+O23)</f>
        <v>0</v>
      </c>
      <c r="Q65" s="646"/>
    </row>
    <row r="66" spans="1:17" ht="13.8">
      <c r="A66" s="106" t="s">
        <v>284</v>
      </c>
      <c r="B66" s="589" t="s">
        <v>80</v>
      </c>
      <c r="C66" s="478">
        <f>IFERROR('Energy balance'!C6*#REF!,0)</f>
        <v>0</v>
      </c>
      <c r="D66" s="478">
        <f>IFERROR('Energy balance'!D6*#REF!,0)</f>
        <v>0</v>
      </c>
      <c r="E66" s="478">
        <f>IFERROR('Energy balance'!E6*#REF!,0)</f>
        <v>0</v>
      </c>
      <c r="F66" s="477">
        <f>IFERROR(Raw_Data!G13,0)</f>
        <v>2438.7130000000002</v>
      </c>
      <c r="G66" s="477">
        <f>IFERROR(Raw_Data!N13,0)</f>
        <v>3308.9079999999999</v>
      </c>
      <c r="H66" s="477">
        <f>IFERROR(Raw_Data!U13,0)</f>
        <v>3620.538</v>
      </c>
      <c r="I66" s="477">
        <f>IFERROR(Raw_Data!AB13,0)</f>
        <v>4072.0819999999999</v>
      </c>
      <c r="J66" s="477">
        <f>IFERROR(Raw_Data!AI13,0)</f>
        <v>3644.1320000000001</v>
      </c>
      <c r="K66" s="477">
        <f>IFERROR(Raw_Data!AP13,0)</f>
        <v>3644.4560000000001</v>
      </c>
      <c r="L66" s="477">
        <f>IFERROR(Raw_Data!AW13,0)</f>
        <v>3421.4560000000001</v>
      </c>
      <c r="M66" s="477">
        <f>IFERROR(Raw_Data!BD13,0)</f>
        <v>3617.0970000000002</v>
      </c>
      <c r="N66" s="477">
        <f>IFERROR(Raw_Data!BK13,0)</f>
        <v>3891.1350000000002</v>
      </c>
      <c r="O66" s="477">
        <f>IFERROR(Raw_Data!BR13,0)</f>
        <v>4369.817</v>
      </c>
      <c r="P66">
        <f t="shared" si="13"/>
        <v>4.6636959628790454E-3</v>
      </c>
      <c r="Q66" s="646"/>
    </row>
    <row r="67" spans="1:17" ht="13.8">
      <c r="A67" s="106" t="s">
        <v>284</v>
      </c>
      <c r="B67" s="589" t="s">
        <v>856</v>
      </c>
      <c r="C67" s="478">
        <f>IFERROR('Energy balance'!C7*#REF!,0)</f>
        <v>0</v>
      </c>
      <c r="D67" s="478">
        <f>IFERROR('Energy balance'!D7*#REF!,0)</f>
        <v>0</v>
      </c>
      <c r="E67" s="478">
        <f>IFERROR('Energy balance'!E7*#REF!,0)</f>
        <v>0</v>
      </c>
      <c r="F67" s="477">
        <f>IFERROR(Raw_Data!G14,0)</f>
        <v>0</v>
      </c>
      <c r="G67" s="477">
        <f>IFERROR(Raw_Data!N14,0)</f>
        <v>0</v>
      </c>
      <c r="H67" s="477">
        <f>IFERROR(Raw_Data!U14,0)</f>
        <v>0</v>
      </c>
      <c r="I67" s="477">
        <f>IFERROR(Raw_Data!AB14,0)</f>
        <v>0</v>
      </c>
      <c r="J67" s="477">
        <f>IFERROR(Raw_Data!AI14,0)</f>
        <v>0</v>
      </c>
      <c r="K67" s="477">
        <f>IFERROR(Raw_Data!AP14,0)</f>
        <v>0</v>
      </c>
      <c r="L67" s="477">
        <f>IFERROR(Raw_Data!AW14,0)</f>
        <v>0</v>
      </c>
      <c r="M67" s="477">
        <f>IFERROR(Raw_Data!BD14,0)</f>
        <v>0</v>
      </c>
      <c r="N67" s="477">
        <f>IFERROR(Raw_Data!BK14,0)</f>
        <v>0</v>
      </c>
      <c r="O67" s="477">
        <f>IFERROR(Raw_Data!BR14,0)</f>
        <v>0</v>
      </c>
      <c r="P67">
        <f t="shared" si="13"/>
        <v>0</v>
      </c>
      <c r="Q67" s="646"/>
    </row>
    <row r="68" spans="1:17" ht="13.8">
      <c r="A68" s="106" t="s">
        <v>284</v>
      </c>
      <c r="B68" s="589" t="s">
        <v>855</v>
      </c>
      <c r="C68" s="479">
        <f>IFERROR('Energy balance'!C8*#REF!,0)</f>
        <v>0</v>
      </c>
      <c r="D68" s="479">
        <f>IFERROR('Energy balance'!D8*#REF!,0)</f>
        <v>0</v>
      </c>
      <c r="E68" s="479">
        <f>IFERROR('Energy balance'!E8*#REF!,0)</f>
        <v>0</v>
      </c>
      <c r="F68" s="477">
        <f>IFERROR(Raw_Data!G15,0)</f>
        <v>0</v>
      </c>
      <c r="G68" s="477">
        <f>IFERROR(Raw_Data!N15,0)</f>
        <v>0</v>
      </c>
      <c r="H68" s="477">
        <f>IFERROR(Raw_Data!U15,0)</f>
        <v>0</v>
      </c>
      <c r="I68" s="477">
        <f>IFERROR(Raw_Data!AB15,0)</f>
        <v>0</v>
      </c>
      <c r="J68" s="477">
        <f>IFERROR(Raw_Data!AI15,0)</f>
        <v>0</v>
      </c>
      <c r="K68" s="477">
        <f>IFERROR(Raw_Data!AP15,0)</f>
        <v>0</v>
      </c>
      <c r="L68" s="477">
        <f>IFERROR(Raw_Data!AW15,0)</f>
        <v>0</v>
      </c>
      <c r="M68" s="477">
        <f>IFERROR(Raw_Data!BD15,0)</f>
        <v>0</v>
      </c>
      <c r="N68" s="477">
        <f>IFERROR(Raw_Data!BK15,0)</f>
        <v>0</v>
      </c>
      <c r="O68" s="477">
        <f>IFERROR(Raw_Data!BR15,0)</f>
        <v>0</v>
      </c>
      <c r="P68">
        <f t="shared" si="13"/>
        <v>0</v>
      </c>
      <c r="Q68" s="646"/>
    </row>
    <row r="69" spans="1:17" ht="13.8">
      <c r="A69" s="106" t="s">
        <v>284</v>
      </c>
      <c r="B69" s="589" t="s">
        <v>212</v>
      </c>
      <c r="C69" s="479">
        <f>IFERROR('Energy balance'!C9*#REF!,0)</f>
        <v>0</v>
      </c>
      <c r="D69" s="479">
        <f>IFERROR('Energy balance'!D9*#REF!,0)</f>
        <v>0</v>
      </c>
      <c r="E69" s="479">
        <f>IFERROR('Energy balance'!E9*#REF!,0)</f>
        <v>0</v>
      </c>
      <c r="F69" s="477">
        <f>IFERROR(Raw_Data!G16,0)</f>
        <v>0</v>
      </c>
      <c r="G69" s="477">
        <f>IFERROR(Raw_Data!N16,0)</f>
        <v>0</v>
      </c>
      <c r="H69" s="477">
        <f>IFERROR(Raw_Data!U16,0)</f>
        <v>0</v>
      </c>
      <c r="I69" s="477">
        <f>IFERROR(Raw_Data!AB16,0)</f>
        <v>0</v>
      </c>
      <c r="J69" s="477">
        <f>IFERROR(Raw_Data!AI16,0)</f>
        <v>0</v>
      </c>
      <c r="K69" s="477">
        <f>IFERROR(Raw_Data!AP16,0)</f>
        <v>0</v>
      </c>
      <c r="L69" s="477">
        <f>IFERROR(Raw_Data!AW16,0)</f>
        <v>0</v>
      </c>
      <c r="M69" s="477">
        <f>IFERROR(Raw_Data!BD16,0)</f>
        <v>0</v>
      </c>
      <c r="N69" s="477">
        <f>IFERROR(Raw_Data!BK16,0)</f>
        <v>0</v>
      </c>
      <c r="O69" s="477">
        <f>IFERROR(Raw_Data!BR16,0)</f>
        <v>0</v>
      </c>
      <c r="P69">
        <f t="shared" si="13"/>
        <v>0</v>
      </c>
      <c r="Q69" s="646"/>
    </row>
    <row r="70" spans="1:17" ht="13.8">
      <c r="A70" s="106" t="s">
        <v>284</v>
      </c>
      <c r="B70" s="589" t="s">
        <v>854</v>
      </c>
      <c r="C70" s="479">
        <f>IFERROR('Energy balance'!C10*#REF!,0)</f>
        <v>0</v>
      </c>
      <c r="D70" s="479">
        <f>IFERROR('Energy balance'!D10*#REF!,0)</f>
        <v>0</v>
      </c>
      <c r="E70" s="479">
        <f>IFERROR('Energy balance'!E10*#REF!,0)</f>
        <v>0</v>
      </c>
      <c r="F70" s="477">
        <f>IFERROR(Raw_Data!G17,0)</f>
        <v>0</v>
      </c>
      <c r="G70" s="477">
        <f>IFERROR(Raw_Data!N17,0)</f>
        <v>0</v>
      </c>
      <c r="H70" s="477">
        <f>IFERROR(Raw_Data!U17,0)</f>
        <v>0</v>
      </c>
      <c r="I70" s="477">
        <f>IFERROR(Raw_Data!AB17,0)</f>
        <v>0</v>
      </c>
      <c r="J70" s="477">
        <f>IFERROR(Raw_Data!AI17,0)</f>
        <v>0</v>
      </c>
      <c r="K70" s="477">
        <f>IFERROR(Raw_Data!AP17,0)</f>
        <v>0</v>
      </c>
      <c r="L70" s="477">
        <f>IFERROR(Raw_Data!AW17,0)</f>
        <v>0</v>
      </c>
      <c r="M70" s="477">
        <f>IFERROR(Raw_Data!BD17,0)</f>
        <v>0</v>
      </c>
      <c r="N70" s="477">
        <f>IFERROR(Raw_Data!BK17,0)</f>
        <v>0</v>
      </c>
      <c r="O70" s="477">
        <f>IFERROR(Raw_Data!BR17,0)</f>
        <v>0</v>
      </c>
      <c r="P70">
        <f t="shared" si="13"/>
        <v>0</v>
      </c>
      <c r="Q70" s="646"/>
    </row>
    <row r="71" spans="1:17" ht="13.8">
      <c r="A71" s="106" t="s">
        <v>284</v>
      </c>
      <c r="B71" s="589" t="s">
        <v>852</v>
      </c>
      <c r="C71" s="479">
        <f>IFERROR('Energy balance'!C12*#REF!,0)</f>
        <v>0</v>
      </c>
      <c r="D71" s="479">
        <f>IFERROR('Energy balance'!D12*#REF!,0)</f>
        <v>0</v>
      </c>
      <c r="E71" s="479">
        <f>IFERROR('Energy balance'!E12*#REF!,0)</f>
        <v>0</v>
      </c>
      <c r="F71" s="477">
        <f>IFERROR(Raw_Data!G19,0)</f>
        <v>0</v>
      </c>
      <c r="G71" s="477">
        <f>IFERROR(Raw_Data!N19,0)</f>
        <v>0</v>
      </c>
      <c r="H71" s="477">
        <f>IFERROR(Raw_Data!U19,0)</f>
        <v>0</v>
      </c>
      <c r="I71" s="477">
        <f>IFERROR(Raw_Data!AB19,0)</f>
        <v>0</v>
      </c>
      <c r="J71" s="477">
        <f>IFERROR(Raw_Data!AI19,0)</f>
        <v>0</v>
      </c>
      <c r="K71" s="477">
        <f>IFERROR(Raw_Data!AP19,0)</f>
        <v>0</v>
      </c>
      <c r="L71" s="477">
        <f>IFERROR(Raw_Data!AW19,0)</f>
        <v>0</v>
      </c>
      <c r="M71" s="477">
        <f>IFERROR(Raw_Data!BD19,0)</f>
        <v>0</v>
      </c>
      <c r="N71" s="477">
        <f>IFERROR(Raw_Data!BK19,0)</f>
        <v>0</v>
      </c>
      <c r="O71" s="477">
        <f>IFERROR(Raw_Data!BR19,0)</f>
        <v>0</v>
      </c>
      <c r="P71">
        <f t="shared" si="13"/>
        <v>0</v>
      </c>
      <c r="Q71" s="648"/>
    </row>
    <row r="72" spans="1:17" ht="13.8">
      <c r="A72" s="106" t="s">
        <v>284</v>
      </c>
      <c r="B72" s="589" t="s">
        <v>851</v>
      </c>
      <c r="C72" s="478">
        <f>IFERROR('Energy balance'!C13*#REF!,0)</f>
        <v>0</v>
      </c>
      <c r="D72" s="478">
        <f>IFERROR('Energy balance'!D13*#REF!,0)</f>
        <v>0</v>
      </c>
      <c r="E72" s="478">
        <f>IFERROR('Energy balance'!E13*#REF!,0)</f>
        <v>0</v>
      </c>
      <c r="F72" s="477">
        <f>IFERROR(Raw_Data!G20,0)</f>
        <v>0</v>
      </c>
      <c r="G72" s="477">
        <f>IFERROR(Raw_Data!N20,0)</f>
        <v>0</v>
      </c>
      <c r="H72" s="477">
        <f>IFERROR(Raw_Data!U20,0)</f>
        <v>0</v>
      </c>
      <c r="I72" s="477">
        <f>IFERROR(Raw_Data!AB20,0)</f>
        <v>0</v>
      </c>
      <c r="J72" s="477">
        <f>IFERROR(Raw_Data!AI20,0)</f>
        <v>0</v>
      </c>
      <c r="K72" s="477">
        <f>IFERROR(Raw_Data!AP20,0)</f>
        <v>0</v>
      </c>
      <c r="L72" s="477">
        <f>IFERROR(Raw_Data!AW20,0)</f>
        <v>0</v>
      </c>
      <c r="M72" s="477">
        <f>IFERROR(Raw_Data!BD20,0)</f>
        <v>0</v>
      </c>
      <c r="N72" s="477">
        <f>IFERROR(Raw_Data!BK20,0)</f>
        <v>0</v>
      </c>
      <c r="O72" s="477">
        <f>IFERROR(Raw_Data!BR20,0)</f>
        <v>0</v>
      </c>
      <c r="P72">
        <f t="shared" si="13"/>
        <v>0</v>
      </c>
      <c r="Q72" s="646"/>
    </row>
    <row r="73" spans="1:17" ht="13.8">
      <c r="A73" s="106" t="s">
        <v>284</v>
      </c>
      <c r="B73" s="589" t="s">
        <v>850</v>
      </c>
      <c r="C73" s="478">
        <f>IFERROR('Energy balance'!C14*#REF!,0)</f>
        <v>0</v>
      </c>
      <c r="D73" s="478">
        <f>IFERROR('Energy balance'!D14*#REF!,0)</f>
        <v>0</v>
      </c>
      <c r="E73" s="478">
        <f>IFERROR('Energy balance'!E14*#REF!,0)</f>
        <v>0</v>
      </c>
      <c r="F73" s="477">
        <f>IFERROR(Raw_Data!G21,0)</f>
        <v>0</v>
      </c>
      <c r="G73" s="477">
        <f>IFERROR(Raw_Data!N21,0)</f>
        <v>0</v>
      </c>
      <c r="H73" s="477">
        <f>IFERROR(Raw_Data!U21,0)</f>
        <v>0</v>
      </c>
      <c r="I73" s="477">
        <f>IFERROR(Raw_Data!AB21,0)</f>
        <v>0</v>
      </c>
      <c r="J73" s="477">
        <f>IFERROR(Raw_Data!AI21,0)</f>
        <v>0</v>
      </c>
      <c r="K73" s="477">
        <f>IFERROR(Raw_Data!AP21,0)</f>
        <v>0</v>
      </c>
      <c r="L73" s="477">
        <f>IFERROR(Raw_Data!AW21,0)</f>
        <v>0</v>
      </c>
      <c r="M73" s="477">
        <f>IFERROR(Raw_Data!BD21,0)</f>
        <v>0</v>
      </c>
      <c r="N73" s="477">
        <f>IFERROR(Raw_Data!BK21,0)</f>
        <v>0</v>
      </c>
      <c r="O73" s="477">
        <f>IFERROR(Raw_Data!BR21,0)</f>
        <v>0</v>
      </c>
      <c r="P73">
        <f t="shared" si="13"/>
        <v>0</v>
      </c>
      <c r="Q73" s="646"/>
    </row>
    <row r="74" spans="1:17" ht="13.8">
      <c r="A74" s="106" t="s">
        <v>284</v>
      </c>
      <c r="B74" s="589" t="s">
        <v>849</v>
      </c>
      <c r="C74" s="478">
        <f>IFERROR('Energy balance'!C15*#REF!,0)</f>
        <v>0</v>
      </c>
      <c r="D74" s="478">
        <f>IFERROR('Energy balance'!D15*#REF!,0)</f>
        <v>0</v>
      </c>
      <c r="E74" s="478">
        <f>IFERROR('Energy balance'!E15*#REF!,0)</f>
        <v>0</v>
      </c>
      <c r="F74" s="477">
        <f>IFERROR(Raw_Data!G22,0)</f>
        <v>0</v>
      </c>
      <c r="G74" s="477">
        <f>IFERROR(Raw_Data!N22,0)</f>
        <v>0</v>
      </c>
      <c r="H74" s="477">
        <f>IFERROR(Raw_Data!U22,0)</f>
        <v>0</v>
      </c>
      <c r="I74" s="477">
        <f>IFERROR(Raw_Data!AB22,0)</f>
        <v>0</v>
      </c>
      <c r="J74" s="477">
        <f>IFERROR(Raw_Data!AI22,0)</f>
        <v>0</v>
      </c>
      <c r="K74" s="477">
        <f>IFERROR(Raw_Data!AP22,0)</f>
        <v>0</v>
      </c>
      <c r="L74" s="477">
        <f>IFERROR(Raw_Data!AW22,0)</f>
        <v>0</v>
      </c>
      <c r="M74" s="477">
        <f>IFERROR(Raw_Data!BD22,0)</f>
        <v>0</v>
      </c>
      <c r="N74" s="477">
        <f>IFERROR(Raw_Data!BK22,0)</f>
        <v>0</v>
      </c>
      <c r="O74" s="477">
        <f>IFERROR(Raw_Data!BR22,0)</f>
        <v>0</v>
      </c>
      <c r="P74">
        <f t="shared" si="13"/>
        <v>0</v>
      </c>
      <c r="Q74" s="646"/>
    </row>
    <row r="75" spans="1:17" ht="13.8">
      <c r="A75" s="106" t="s">
        <v>284</v>
      </c>
      <c r="B75" s="589" t="s">
        <v>79</v>
      </c>
      <c r="C75" s="478">
        <f>IFERROR('Energy balance'!C16*#REF!,0)</f>
        <v>0</v>
      </c>
      <c r="D75" s="478">
        <f>IFERROR('Energy balance'!D16*#REF!,0)</f>
        <v>0</v>
      </c>
      <c r="E75" s="478">
        <f>IFERROR('Energy balance'!E16*#REF!,0)</f>
        <v>0</v>
      </c>
      <c r="F75" s="477">
        <f>IFERROR(Raw_Data!G23,0)</f>
        <v>140283</v>
      </c>
      <c r="G75" s="477">
        <f>IFERROR(Raw_Data!N23,0)</f>
        <v>139168.07999999999</v>
      </c>
      <c r="H75" s="477">
        <f>IFERROR(Raw_Data!U23,0)</f>
        <v>140562</v>
      </c>
      <c r="I75" s="477">
        <f>IFERROR(Raw_Data!AB23,0)</f>
        <v>138429.565</v>
      </c>
      <c r="J75" s="477">
        <f>IFERROR(Raw_Data!AI23,0)</f>
        <v>134723.693</v>
      </c>
      <c r="K75" s="477">
        <f>IFERROR(Raw_Data!AP23,0)</f>
        <v>133825.734</v>
      </c>
      <c r="L75" s="477">
        <f>IFERROR(Raw_Data!AW23,0)</f>
        <v>138362.26699999999</v>
      </c>
      <c r="M75" s="477">
        <f>IFERROR(Raw_Data!BD23,0)</f>
        <v>138456.02499999999</v>
      </c>
      <c r="N75" s="477">
        <f>IFERROR(Raw_Data!BK23,0)</f>
        <v>139386.56400000001</v>
      </c>
      <c r="O75" s="477">
        <f>IFERROR(Raw_Data!BR23,0)</f>
        <v>141085.364</v>
      </c>
      <c r="P75">
        <f t="shared" si="13"/>
        <v>0.305697181233551</v>
      </c>
      <c r="Q75" s="646"/>
    </row>
    <row r="76" spans="1:17" ht="13.8">
      <c r="A76" s="106" t="s">
        <v>284</v>
      </c>
      <c r="B76" s="589" t="s">
        <v>219</v>
      </c>
      <c r="C76" s="478">
        <f>IFERROR('Energy balance'!C17*#REF!,0)</f>
        <v>0</v>
      </c>
      <c r="D76" s="478">
        <f>IFERROR('Energy balance'!D17*#REF!,0)</f>
        <v>0</v>
      </c>
      <c r="E76" s="478">
        <f>IFERROR('Energy balance'!E17*#REF!,0)</f>
        <v>0</v>
      </c>
      <c r="F76" s="477">
        <f>IFERROR(Raw_Data!G24,0)</f>
        <v>0</v>
      </c>
      <c r="G76" s="477">
        <f>IFERROR(Raw_Data!N24,0)</f>
        <v>0</v>
      </c>
      <c r="H76" s="477">
        <f>IFERROR(Raw_Data!U24,0)</f>
        <v>0</v>
      </c>
      <c r="I76" s="477">
        <f>IFERROR(Raw_Data!AB24,0)</f>
        <v>0</v>
      </c>
      <c r="J76" s="477">
        <f>IFERROR(Raw_Data!AI24,0)</f>
        <v>0</v>
      </c>
      <c r="K76" s="477">
        <f>IFERROR(Raw_Data!AP24,0)</f>
        <v>0</v>
      </c>
      <c r="L76" s="477">
        <f>IFERROR(Raw_Data!AW24,0)</f>
        <v>0</v>
      </c>
      <c r="M76" s="477">
        <f>IFERROR(Raw_Data!BD24,0)</f>
        <v>0</v>
      </c>
      <c r="N76" s="477">
        <f>IFERROR(Raw_Data!BK24,0)</f>
        <v>0</v>
      </c>
      <c r="O76" s="477">
        <f>IFERROR(Raw_Data!BR24,0)</f>
        <v>0</v>
      </c>
      <c r="P76">
        <f t="shared" si="13"/>
        <v>0</v>
      </c>
      <c r="Q76" s="646"/>
    </row>
    <row r="77" spans="1:17" ht="13.8">
      <c r="A77" s="106" t="s">
        <v>284</v>
      </c>
      <c r="B77" s="604" t="s">
        <v>890</v>
      </c>
      <c r="C77" s="478">
        <f>IFERROR('Energy balance'!C18*#REF!,0)</f>
        <v>0</v>
      </c>
      <c r="D77" s="478">
        <f>IFERROR('Energy balance'!D18*#REF!,0)</f>
        <v>0</v>
      </c>
      <c r="E77" s="479">
        <f>IFERROR('Energy balance'!E18*#REF!,0)</f>
        <v>0</v>
      </c>
      <c r="F77" s="479">
        <f>IFERROR('Energy balance'!F18*#REF!,0)</f>
        <v>0</v>
      </c>
      <c r="G77" s="479">
        <f>IFERROR('Energy balance'!G18*#REF!,0)</f>
        <v>0</v>
      </c>
      <c r="H77" s="479">
        <f>IFERROR('Energy balance'!H18*#REF!,0)</f>
        <v>0</v>
      </c>
      <c r="I77" s="480">
        <f>IFERROR('Energy balance'!I18*#REF!,0)</f>
        <v>0</v>
      </c>
      <c r="J77" s="480">
        <f>IFERROR('Energy balance'!J18*#REF!,0)</f>
        <v>0</v>
      </c>
      <c r="K77" s="480">
        <f>IFERROR('Energy balance'!K18*#REF!,0)</f>
        <v>0</v>
      </c>
      <c r="L77" s="480">
        <f>IFERROR('Energy balance'!L18*#REF!,0)</f>
        <v>0</v>
      </c>
      <c r="M77" s="477">
        <f>IFERROR(Raw_Data!BD25,0)</f>
        <v>0</v>
      </c>
      <c r="N77" s="482">
        <f>IFERROR('Energy balance'!N18*#REF!,0)</f>
        <v>0</v>
      </c>
      <c r="O77" s="482">
        <f>IFERROR('Energy balance'!O18*#REF!,0)</f>
        <v>0</v>
      </c>
      <c r="P77">
        <f t="shared" si="13"/>
        <v>0</v>
      </c>
      <c r="Q77" s="649"/>
    </row>
    <row r="78" spans="1:17" ht="13.8">
      <c r="A78" s="106" t="s">
        <v>284</v>
      </c>
      <c r="B78" s="604" t="s">
        <v>960</v>
      </c>
      <c r="C78" s="478">
        <f>IFERROR('Energy balance'!C19*#REF!,0)</f>
        <v>0</v>
      </c>
      <c r="D78" s="478">
        <f>IFERROR('Energy balance'!D19*#REF!,0)</f>
        <v>0</v>
      </c>
      <c r="E78" s="478">
        <f>IFERROR('Energy balance'!E19*#REF!,0)</f>
        <v>0</v>
      </c>
      <c r="F78" s="477">
        <f>F66+F74+F67</f>
        <v>2438.7130000000002</v>
      </c>
      <c r="G78" s="477">
        <f t="shared" ref="G78:O78" si="14">G66+G74+G67</f>
        <v>3308.9079999999999</v>
      </c>
      <c r="H78" s="477">
        <f t="shared" si="14"/>
        <v>3620.538</v>
      </c>
      <c r="I78" s="477">
        <f t="shared" si="14"/>
        <v>4072.0819999999999</v>
      </c>
      <c r="J78" s="477">
        <f t="shared" si="14"/>
        <v>3644.1320000000001</v>
      </c>
      <c r="K78" s="477">
        <f t="shared" si="14"/>
        <v>3644.4560000000001</v>
      </c>
      <c r="L78" s="477">
        <f t="shared" si="14"/>
        <v>3421.4560000000001</v>
      </c>
      <c r="M78" s="477">
        <f t="shared" si="14"/>
        <v>3617.0970000000002</v>
      </c>
      <c r="N78" s="477">
        <f t="shared" si="14"/>
        <v>3891.1350000000002</v>
      </c>
      <c r="O78" s="477">
        <f t="shared" si="14"/>
        <v>4369.817</v>
      </c>
      <c r="P78">
        <f t="shared" si="13"/>
        <v>4.451268841124326E-3</v>
      </c>
      <c r="Q78" s="649"/>
    </row>
    <row r="79" spans="1:17" ht="13.8">
      <c r="A79" s="106" t="s">
        <v>284</v>
      </c>
      <c r="B79" s="589" t="s">
        <v>853</v>
      </c>
      <c r="C79" s="479">
        <f>IFERROR('Energy balance'!C11*#REF!,0)</f>
        <v>0</v>
      </c>
      <c r="D79" s="479">
        <f>IFERROR('Energy balance'!D11*#REF!,0)</f>
        <v>0</v>
      </c>
      <c r="E79" s="479">
        <f>IFERROR('Energy balance'!E11*#REF!,0)</f>
        <v>0</v>
      </c>
      <c r="F79" s="477">
        <f>IFERROR(Raw_Data!G18,0)</f>
        <v>7200</v>
      </c>
      <c r="G79" s="477">
        <f>IFERROR(Raw_Data!N18,0)</f>
        <v>7328</v>
      </c>
      <c r="H79" s="477">
        <f>IFERROR(Raw_Data!U18,0)</f>
        <v>7808</v>
      </c>
      <c r="I79" s="477">
        <f>IFERROR(Raw_Data!AB18,0)</f>
        <v>7520</v>
      </c>
      <c r="J79" s="477">
        <f>IFERROR(Raw_Data!AI18,0)</f>
        <v>7360</v>
      </c>
      <c r="K79" s="477">
        <f>IFERROR(Raw_Data!AP18,0)</f>
        <v>7488</v>
      </c>
      <c r="L79" s="477">
        <f>IFERROR(Raw_Data!AW18,0)</f>
        <v>6624</v>
      </c>
      <c r="M79" s="477">
        <f>IFERROR(Raw_Data!BD18,0)</f>
        <v>7008</v>
      </c>
      <c r="N79" s="477">
        <f>IFERROR(Raw_Data!BK18,0)</f>
        <v>7328</v>
      </c>
      <c r="O79" s="477">
        <f>IFERROR(Raw_Data!BR18,0)</f>
        <v>6848</v>
      </c>
      <c r="P79">
        <f t="shared" si="13"/>
        <v>1.9728458397460666E-2</v>
      </c>
      <c r="Q79" s="646"/>
    </row>
    <row r="80" spans="1:17" ht="13.8">
      <c r="A80" s="106" t="s">
        <v>284</v>
      </c>
      <c r="B80" s="314"/>
      <c r="C80" s="485">
        <f>IFERROR('Energy balance'!C20*#REF!,0)</f>
        <v>0</v>
      </c>
      <c r="D80" s="478">
        <f>IFERROR('Energy balance'!D20*#REF!,0)</f>
        <v>0</v>
      </c>
      <c r="E80" s="478">
        <f>IFERROR('Energy balance'!E20*#REF!,0)</f>
        <v>0</v>
      </c>
      <c r="F80" s="478">
        <f>IFERROR('Energy balance'!F20*#REF!,0)</f>
        <v>0</v>
      </c>
      <c r="G80" s="480">
        <f>IFERROR('Energy balance'!G20*#REF!,0)</f>
        <v>0</v>
      </c>
      <c r="H80" s="480">
        <f>IFERROR('Energy balance'!H20*#REF!,0)</f>
        <v>0</v>
      </c>
      <c r="I80" s="480">
        <f>IFERROR('Energy balance'!I20*#REF!,0)</f>
        <v>0</v>
      </c>
      <c r="J80" s="480">
        <f>IFERROR('Energy balance'!J20*#REF!,0)</f>
        <v>0</v>
      </c>
      <c r="K80" s="480">
        <f>IFERROR('Energy balance'!K20*#REF!,0)</f>
        <v>0</v>
      </c>
      <c r="L80" s="480">
        <f>IFERROR('Energy balance'!L20*#REF!,0)</f>
        <v>0</v>
      </c>
      <c r="M80" s="481">
        <f>IFERROR('Energy balance'!M20*#REF!,0)</f>
        <v>0</v>
      </c>
      <c r="N80" s="482">
        <f>IFERROR('Energy balance'!N20*#REF!,0)</f>
        <v>0</v>
      </c>
      <c r="O80" s="482">
        <f>IFERROR('Energy balance'!O20*#REF!,0)</f>
        <v>0</v>
      </c>
      <c r="Q80" s="646"/>
    </row>
    <row r="81" spans="1:17" ht="13.8">
      <c r="A81" s="106" t="s">
        <v>284</v>
      </c>
      <c r="B81" s="314"/>
      <c r="C81" s="478">
        <f>IFERROR('Energy balance'!C21*#REF!,0)</f>
        <v>0</v>
      </c>
      <c r="D81" s="478">
        <f>IFERROR('Energy balance'!D21*#REF!,0)</f>
        <v>0</v>
      </c>
      <c r="E81" s="479">
        <f>IFERROR('Energy balance'!E21*#REF!,0)</f>
        <v>0</v>
      </c>
      <c r="F81" s="479">
        <f>IFERROR('Energy balance'!F21*#REF!,0)</f>
        <v>0</v>
      </c>
      <c r="G81" s="479">
        <f>IFERROR('Energy balance'!G21*#REF!,0)</f>
        <v>0</v>
      </c>
      <c r="H81" s="479">
        <f>IFERROR('Energy balance'!H21*#REF!,0)</f>
        <v>0</v>
      </c>
      <c r="I81" s="480">
        <f>IFERROR('Energy balance'!I21*#REF!,0)</f>
        <v>0</v>
      </c>
      <c r="J81" s="480">
        <f>IFERROR('Energy balance'!J21*#REF!,0)</f>
        <v>0</v>
      </c>
      <c r="K81" s="480">
        <f>IFERROR('Energy balance'!K21*#REF!,0)</f>
        <v>0</v>
      </c>
      <c r="L81" s="480">
        <f>IFERROR('Energy balance'!L21*#REF!,0)</f>
        <v>0</v>
      </c>
      <c r="M81" s="481">
        <f>IFERROR('Energy balance'!M21*#REF!,0)</f>
        <v>0</v>
      </c>
      <c r="N81" s="482">
        <f>IFERROR('Energy balance'!N21*#REF!,0)</f>
        <v>0</v>
      </c>
      <c r="O81" s="482">
        <f>IFERROR('Energy balance'!O21*#REF!,0)</f>
        <v>0</v>
      </c>
    </row>
    <row r="82" spans="1:17" ht="13.8">
      <c r="B82" s="363" t="s">
        <v>106</v>
      </c>
      <c r="C82" s="364">
        <f>SUM(C65:C81)</f>
        <v>0</v>
      </c>
      <c r="D82" s="364">
        <f>SUM(D65:D81)</f>
        <v>0</v>
      </c>
      <c r="E82" s="364">
        <f>SUM(E65:E81)</f>
        <v>0</v>
      </c>
      <c r="F82" s="609">
        <f>F65+F78+(F68-F67)+F71+F72+F73+F75+F76</f>
        <v>142721.71299999999</v>
      </c>
      <c r="G82" s="609">
        <f t="shared" ref="G82:O82" si="15">G65+G78+(G68-G67)+G71+G72+G73+G75+G76</f>
        <v>142476.98799999998</v>
      </c>
      <c r="H82" s="609">
        <f t="shared" si="15"/>
        <v>144182.538</v>
      </c>
      <c r="I82" s="609">
        <f t="shared" si="15"/>
        <v>142501.647</v>
      </c>
      <c r="J82" s="609">
        <f t="shared" si="15"/>
        <v>138367.82500000001</v>
      </c>
      <c r="K82" s="609">
        <f t="shared" si="15"/>
        <v>137470.19</v>
      </c>
      <c r="L82" s="609">
        <f t="shared" si="15"/>
        <v>141783.723</v>
      </c>
      <c r="M82" s="609">
        <f t="shared" si="15"/>
        <v>142073.122</v>
      </c>
      <c r="N82" s="609">
        <f t="shared" si="15"/>
        <v>143277.69900000002</v>
      </c>
      <c r="O82" s="609">
        <f t="shared" si="15"/>
        <v>145455.18100000001</v>
      </c>
    </row>
    <row r="84" spans="1:17" ht="16.2" thickBot="1">
      <c r="B84" s="357" t="s">
        <v>889</v>
      </c>
    </row>
    <row r="85" spans="1:17" ht="14.4" thickBot="1">
      <c r="B85" s="303"/>
      <c r="C85" s="304">
        <v>2007</v>
      </c>
      <c r="D85" s="305">
        <v>2008</v>
      </c>
      <c r="E85" s="305">
        <v>2009</v>
      </c>
      <c r="F85" s="305">
        <v>2010</v>
      </c>
      <c r="G85" s="305">
        <v>2011</v>
      </c>
      <c r="H85" s="305">
        <v>2012</v>
      </c>
      <c r="I85" s="305">
        <v>2013</v>
      </c>
      <c r="J85" s="305">
        <v>2014</v>
      </c>
      <c r="K85" s="305">
        <v>2015</v>
      </c>
      <c r="L85" s="305">
        <v>2016</v>
      </c>
      <c r="M85" s="306">
        <v>2017</v>
      </c>
      <c r="N85" s="307">
        <v>2018</v>
      </c>
      <c r="O85" s="307">
        <v>2019</v>
      </c>
    </row>
    <row r="86" spans="1:17" ht="13.8">
      <c r="A86" s="106" t="s">
        <v>292</v>
      </c>
      <c r="B86" s="589" t="s">
        <v>857</v>
      </c>
      <c r="C86" s="477">
        <f>IFERROR('Energy balance'!C5*#REF!,0)</f>
        <v>0</v>
      </c>
      <c r="D86" s="477">
        <f>IFERROR('Energy balance'!D5*#REF!,0)</f>
        <v>0</v>
      </c>
      <c r="E86" s="477">
        <f>IFERROR('Energy balance'!E5*#REF!,0)</f>
        <v>0</v>
      </c>
      <c r="F86" s="597">
        <f>(IFERROR(Raw_Data!H12,0))+(IFERROR(Raw_Data!I12,0))</f>
        <v>0</v>
      </c>
      <c r="G86" s="597">
        <f>(IFERROR(Raw_Data!IO12,0))+(IFERROR(Raw_Data!P12,0))</f>
        <v>0</v>
      </c>
      <c r="H86" s="597">
        <f>(IFERROR(Raw_Data!V12,0))+(IFERROR(Raw_Data!W12,0))</f>
        <v>0</v>
      </c>
      <c r="I86" s="597">
        <f>(IFERROR(Raw_Data!AC12,0))+(IFERROR(Raw_Data!AD12,0))</f>
        <v>0</v>
      </c>
      <c r="J86" s="597">
        <f>(IFERROR(Raw_Data!AJ12,0))+(IFERROR(Raw_Data!AK12,0))</f>
        <v>0</v>
      </c>
      <c r="K86" s="597">
        <f>(IFERROR(Raw_Data!AQ12,0))+(IFERROR(Raw_Data!AR12,0))</f>
        <v>0</v>
      </c>
      <c r="L86" s="597">
        <f>(IFERROR(Raw_Data!AX12,0))+(IFERROR(Raw_Data!AY12,0))</f>
        <v>0</v>
      </c>
      <c r="M86" s="597">
        <f>(IFERROR(Raw_Data!BE12,0))+(IFERROR(Raw_Data!BF12,0))</f>
        <v>0</v>
      </c>
      <c r="N86" s="597">
        <f>(IFERROR(Raw_Data!BL12,0))+(IFERROR(Raw_Data!BM12,0))</f>
        <v>0</v>
      </c>
      <c r="O86" s="597">
        <f>(IFERROR(Raw_Data!BS12,0))+(IFERROR(Raw_Data!BT12,0))</f>
        <v>0</v>
      </c>
      <c r="P86">
        <f t="shared" ref="P86:P100" si="16">O86/(O107+O86+O65+O44+O23)</f>
        <v>0</v>
      </c>
    </row>
    <row r="87" spans="1:17" ht="13.8">
      <c r="A87" s="106" t="s">
        <v>292</v>
      </c>
      <c r="B87" s="589" t="s">
        <v>80</v>
      </c>
      <c r="C87" s="478">
        <f>IFERROR('Energy balance'!C6*#REF!,0)</f>
        <v>0</v>
      </c>
      <c r="D87" s="478">
        <f>IFERROR('Energy balance'!D6*#REF!,0)</f>
        <v>0</v>
      </c>
      <c r="E87" s="478">
        <f>IFERROR('Energy balance'!E6*#REF!,0)</f>
        <v>0</v>
      </c>
      <c r="F87" s="596">
        <f>(IFERROR(Raw_Data!H13,0))+(IFERROR(Raw_Data!I13,0))</f>
        <v>0</v>
      </c>
      <c r="G87" s="597">
        <f>(IFERROR(Raw_Data!IO13,0))+(IFERROR(Raw_Data!P13,0))</f>
        <v>0</v>
      </c>
      <c r="H87" s="597">
        <f>(IFERROR(Raw_Data!V13,0))+(IFERROR(Raw_Data!W13,0))</f>
        <v>0</v>
      </c>
      <c r="I87" s="597">
        <f>(IFERROR(Raw_Data!AC13,0))+(IFERROR(Raw_Data!AD13,0))</f>
        <v>0</v>
      </c>
      <c r="J87" s="597">
        <f>(IFERROR(Raw_Data!AJ13,0))+(IFERROR(Raw_Data!AK13,0))</f>
        <v>0</v>
      </c>
      <c r="K87" s="597">
        <f>(IFERROR(Raw_Data!AQ13,0))+(IFERROR(Raw_Data!AR13,0))</f>
        <v>0</v>
      </c>
      <c r="L87" s="597">
        <f>(IFERROR(Raw_Data!AX13,0))+(IFERROR(Raw_Data!AY13,0))</f>
        <v>0</v>
      </c>
      <c r="M87" s="597">
        <f>(IFERROR(Raw_Data!BE13,0))+(IFERROR(Raw_Data!BF13,0))</f>
        <v>0</v>
      </c>
      <c r="N87" s="597">
        <f>(IFERROR(Raw_Data!BL13,0))+(IFERROR(Raw_Data!BM13,0))</f>
        <v>0</v>
      </c>
      <c r="O87" s="597">
        <f>(IFERROR(Raw_Data!BS13,0))+(IFERROR(Raw_Data!BT13,0))</f>
        <v>0</v>
      </c>
      <c r="P87">
        <f t="shared" si="16"/>
        <v>0</v>
      </c>
    </row>
    <row r="88" spans="1:17" ht="13.8">
      <c r="A88" s="106" t="s">
        <v>292</v>
      </c>
      <c r="B88" s="589" t="s">
        <v>856</v>
      </c>
      <c r="C88" s="478">
        <f>IFERROR('Energy balance'!C7*#REF!,0)</f>
        <v>0</v>
      </c>
      <c r="D88" s="478">
        <f>IFERROR('Energy balance'!D7*#REF!,0)</f>
        <v>0</v>
      </c>
      <c r="E88" s="478">
        <f>IFERROR('Energy balance'!E7*#REF!,0)</f>
        <v>0</v>
      </c>
      <c r="F88" s="596">
        <f>(IFERROR(Raw_Data!H14,0))+(IFERROR(Raw_Data!I14,0))</f>
        <v>0</v>
      </c>
      <c r="G88" s="597">
        <f>(IFERROR(Raw_Data!IO14,0))+(IFERROR(Raw_Data!P14,0))</f>
        <v>0</v>
      </c>
      <c r="H88" s="597">
        <f>(IFERROR(Raw_Data!V14,0))+(IFERROR(Raw_Data!W14,0))</f>
        <v>0</v>
      </c>
      <c r="I88" s="597">
        <f>(IFERROR(Raw_Data!AC14,0))+(IFERROR(Raw_Data!AD14,0))</f>
        <v>0</v>
      </c>
      <c r="J88" s="597">
        <f>(IFERROR(Raw_Data!AJ14,0))+(IFERROR(Raw_Data!AK14,0))</f>
        <v>0</v>
      </c>
      <c r="K88" s="597">
        <f>(IFERROR(Raw_Data!AQ14,0))+(IFERROR(Raw_Data!AR14,0))</f>
        <v>0</v>
      </c>
      <c r="L88" s="597">
        <f>(IFERROR(Raw_Data!AX14,0))+(IFERROR(Raw_Data!AY14,0))</f>
        <v>0</v>
      </c>
      <c r="M88" s="597">
        <f>(IFERROR(Raw_Data!BE14,0))+(IFERROR(Raw_Data!BF14,0))</f>
        <v>0</v>
      </c>
      <c r="N88" s="597">
        <f>(IFERROR(Raw_Data!BL14,0))+(IFERROR(Raw_Data!BM14,0))</f>
        <v>0</v>
      </c>
      <c r="O88" s="597">
        <f>(IFERROR(Raw_Data!BS14,0))+(IFERROR(Raw_Data!BT14,0))</f>
        <v>0</v>
      </c>
      <c r="P88">
        <f t="shared" si="16"/>
        <v>0</v>
      </c>
    </row>
    <row r="89" spans="1:17" ht="13.8">
      <c r="A89" s="106" t="s">
        <v>292</v>
      </c>
      <c r="B89" s="589" t="s">
        <v>855</v>
      </c>
      <c r="C89" s="479">
        <f>IFERROR('Energy balance'!C8*#REF!,0)</f>
        <v>0</v>
      </c>
      <c r="D89" s="479">
        <f>IFERROR('Energy balance'!D8*#REF!,0)</f>
        <v>0</v>
      </c>
      <c r="E89" s="479">
        <f>IFERROR('Energy balance'!E8*#REF!,0)</f>
        <v>0</v>
      </c>
      <c r="F89" s="596">
        <f>(IFERROR(Raw_Data!H15,0))+(IFERROR(Raw_Data!I15,0))</f>
        <v>4556.4889999999996</v>
      </c>
      <c r="G89" s="597">
        <f>(IFERROR(Raw_Data!IO15,0))+(IFERROR(Raw_Data!P15,0))</f>
        <v>4515.51</v>
      </c>
      <c r="H89" s="597">
        <f>(IFERROR(Raw_Data!V15,0))+(IFERROR(Raw_Data!W15,0))</f>
        <v>4426.3450000000003</v>
      </c>
      <c r="I89" s="597">
        <f>(IFERROR(Raw_Data!AC15,0))+(IFERROR(Raw_Data!AD15,0))</f>
        <v>4427.9210000000003</v>
      </c>
      <c r="J89" s="597">
        <f>(IFERROR(Raw_Data!AJ15,0))+(IFERROR(Raw_Data!AK15,0))</f>
        <v>4481.7510000000002</v>
      </c>
      <c r="K89" s="597">
        <f>(IFERROR(Raw_Data!AQ15,0))+(IFERROR(Raw_Data!AR15,0))</f>
        <v>4383.0020000000004</v>
      </c>
      <c r="L89" s="597">
        <f>(IFERROR(Raw_Data!AX15,0))+(IFERROR(Raw_Data!AY15,0))</f>
        <v>4540.9650000000001</v>
      </c>
      <c r="M89" s="597">
        <f>(IFERROR(Raw_Data!BE15,0))+(IFERROR(Raw_Data!BF15,0))</f>
        <v>4282.3990000000003</v>
      </c>
      <c r="N89" s="597">
        <f>(IFERROR(Raw_Data!BL15,0))+(IFERROR(Raw_Data!BM15,0))</f>
        <v>4583.0569999999998</v>
      </c>
      <c r="O89" s="597">
        <f>(IFERROR(Raw_Data!BS15,0))+(IFERROR(Raw_Data!BT15,0))</f>
        <v>4539.8119999999999</v>
      </c>
      <c r="P89">
        <f t="shared" si="16"/>
        <v>9.1552939325786151E-3</v>
      </c>
    </row>
    <row r="90" spans="1:17" ht="13.8">
      <c r="A90" s="106" t="s">
        <v>292</v>
      </c>
      <c r="B90" s="589" t="s">
        <v>212</v>
      </c>
      <c r="C90" s="479">
        <f>IFERROR('Energy balance'!C9*#REF!,0)</f>
        <v>0</v>
      </c>
      <c r="D90" s="479">
        <f>IFERROR('Energy balance'!D9*#REF!,0)</f>
        <v>0</v>
      </c>
      <c r="E90" s="479">
        <f>IFERROR('Energy balance'!E9*#REF!,0)</f>
        <v>0</v>
      </c>
      <c r="F90" s="596">
        <f>(IFERROR(Raw_Data!H16,0))+(IFERROR(Raw_Data!I16,0))</f>
        <v>256.8</v>
      </c>
      <c r="G90" s="597">
        <f>(IFERROR(Raw_Data!IO16,0))+(IFERROR(Raw_Data!P16,0))</f>
        <v>214</v>
      </c>
      <c r="H90" s="597">
        <f>(IFERROR(Raw_Data!V16,0))+(IFERROR(Raw_Data!W16,0))</f>
        <v>128.4</v>
      </c>
      <c r="I90" s="597">
        <f>(IFERROR(Raw_Data!AC16,0))+(IFERROR(Raw_Data!AD16,0))</f>
        <v>128.4</v>
      </c>
      <c r="J90" s="597">
        <f>(IFERROR(Raw_Data!AJ16,0))+(IFERROR(Raw_Data!AK16,0))</f>
        <v>85.6</v>
      </c>
      <c r="K90" s="597">
        <f>(IFERROR(Raw_Data!AQ16,0))+(IFERROR(Raw_Data!AR16,0))</f>
        <v>128.4</v>
      </c>
      <c r="L90" s="597">
        <f>(IFERROR(Raw_Data!AX16,0))+(IFERROR(Raw_Data!AY16,0))</f>
        <v>256.8</v>
      </c>
      <c r="M90" s="597">
        <f>(IFERROR(Raw_Data!BE16,0))+(IFERROR(Raw_Data!BF16,0))</f>
        <v>0</v>
      </c>
      <c r="N90" s="597">
        <f>(IFERROR(Raw_Data!BL16,0))+(IFERROR(Raw_Data!BM16,0))</f>
        <v>299.60000000000002</v>
      </c>
      <c r="O90" s="597">
        <f>(IFERROR(Raw_Data!BS16,0))+(IFERROR(Raw_Data!BT16,0))</f>
        <v>256.8</v>
      </c>
      <c r="P90">
        <f t="shared" si="16"/>
        <v>1</v>
      </c>
    </row>
    <row r="91" spans="1:17" ht="13.8">
      <c r="A91" s="106" t="s">
        <v>292</v>
      </c>
      <c r="B91" s="589" t="s">
        <v>854</v>
      </c>
      <c r="C91" s="479">
        <f>IFERROR('Energy balance'!C10*$Q91,0)</f>
        <v>0</v>
      </c>
      <c r="D91" s="479">
        <f>IFERROR('Energy balance'!D10*$Q91,0)</f>
        <v>0</v>
      </c>
      <c r="E91" s="479">
        <f>IFERROR('Energy balance'!E10*$Q91,0)</f>
        <v>0</v>
      </c>
      <c r="F91" s="596">
        <f>(IFERROR(Raw_Data!H17,0))+(IFERROR(Raw_Data!I17,0))</f>
        <v>0</v>
      </c>
      <c r="G91" s="597">
        <f>(IFERROR(Raw_Data!IO17,0))+(IFERROR(Raw_Data!P17,0))</f>
        <v>0</v>
      </c>
      <c r="H91" s="597">
        <f>(IFERROR(Raw_Data!V17,0))+(IFERROR(Raw_Data!W17,0))</f>
        <v>0</v>
      </c>
      <c r="I91" s="597">
        <f>(IFERROR(Raw_Data!AC17,0))+(IFERROR(Raw_Data!AD17,0))</f>
        <v>0</v>
      </c>
      <c r="J91" s="597">
        <f>(IFERROR(Raw_Data!AJ17,0))+(IFERROR(Raw_Data!AK17,0))</f>
        <v>0</v>
      </c>
      <c r="K91" s="597">
        <f>(IFERROR(Raw_Data!AQ17,0))+(IFERROR(Raw_Data!AR17,0))</f>
        <v>0</v>
      </c>
      <c r="L91" s="597">
        <f>(IFERROR(Raw_Data!AX17,0))+(IFERROR(Raw_Data!AY17,0))</f>
        <v>0</v>
      </c>
      <c r="M91" s="597">
        <f>(IFERROR(Raw_Data!BE17,0))+(IFERROR(Raw_Data!BF17,0))</f>
        <v>0</v>
      </c>
      <c r="N91" s="597">
        <f>(IFERROR(Raw_Data!BL17,0))+(IFERROR(Raw_Data!BM17,0))</f>
        <v>0</v>
      </c>
      <c r="O91" s="597">
        <f>(IFERROR(Raw_Data!BS17,0))+(IFERROR(Raw_Data!BT17,0))</f>
        <v>0</v>
      </c>
      <c r="P91">
        <f t="shared" si="16"/>
        <v>0</v>
      </c>
      <c r="Q91" s="106"/>
    </row>
    <row r="92" spans="1:17" ht="13.8">
      <c r="A92" s="106" t="s">
        <v>292</v>
      </c>
      <c r="B92" s="589" t="s">
        <v>852</v>
      </c>
      <c r="C92" s="479">
        <f>IFERROR('Energy balance'!C12*$Q92,0)</f>
        <v>0</v>
      </c>
      <c r="D92" s="479">
        <f>IFERROR('Energy balance'!D12*$Q92,0)</f>
        <v>0</v>
      </c>
      <c r="E92" s="479">
        <f>IFERROR('Energy balance'!E12*$Q92,0)</f>
        <v>0</v>
      </c>
      <c r="F92" s="596">
        <f>(IFERROR(Raw_Data!H19,0))+(IFERROR(Raw_Data!I19,0))</f>
        <v>0</v>
      </c>
      <c r="G92" s="597">
        <f>(IFERROR(Raw_Data!IO19,0))+(IFERROR(Raw_Data!P19,0))</f>
        <v>0</v>
      </c>
      <c r="H92" s="597">
        <f>(IFERROR(Raw_Data!V19,0))+(IFERROR(Raw_Data!W19,0))</f>
        <v>0</v>
      </c>
      <c r="I92" s="597">
        <f>(IFERROR(Raw_Data!AC19,0))+(IFERROR(Raw_Data!AD19,0))</f>
        <v>0</v>
      </c>
      <c r="J92" s="597">
        <f>(IFERROR(Raw_Data!AJ19,0))+(IFERROR(Raw_Data!AK19,0))</f>
        <v>0</v>
      </c>
      <c r="K92" s="597">
        <f>(IFERROR(Raw_Data!AQ19,0))+(IFERROR(Raw_Data!AR19,0))</f>
        <v>0</v>
      </c>
      <c r="L92" s="597">
        <f>(IFERROR(Raw_Data!AX19,0))+(IFERROR(Raw_Data!AY19,0))</f>
        <v>0</v>
      </c>
      <c r="M92" s="597">
        <f>(IFERROR(Raw_Data!BE19,0))+(IFERROR(Raw_Data!BF19,0))</f>
        <v>0</v>
      </c>
      <c r="N92" s="597">
        <f>(IFERROR(Raw_Data!BL19,0))+(IFERROR(Raw_Data!BM19,0))</f>
        <v>0</v>
      </c>
      <c r="O92" s="597">
        <f>(IFERROR(Raw_Data!BS19,0))+(IFERROR(Raw_Data!BT19,0))</f>
        <v>0</v>
      </c>
      <c r="P92">
        <f t="shared" si="16"/>
        <v>0</v>
      </c>
      <c r="Q92" s="106"/>
    </row>
    <row r="93" spans="1:17" ht="13.8">
      <c r="A93" s="106" t="s">
        <v>292</v>
      </c>
      <c r="B93" s="589" t="s">
        <v>851</v>
      </c>
      <c r="C93" s="478">
        <f>IFERROR('Energy balance'!C13*$Q93,0)</f>
        <v>0</v>
      </c>
      <c r="D93" s="478">
        <f>IFERROR('Energy balance'!D13*$Q93,0)</f>
        <v>0</v>
      </c>
      <c r="E93" s="478">
        <f>IFERROR('Energy balance'!E13*$Q93,0)</f>
        <v>0</v>
      </c>
      <c r="F93" s="596">
        <f>(IFERROR(Raw_Data!H20,0))+(IFERROR(Raw_Data!I20,0))</f>
        <v>0</v>
      </c>
      <c r="G93" s="597">
        <f>(IFERROR(Raw_Data!IO20,0))+(IFERROR(Raw_Data!P20,0))</f>
        <v>0</v>
      </c>
      <c r="H93" s="597">
        <f>(IFERROR(Raw_Data!V20,0))+(IFERROR(Raw_Data!W20,0))</f>
        <v>0</v>
      </c>
      <c r="I93" s="597">
        <f>(IFERROR(Raw_Data!AC20,0))+(IFERROR(Raw_Data!AD20,0))</f>
        <v>0</v>
      </c>
      <c r="J93" s="597">
        <f>(IFERROR(Raw_Data!AJ20,0))+(IFERROR(Raw_Data!AK20,0))</f>
        <v>0</v>
      </c>
      <c r="K93" s="597">
        <f>(IFERROR(Raw_Data!AQ20,0))+(IFERROR(Raw_Data!AR20,0))</f>
        <v>0</v>
      </c>
      <c r="L93" s="597">
        <f>(IFERROR(Raw_Data!AX20,0))+(IFERROR(Raw_Data!AY20,0))</f>
        <v>0</v>
      </c>
      <c r="M93" s="597">
        <f>(IFERROR(Raw_Data!BE20,0))+(IFERROR(Raw_Data!BF20,0))</f>
        <v>0</v>
      </c>
      <c r="N93" s="597">
        <f>(IFERROR(Raw_Data!BL20,0))+(IFERROR(Raw_Data!BM20,0))</f>
        <v>0</v>
      </c>
      <c r="O93" s="597">
        <f>(IFERROR(Raw_Data!BS20,0))+(IFERROR(Raw_Data!BT20,0))</f>
        <v>0</v>
      </c>
      <c r="P93">
        <f t="shared" si="16"/>
        <v>0</v>
      </c>
      <c r="Q93" s="106"/>
    </row>
    <row r="94" spans="1:17" ht="13.8">
      <c r="A94" s="106" t="s">
        <v>292</v>
      </c>
      <c r="B94" s="589" t="s">
        <v>850</v>
      </c>
      <c r="C94" s="478">
        <f>IFERROR('Energy balance'!C14*$Q94,0)</f>
        <v>0</v>
      </c>
      <c r="D94" s="478">
        <f>IFERROR('Energy balance'!D14*$Q94,0)</f>
        <v>0</v>
      </c>
      <c r="E94" s="478">
        <f>IFERROR('Energy balance'!E14*$Q94,0)</f>
        <v>0</v>
      </c>
      <c r="F94" s="596">
        <f>(IFERROR(Raw_Data!H21,0))+(IFERROR(Raw_Data!I21,0))</f>
        <v>0</v>
      </c>
      <c r="G94" s="597">
        <f>(IFERROR(Raw_Data!IO21,0))+(IFERROR(Raw_Data!P21,0))</f>
        <v>0</v>
      </c>
      <c r="H94" s="597">
        <f>(IFERROR(Raw_Data!V21,0))+(IFERROR(Raw_Data!W21,0))</f>
        <v>0</v>
      </c>
      <c r="I94" s="597">
        <f>(IFERROR(Raw_Data!AC21,0))+(IFERROR(Raw_Data!AD21,0))</f>
        <v>0</v>
      </c>
      <c r="J94" s="597">
        <f>(IFERROR(Raw_Data!AJ21,0))+(IFERROR(Raw_Data!AK21,0))</f>
        <v>0</v>
      </c>
      <c r="K94" s="597">
        <f>(IFERROR(Raw_Data!AQ21,0))+(IFERROR(Raw_Data!AR21,0))</f>
        <v>0</v>
      </c>
      <c r="L94" s="597">
        <f>(IFERROR(Raw_Data!AX21,0))+(IFERROR(Raw_Data!AY21,0))</f>
        <v>0</v>
      </c>
      <c r="M94" s="597">
        <f>(IFERROR(Raw_Data!BE21,0))+(IFERROR(Raw_Data!BF21,0))</f>
        <v>0</v>
      </c>
      <c r="N94" s="597">
        <f>(IFERROR(Raw_Data!BL21,0))+(IFERROR(Raw_Data!BM21,0))</f>
        <v>0</v>
      </c>
      <c r="O94" s="597">
        <f>(IFERROR(Raw_Data!BS21,0))+(IFERROR(Raw_Data!BT21,0))</f>
        <v>0</v>
      </c>
      <c r="P94">
        <f t="shared" si="16"/>
        <v>0</v>
      </c>
      <c r="Q94" s="106"/>
    </row>
    <row r="95" spans="1:17" ht="13.8">
      <c r="A95" s="106" t="s">
        <v>292</v>
      </c>
      <c r="B95" s="589" t="s">
        <v>849</v>
      </c>
      <c r="C95" s="478">
        <f>IFERROR('Energy balance'!C15*$Q95,0)</f>
        <v>0</v>
      </c>
      <c r="D95" s="478">
        <f>IFERROR('Energy balance'!D15*$Q95,0)</f>
        <v>0</v>
      </c>
      <c r="E95" s="478">
        <f>IFERROR('Energy balance'!E15*$Q95,0)</f>
        <v>0</v>
      </c>
      <c r="F95" s="596">
        <f>(IFERROR(Raw_Data!H22,0))+(IFERROR(Raw_Data!I22,0))</f>
        <v>0</v>
      </c>
      <c r="G95" s="597">
        <f>(IFERROR(Raw_Data!IO22,0))+(IFERROR(Raw_Data!P22,0))</f>
        <v>0</v>
      </c>
      <c r="H95" s="597">
        <f>(IFERROR(Raw_Data!V22,0))+(IFERROR(Raw_Data!W22,0))</f>
        <v>0</v>
      </c>
      <c r="I95" s="597">
        <f>(IFERROR(Raw_Data!AC22,0))+(IFERROR(Raw_Data!AD22,0))</f>
        <v>0</v>
      </c>
      <c r="J95" s="597">
        <f>(IFERROR(Raw_Data!AJ22,0))+(IFERROR(Raw_Data!AK22,0))</f>
        <v>0</v>
      </c>
      <c r="K95" s="597">
        <f>(IFERROR(Raw_Data!AQ22,0))+(IFERROR(Raw_Data!AR22,0))</f>
        <v>0</v>
      </c>
      <c r="L95" s="597">
        <f>(IFERROR(Raw_Data!AX22,0))+(IFERROR(Raw_Data!AY22,0))</f>
        <v>0</v>
      </c>
      <c r="M95" s="597">
        <f>(IFERROR(Raw_Data!BE22,0))+(IFERROR(Raw_Data!BF22,0))</f>
        <v>0</v>
      </c>
      <c r="N95" s="597">
        <f>(IFERROR(Raw_Data!BL22,0))+(IFERROR(Raw_Data!BM22,0))</f>
        <v>0</v>
      </c>
      <c r="O95" s="597">
        <f>(IFERROR(Raw_Data!BS22,0))+(IFERROR(Raw_Data!BT22,0))</f>
        <v>0</v>
      </c>
      <c r="P95">
        <f t="shared" si="16"/>
        <v>0</v>
      </c>
      <c r="Q95" s="106"/>
    </row>
    <row r="96" spans="1:17" ht="13.8">
      <c r="A96" s="106" t="s">
        <v>292</v>
      </c>
      <c r="B96" s="589" t="s">
        <v>79</v>
      </c>
      <c r="C96" s="478">
        <f>IFERROR('Energy balance'!C16*$Q96,0)</f>
        <v>0</v>
      </c>
      <c r="D96" s="478">
        <f>IFERROR('Energy balance'!D16*$Q96,0)</f>
        <v>0</v>
      </c>
      <c r="E96" s="478">
        <f>IFERROR('Energy balance'!E16*$Q96,0)</f>
        <v>0</v>
      </c>
      <c r="F96" s="596">
        <f>(IFERROR(Raw_Data!H23,0))+(IFERROR(Raw_Data!I23,0))</f>
        <v>253650.128</v>
      </c>
      <c r="G96" s="597">
        <f>(IFERROR(Raw_Data!O23,0))+(IFERROR(Raw_Data!P23,0))</f>
        <v>245504.394</v>
      </c>
      <c r="H96" s="597">
        <f>(IFERROR(Raw_Data!V23,0))+(IFERROR(Raw_Data!W23,0))</f>
        <v>248196.092</v>
      </c>
      <c r="I96" s="597">
        <f>(IFERROR(Raw_Data!AC23,0))+(IFERROR(Raw_Data!AD23,0))</f>
        <v>246923.61499999999</v>
      </c>
      <c r="J96" s="597">
        <f>(IFERROR(Raw_Data!AJ23,0))+(IFERROR(Raw_Data!AK23,0))</f>
        <v>240219.45</v>
      </c>
      <c r="K96" s="597">
        <f>(IFERROR(Raw_Data!AQ23,0))+(IFERROR(Raw_Data!AR23,0))</f>
        <v>238510.58</v>
      </c>
      <c r="L96" s="597">
        <f>(IFERROR(Raw_Data!AX23,0))+(IFERROR(Raw_Data!AY23,0))</f>
        <v>232723.81400000001</v>
      </c>
      <c r="M96" s="597">
        <f>(IFERROR(Raw_Data!BE23,0))+(IFERROR(Raw_Data!BF23,0))</f>
        <v>233067.56099999999</v>
      </c>
      <c r="N96" s="597">
        <f>(IFERROR(Raw_Data!BL23,0))+(IFERROR(Raw_Data!BM23,0))</f>
        <v>234818.84100000001</v>
      </c>
      <c r="O96" s="597">
        <f>(IFERROR(Raw_Data!BS23,0))+(IFERROR(Raw_Data!BT23,0))</f>
        <v>236131.272</v>
      </c>
      <c r="P96">
        <f t="shared" si="16"/>
        <v>0.51163821820307964</v>
      </c>
      <c r="Q96" s="106"/>
    </row>
    <row r="97" spans="1:17" ht="13.8">
      <c r="A97" s="106" t="s">
        <v>292</v>
      </c>
      <c r="B97" s="589" t="s">
        <v>219</v>
      </c>
      <c r="C97" s="478">
        <f>IFERROR('Energy balance'!C17*$Q97,0)</f>
        <v>0</v>
      </c>
      <c r="D97" s="478">
        <f>IFERROR('Energy balance'!D17*$Q97,0)</f>
        <v>0</v>
      </c>
      <c r="E97" s="478">
        <f>IFERROR('Energy balance'!E17*$Q97,0)</f>
        <v>0</v>
      </c>
      <c r="F97" s="596">
        <f>(IFERROR(Raw_Data!H24,0))+(IFERROR(Raw_Data!I24,0))</f>
        <v>0</v>
      </c>
      <c r="G97" s="597">
        <f>(IFERROR(Raw_Data!IO24,0))+(IFERROR(Raw_Data!P24,0))</f>
        <v>0</v>
      </c>
      <c r="H97" s="597">
        <f>(IFERROR(Raw_Data!V24,0))+(IFERROR(Raw_Data!W24,0))</f>
        <v>0</v>
      </c>
      <c r="I97" s="597">
        <f>(IFERROR(Raw_Data!AC24,0))+(IFERROR(Raw_Data!AD24,0))</f>
        <v>0</v>
      </c>
      <c r="J97" s="597">
        <f>(IFERROR(Raw_Data!AJ24,0))+(IFERROR(Raw_Data!AK24,0))</f>
        <v>0</v>
      </c>
      <c r="K97" s="597">
        <f>(IFERROR(Raw_Data!AQ24,0))+(IFERROR(Raw_Data!AR24,0))</f>
        <v>0</v>
      </c>
      <c r="L97" s="597">
        <f>(IFERROR(Raw_Data!AX24,0))+(IFERROR(Raw_Data!AY24,0))</f>
        <v>0</v>
      </c>
      <c r="M97" s="597">
        <f>(IFERROR(Raw_Data!BE24,0))+(IFERROR(Raw_Data!BF24,0))</f>
        <v>0</v>
      </c>
      <c r="N97" s="597">
        <f>(IFERROR(Raw_Data!BL24,0))+(IFERROR(Raw_Data!BM24,0))</f>
        <v>0</v>
      </c>
      <c r="O97" s="597">
        <f>(IFERROR(Raw_Data!BS24,0))+(IFERROR(Raw_Data!BT24,0))</f>
        <v>0</v>
      </c>
      <c r="P97">
        <f t="shared" si="16"/>
        <v>0</v>
      </c>
      <c r="Q97" s="106"/>
    </row>
    <row r="98" spans="1:17" ht="13.8">
      <c r="A98" s="106" t="s">
        <v>292</v>
      </c>
      <c r="B98" s="604" t="s">
        <v>890</v>
      </c>
      <c r="C98" s="478">
        <f>IFERROR('Energy balance'!C18*$Q98,0)</f>
        <v>0</v>
      </c>
      <c r="D98" s="478">
        <f>IFERROR('Energy balance'!D18*$Q98,0)</f>
        <v>0</v>
      </c>
      <c r="E98" s="479">
        <f>IFERROR('Energy balance'!E18*$Q98,0)</f>
        <v>0</v>
      </c>
      <c r="F98" s="479">
        <f>F89-F88</f>
        <v>4556.4889999999996</v>
      </c>
      <c r="G98" s="479">
        <f t="shared" ref="G98:N98" si="17">G89-G88</f>
        <v>4515.51</v>
      </c>
      <c r="H98" s="479">
        <f t="shared" si="17"/>
        <v>4426.3450000000003</v>
      </c>
      <c r="I98" s="479">
        <f t="shared" si="17"/>
        <v>4427.9210000000003</v>
      </c>
      <c r="J98" s="479">
        <f t="shared" si="17"/>
        <v>4481.7510000000002</v>
      </c>
      <c r="K98" s="479">
        <f t="shared" si="17"/>
        <v>4383.0020000000004</v>
      </c>
      <c r="L98" s="479">
        <f t="shared" si="17"/>
        <v>4540.9650000000001</v>
      </c>
      <c r="M98" s="479">
        <f t="shared" si="17"/>
        <v>4282.3990000000003</v>
      </c>
      <c r="N98" s="479">
        <f t="shared" si="17"/>
        <v>4583.0569999999998</v>
      </c>
      <c r="O98" s="479">
        <f>O89-O88</f>
        <v>4539.8119999999999</v>
      </c>
      <c r="P98">
        <f t="shared" si="16"/>
        <v>9.8069927237655029E-3</v>
      </c>
      <c r="Q98" s="106"/>
    </row>
    <row r="99" spans="1:17" ht="13.8">
      <c r="A99" s="106" t="s">
        <v>292</v>
      </c>
      <c r="B99" s="604" t="s">
        <v>960</v>
      </c>
      <c r="C99" s="478">
        <f>IFERROR('Energy balance'!C19*$Q99,0)</f>
        <v>0</v>
      </c>
      <c r="D99" s="478">
        <f>IFERROR('Energy balance'!D19*$Q99,0)</f>
        <v>0</v>
      </c>
      <c r="E99" s="478">
        <f>IFERROR('Energy balance'!E19*$Q99,0)</f>
        <v>0</v>
      </c>
      <c r="F99" s="478">
        <f>IFERROR('Energy balance'!F19*$Q99,0)</f>
        <v>0</v>
      </c>
      <c r="G99" s="478">
        <f>IFERROR('Energy balance'!G19*$Q99,0)</f>
        <v>0</v>
      </c>
      <c r="H99" s="478">
        <f>IFERROR('Energy balance'!H19*$Q99,0)</f>
        <v>0</v>
      </c>
      <c r="I99" s="480">
        <f>IFERROR('Energy balance'!I19*$Q99,0)</f>
        <v>0</v>
      </c>
      <c r="J99" s="480">
        <f>IFERROR('Energy balance'!J19*$Q99,0)</f>
        <v>0</v>
      </c>
      <c r="K99" s="480">
        <f>IFERROR('Energy balance'!K19*$Q99,0)</f>
        <v>0</v>
      </c>
      <c r="L99" s="480">
        <f>IFERROR('Energy balance'!L19*$Q99,0)</f>
        <v>0</v>
      </c>
      <c r="M99" s="483">
        <f>IFERROR('Energy balance'!M19*$Q99,0)</f>
        <v>0</v>
      </c>
      <c r="N99" s="484">
        <f>IFERROR('Energy balance'!N19*$Q99,0)</f>
        <v>0</v>
      </c>
      <c r="O99" s="484">
        <f>IFERROR('Energy balance'!O19*$Q99,0)</f>
        <v>0</v>
      </c>
      <c r="P99">
        <f t="shared" si="16"/>
        <v>0</v>
      </c>
      <c r="Q99" s="106"/>
    </row>
    <row r="100" spans="1:17" ht="13.8">
      <c r="A100" s="106" t="s">
        <v>292</v>
      </c>
      <c r="B100" s="589" t="s">
        <v>853</v>
      </c>
      <c r="C100" s="479">
        <f>IFERROR('Energy balance'!C11*$Q100,0)</f>
        <v>0</v>
      </c>
      <c r="D100" s="479">
        <f>IFERROR('Energy balance'!D11*$Q100,0)</f>
        <v>0</v>
      </c>
      <c r="E100" s="479">
        <f>IFERROR('Energy balance'!E11*$Q100,0)</f>
        <v>0</v>
      </c>
      <c r="F100" s="596">
        <f>(IFERROR(Raw_Data!H18,0))+(IFERROR(Raw_Data!I18,0))</f>
        <v>0</v>
      </c>
      <c r="G100" s="597">
        <f>(IFERROR(Raw_Data!IO18,0))+(IFERROR(Raw_Data!P18,0))</f>
        <v>0</v>
      </c>
      <c r="H100" s="597">
        <f>(IFERROR(Raw_Data!V18,0))+(IFERROR(Raw_Data!W18,0))</f>
        <v>0</v>
      </c>
      <c r="I100" s="597">
        <f>(IFERROR(Raw_Data!AC18,0))+(IFERROR(Raw_Data!AD18,0))</f>
        <v>0</v>
      </c>
      <c r="J100" s="597">
        <f>(IFERROR(Raw_Data!AJ18,0))+(IFERROR(Raw_Data!AK18,0))</f>
        <v>0</v>
      </c>
      <c r="K100" s="597">
        <f>(IFERROR(Raw_Data!AQ18,0))+(IFERROR(Raw_Data!AR18,0))</f>
        <v>0</v>
      </c>
      <c r="L100" s="597">
        <f>(IFERROR(Raw_Data!AX18,0))+(IFERROR(Raw_Data!AY18,0))</f>
        <v>0</v>
      </c>
      <c r="M100" s="597">
        <f>(IFERROR(Raw_Data!BE18,0))+(IFERROR(Raw_Data!BF18,0))</f>
        <v>0</v>
      </c>
      <c r="N100" s="597">
        <f>(IFERROR(Raw_Data!BL18,0))+(IFERROR(Raw_Data!BM18,0))</f>
        <v>0</v>
      </c>
      <c r="O100" s="597">
        <f>(IFERROR(Raw_Data!BS18,0))+(IFERROR(Raw_Data!BT18,0))</f>
        <v>0</v>
      </c>
      <c r="P100">
        <f t="shared" si="16"/>
        <v>0</v>
      </c>
      <c r="Q100" s="106"/>
    </row>
    <row r="101" spans="1:17" ht="13.8">
      <c r="A101" s="106" t="s">
        <v>292</v>
      </c>
      <c r="B101" s="314"/>
      <c r="C101" s="485">
        <f>IFERROR('Energy balance'!C20*$Q101,0)</f>
        <v>0</v>
      </c>
      <c r="D101" s="478">
        <f>IFERROR('Energy balance'!D20*$Q101,0)</f>
        <v>0</v>
      </c>
      <c r="E101" s="478">
        <f>IFERROR('Energy balance'!E20*$Q101,0)</f>
        <v>0</v>
      </c>
      <c r="F101" s="478">
        <f>IFERROR('Energy balance'!F20*$Q101,0)</f>
        <v>0</v>
      </c>
      <c r="G101" s="480">
        <f>IFERROR('Energy balance'!G20*$Q101,0)</f>
        <v>0</v>
      </c>
      <c r="H101" s="480">
        <f>IFERROR('Energy balance'!H20*$Q101,0)</f>
        <v>0</v>
      </c>
      <c r="I101" s="480">
        <f>IFERROR('Energy balance'!I20*$Q101,0)</f>
        <v>0</v>
      </c>
      <c r="J101" s="480">
        <f>IFERROR('Energy balance'!J20*$Q101,0)</f>
        <v>0</v>
      </c>
      <c r="K101" s="480">
        <f>IFERROR('Energy balance'!K20*$Q101,0)</f>
        <v>0</v>
      </c>
      <c r="L101" s="480">
        <f>IFERROR('Energy balance'!L20*$Q101,0)</f>
        <v>0</v>
      </c>
      <c r="M101" s="481">
        <f>IFERROR('Energy balance'!M20*$Q101,0)</f>
        <v>0</v>
      </c>
      <c r="N101" s="482">
        <f>IFERROR('Energy balance'!N20*$Q101,0)</f>
        <v>0</v>
      </c>
      <c r="O101" s="482">
        <f>IFERROR('Energy balance'!O20*$Q101,0)</f>
        <v>0</v>
      </c>
      <c r="Q101" s="361"/>
    </row>
    <row r="102" spans="1:17" ht="13.8">
      <c r="A102" s="106" t="s">
        <v>292</v>
      </c>
      <c r="B102" s="314"/>
      <c r="C102" s="478">
        <f>IFERROR('Energy balance'!C21*$Q102,0)</f>
        <v>0</v>
      </c>
      <c r="D102" s="478">
        <f>IFERROR('Energy balance'!D21*$Q102,0)</f>
        <v>0</v>
      </c>
      <c r="E102" s="479">
        <f>IFERROR('Energy balance'!E21*$Q102,0)</f>
        <v>0</v>
      </c>
      <c r="F102" s="479">
        <f>IFERROR('Energy balance'!F21*$Q102,0)</f>
        <v>0</v>
      </c>
      <c r="G102" s="479">
        <f>IFERROR('Energy balance'!G21*$Q102,0)</f>
        <v>0</v>
      </c>
      <c r="H102" s="479">
        <f>IFERROR('Energy balance'!H21*$Q102,0)</f>
        <v>0</v>
      </c>
      <c r="I102" s="480">
        <f>IFERROR('Energy balance'!I21*$Q102,0)</f>
        <v>0</v>
      </c>
      <c r="J102" s="480">
        <f>IFERROR('Energy balance'!J21*$Q102,0)</f>
        <v>0</v>
      </c>
      <c r="K102" s="480">
        <f>IFERROR('Energy balance'!K21*$Q102,0)</f>
        <v>0</v>
      </c>
      <c r="L102" s="480">
        <f>IFERROR('Energy balance'!L21*$Q102,0)</f>
        <v>0</v>
      </c>
      <c r="M102" s="481">
        <f>IFERROR('Energy balance'!M21*$Q102,0)</f>
        <v>0</v>
      </c>
      <c r="N102" s="482">
        <f>IFERROR('Energy balance'!N21*$Q102,0)</f>
        <v>0</v>
      </c>
      <c r="O102" s="482">
        <f>IFERROR('Energy balance'!O21*$Q102,0)</f>
        <v>0</v>
      </c>
      <c r="Q102" s="106"/>
    </row>
    <row r="103" spans="1:17" ht="13.8">
      <c r="A103" s="106" t="s">
        <v>292</v>
      </c>
      <c r="B103" s="363" t="s">
        <v>106</v>
      </c>
      <c r="C103" s="364">
        <f>SUM(C86:C102)</f>
        <v>0</v>
      </c>
      <c r="D103" s="364">
        <f>SUM(D86:D102)</f>
        <v>0</v>
      </c>
      <c r="E103" s="364">
        <f>SUM(E86:E102)</f>
        <v>0</v>
      </c>
      <c r="F103" s="609">
        <f>F86+F99+(F89-F88)+F92+F93+F94+F96+F97</f>
        <v>258206.617</v>
      </c>
      <c r="G103" s="609">
        <f t="shared" ref="G103:O103" si="18">G86+G99+(G89-G88)+G92+G93+G94+G96+G97</f>
        <v>250019.90400000001</v>
      </c>
      <c r="H103" s="609">
        <f t="shared" si="18"/>
        <v>252622.43700000001</v>
      </c>
      <c r="I103" s="609">
        <f t="shared" si="18"/>
        <v>251351.53599999999</v>
      </c>
      <c r="J103" s="609">
        <f t="shared" si="18"/>
        <v>244701.201</v>
      </c>
      <c r="K103" s="609">
        <f t="shared" si="18"/>
        <v>242893.58199999999</v>
      </c>
      <c r="L103" s="609">
        <f t="shared" si="18"/>
        <v>237264.77900000001</v>
      </c>
      <c r="M103" s="609">
        <f t="shared" si="18"/>
        <v>237349.96</v>
      </c>
      <c r="N103" s="609">
        <f t="shared" si="18"/>
        <v>239401.89800000002</v>
      </c>
      <c r="O103" s="609">
        <f t="shared" si="18"/>
        <v>240671.084</v>
      </c>
    </row>
    <row r="105" spans="1:17" ht="16.2" thickBot="1">
      <c r="B105" s="357" t="s">
        <v>295</v>
      </c>
    </row>
    <row r="106" spans="1:17" ht="14.4" thickBot="1">
      <c r="B106" s="303"/>
      <c r="C106" s="304">
        <v>2007</v>
      </c>
      <c r="D106" s="305">
        <v>2008</v>
      </c>
      <c r="E106" s="305">
        <v>2009</v>
      </c>
      <c r="F106" s="305">
        <v>2010</v>
      </c>
      <c r="G106" s="305">
        <v>2011</v>
      </c>
      <c r="H106" s="305">
        <v>2012</v>
      </c>
      <c r="I106" s="305">
        <v>2013</v>
      </c>
      <c r="J106" s="305">
        <v>2014</v>
      </c>
      <c r="K106" s="305">
        <v>2015</v>
      </c>
      <c r="L106" s="305">
        <v>2016</v>
      </c>
      <c r="M106" s="306">
        <v>2017</v>
      </c>
      <c r="N106" s="307">
        <v>2018</v>
      </c>
      <c r="O106" s="307">
        <v>2019</v>
      </c>
      <c r="Q106" s="106"/>
    </row>
    <row r="107" spans="1:17" ht="13.8">
      <c r="A107" s="106" t="s">
        <v>293</v>
      </c>
      <c r="B107" s="589" t="s">
        <v>857</v>
      </c>
      <c r="C107" s="477">
        <f>IFERROR('Energy balance'!C5*#REF!,0)</f>
        <v>0</v>
      </c>
      <c r="D107" s="477">
        <f>IFERROR('Energy balance'!D5*#REF!,0)</f>
        <v>0</v>
      </c>
      <c r="E107" s="477">
        <f>IFERROR('Energy balance'!E5*#REF!,0)</f>
        <v>0</v>
      </c>
      <c r="F107" s="477">
        <f>IFERROR(Raw_Data!E12,0)</f>
        <v>0</v>
      </c>
      <c r="G107" s="477">
        <f>IFERROR(Raw_Data!L12,0)</f>
        <v>0</v>
      </c>
      <c r="H107" s="477">
        <f>IFERROR(Raw_Data!S12,0)</f>
        <v>0</v>
      </c>
      <c r="I107" s="477">
        <f>IFERROR(Raw_Data!Z12,0)</f>
        <v>0</v>
      </c>
      <c r="J107" s="477">
        <f>IFERROR(Raw_Data!AG12,0)</f>
        <v>0</v>
      </c>
      <c r="K107" s="477">
        <f>IFERROR(Raw_Data!AN12,0)</f>
        <v>0</v>
      </c>
      <c r="L107" s="477">
        <f>IFERROR(Raw_Data!AU12,0)</f>
        <v>0</v>
      </c>
      <c r="M107" s="477">
        <f>IFERROR(Raw_Data!BB12,0)</f>
        <v>0</v>
      </c>
      <c r="N107" s="477">
        <f>IFERROR(Raw_Data!BI12,0)</f>
        <v>0</v>
      </c>
      <c r="O107" s="477">
        <f>IFERROR(Raw_Data!BP12,0)</f>
        <v>0</v>
      </c>
      <c r="P107">
        <f t="shared" ref="P107:P121" si="19">O107/(O107+O86+O65+O44+O23)</f>
        <v>0</v>
      </c>
      <c r="Q107" s="106"/>
    </row>
    <row r="108" spans="1:17" ht="13.8">
      <c r="A108" s="106" t="s">
        <v>293</v>
      </c>
      <c r="B108" s="589" t="s">
        <v>80</v>
      </c>
      <c r="C108" s="478">
        <f>IFERROR('Energy balance'!C6*#REF!,0)</f>
        <v>0</v>
      </c>
      <c r="D108" s="478">
        <f>IFERROR('Energy balance'!D6*#REF!,0)</f>
        <v>0</v>
      </c>
      <c r="E108" s="478">
        <f>IFERROR('Energy balance'!E6*#REF!,0)</f>
        <v>0</v>
      </c>
      <c r="F108" s="477">
        <f>IFERROR(Raw_Data!E13,0)</f>
        <v>0</v>
      </c>
      <c r="G108" s="477">
        <f>IFERROR(Raw_Data!L13,0)</f>
        <v>0</v>
      </c>
      <c r="H108" s="477">
        <f>IFERROR(Raw_Data!S13,0)</f>
        <v>0</v>
      </c>
      <c r="I108" s="477">
        <f>IFERROR(Raw_Data!Z13,0)</f>
        <v>0</v>
      </c>
      <c r="J108" s="477">
        <f>IFERROR(Raw_Data!AG13,0)</f>
        <v>0</v>
      </c>
      <c r="K108" s="477">
        <f>IFERROR(Raw_Data!AN13,0)</f>
        <v>0</v>
      </c>
      <c r="L108" s="477">
        <f>IFERROR(Raw_Data!AU13,0)</f>
        <v>0</v>
      </c>
      <c r="M108" s="477">
        <f>IFERROR(Raw_Data!BB13,0)</f>
        <v>0</v>
      </c>
      <c r="N108" s="477">
        <f>IFERROR(Raw_Data!BI13,0)</f>
        <v>0</v>
      </c>
      <c r="O108" s="477">
        <f>IFERROR(Raw_Data!BP13,0)</f>
        <v>0</v>
      </c>
      <c r="P108">
        <f t="shared" si="19"/>
        <v>0</v>
      </c>
      <c r="Q108" s="106"/>
    </row>
    <row r="109" spans="1:17" ht="13.8">
      <c r="A109" s="106" t="s">
        <v>293</v>
      </c>
      <c r="B109" s="589" t="s">
        <v>856</v>
      </c>
      <c r="C109" s="478">
        <f>IFERROR('Energy balance'!C7*#REF!,0)</f>
        <v>0</v>
      </c>
      <c r="D109" s="478">
        <f>IFERROR('Energy balance'!D7*#REF!,0)</f>
        <v>0</v>
      </c>
      <c r="E109" s="478">
        <f>IFERROR('Energy balance'!E7*#REF!,0)</f>
        <v>0</v>
      </c>
      <c r="F109" s="477">
        <f>IFERROR(Raw_Data!E14,0)</f>
        <v>0</v>
      </c>
      <c r="G109" s="477">
        <f>IFERROR(Raw_Data!L14,0)</f>
        <v>0</v>
      </c>
      <c r="H109" s="477">
        <f>IFERROR(Raw_Data!S14,0)</f>
        <v>0</v>
      </c>
      <c r="I109" s="477">
        <f>IFERROR(Raw_Data!Z14,0)</f>
        <v>0</v>
      </c>
      <c r="J109" s="477">
        <f>IFERROR(Raw_Data!AG14,0)</f>
        <v>0</v>
      </c>
      <c r="K109" s="477">
        <f>IFERROR(Raw_Data!AN14,0)</f>
        <v>0</v>
      </c>
      <c r="L109" s="477">
        <f>IFERROR(Raw_Data!AU14,0)</f>
        <v>0</v>
      </c>
      <c r="M109" s="477">
        <f>IFERROR(Raw_Data!BB14,0)</f>
        <v>0</v>
      </c>
      <c r="N109" s="477">
        <f>IFERROR(Raw_Data!BI14,0)</f>
        <v>0</v>
      </c>
      <c r="O109" s="477">
        <f>IFERROR(Raw_Data!BP14,0)</f>
        <v>0</v>
      </c>
      <c r="P109">
        <f t="shared" si="19"/>
        <v>0</v>
      </c>
      <c r="Q109" s="106"/>
    </row>
    <row r="110" spans="1:17" ht="13.8">
      <c r="A110" s="106" t="s">
        <v>293</v>
      </c>
      <c r="B110" s="589" t="s">
        <v>855</v>
      </c>
      <c r="C110" s="479">
        <f>IFERROR('Energy balance'!C8*#REF!,0)</f>
        <v>0</v>
      </c>
      <c r="D110" s="479">
        <f>IFERROR('Energy balance'!D8*#REF!,0)</f>
        <v>0</v>
      </c>
      <c r="E110" s="479">
        <f>IFERROR('Energy balance'!E8*#REF!,0)</f>
        <v>0</v>
      </c>
      <c r="F110" s="477">
        <f>IFERROR(Raw_Data!E15,0)</f>
        <v>0</v>
      </c>
      <c r="G110" s="477">
        <f>IFERROR(Raw_Data!L15,0)</f>
        <v>0</v>
      </c>
      <c r="H110" s="477">
        <f>IFERROR(Raw_Data!S15,0)</f>
        <v>0</v>
      </c>
      <c r="I110" s="477">
        <f>IFERROR(Raw_Data!Z15,0)</f>
        <v>0</v>
      </c>
      <c r="J110" s="477">
        <f>IFERROR(Raw_Data!AG15,0)</f>
        <v>0</v>
      </c>
      <c r="K110" s="477">
        <f>IFERROR(Raw_Data!AN15,0)</f>
        <v>0</v>
      </c>
      <c r="L110" s="477">
        <f>IFERROR(Raw_Data!AU15,0)</f>
        <v>0</v>
      </c>
      <c r="M110" s="477">
        <f>IFERROR(Raw_Data!BB15,0)</f>
        <v>0</v>
      </c>
      <c r="N110" s="477">
        <f>IFERROR(Raw_Data!BI15,0)</f>
        <v>0</v>
      </c>
      <c r="O110" s="477">
        <f>IFERROR(Raw_Data!BP15,0)</f>
        <v>0</v>
      </c>
      <c r="P110">
        <f t="shared" si="19"/>
        <v>0</v>
      </c>
      <c r="Q110" s="106"/>
    </row>
    <row r="111" spans="1:17" ht="13.8">
      <c r="A111" s="106" t="s">
        <v>293</v>
      </c>
      <c r="B111" s="589" t="s">
        <v>212</v>
      </c>
      <c r="C111" s="479">
        <f>IFERROR('Energy balance'!C9*#REF!,0)</f>
        <v>0</v>
      </c>
      <c r="D111" s="479">
        <f>IFERROR('Energy balance'!D9*#REF!,0)</f>
        <v>0</v>
      </c>
      <c r="E111" s="479">
        <f>IFERROR('Energy balance'!E9*#REF!,0)</f>
        <v>0</v>
      </c>
      <c r="F111" s="477">
        <f>IFERROR(Raw_Data!E16,0)</f>
        <v>0</v>
      </c>
      <c r="G111" s="477">
        <f>IFERROR(Raw_Data!L16,0)</f>
        <v>0</v>
      </c>
      <c r="H111" s="477">
        <f>IFERROR(Raw_Data!S16,0)</f>
        <v>0</v>
      </c>
      <c r="I111" s="477">
        <f>IFERROR(Raw_Data!Z16,0)</f>
        <v>0</v>
      </c>
      <c r="J111" s="477">
        <f>IFERROR(Raw_Data!AG16,0)</f>
        <v>0</v>
      </c>
      <c r="K111" s="477">
        <f>IFERROR(Raw_Data!AN16,0)</f>
        <v>0</v>
      </c>
      <c r="L111" s="477">
        <f>IFERROR(Raw_Data!AU16,0)</f>
        <v>0</v>
      </c>
      <c r="M111" s="477">
        <f>IFERROR(Raw_Data!BB16,0)</f>
        <v>0</v>
      </c>
      <c r="N111" s="477">
        <f>IFERROR(Raw_Data!BI16,0)</f>
        <v>0</v>
      </c>
      <c r="O111" s="477">
        <f>IFERROR(Raw_Data!BP16,0)</f>
        <v>0</v>
      </c>
      <c r="P111">
        <f t="shared" si="19"/>
        <v>0</v>
      </c>
      <c r="Q111" s="106"/>
    </row>
    <row r="112" spans="1:17" ht="13.8">
      <c r="A112" s="106" t="s">
        <v>293</v>
      </c>
      <c r="B112" s="589" t="s">
        <v>854</v>
      </c>
      <c r="C112" s="479">
        <f>IFERROR('Energy balance'!C10*#REF!,0)</f>
        <v>0</v>
      </c>
      <c r="D112" s="479">
        <f>IFERROR('Energy balance'!D10*#REF!,0)</f>
        <v>0</v>
      </c>
      <c r="E112" s="479">
        <f>IFERROR('Energy balance'!E10*#REF!,0)</f>
        <v>0</v>
      </c>
      <c r="F112" s="477">
        <f>IFERROR(Raw_Data!E17,0)</f>
        <v>0</v>
      </c>
      <c r="G112" s="477">
        <f>IFERROR(Raw_Data!L17,0)</f>
        <v>0</v>
      </c>
      <c r="H112" s="477">
        <f>IFERROR(Raw_Data!S17,0)</f>
        <v>0</v>
      </c>
      <c r="I112" s="477">
        <f>IFERROR(Raw_Data!Z17,0)</f>
        <v>0</v>
      </c>
      <c r="J112" s="477">
        <f>IFERROR(Raw_Data!AG17,0)</f>
        <v>0</v>
      </c>
      <c r="K112" s="477">
        <f>IFERROR(Raw_Data!AN17,0)</f>
        <v>0</v>
      </c>
      <c r="L112" s="477">
        <f>IFERROR(Raw_Data!AU17,0)</f>
        <v>0</v>
      </c>
      <c r="M112" s="477">
        <f>IFERROR(Raw_Data!BB17,0)</f>
        <v>0</v>
      </c>
      <c r="N112" s="477">
        <f>IFERROR(Raw_Data!BI17,0)</f>
        <v>0</v>
      </c>
      <c r="O112" s="477">
        <f>IFERROR(Raw_Data!BP17,0)</f>
        <v>0</v>
      </c>
      <c r="P112">
        <f t="shared" si="19"/>
        <v>0</v>
      </c>
      <c r="Q112" s="106"/>
    </row>
    <row r="113" spans="1:17" ht="13.8">
      <c r="A113" s="106" t="s">
        <v>293</v>
      </c>
      <c r="B113" s="589" t="s">
        <v>852</v>
      </c>
      <c r="C113" s="479">
        <f>IFERROR('Energy balance'!C11*#REF!,0)</f>
        <v>0</v>
      </c>
      <c r="D113" s="479">
        <f>IFERROR('Energy balance'!D11*#REF!,0)</f>
        <v>0</v>
      </c>
      <c r="E113" s="479">
        <f>IFERROR('Energy balance'!E11*#REF!,0)</f>
        <v>0</v>
      </c>
      <c r="F113" s="477">
        <f>IFERROR(Raw_Data!E18,0)</f>
        <v>0</v>
      </c>
      <c r="G113" s="477">
        <f>IFERROR(Raw_Data!L18,0)</f>
        <v>0</v>
      </c>
      <c r="H113" s="477">
        <f>IFERROR(Raw_Data!S18,0)</f>
        <v>0</v>
      </c>
      <c r="I113" s="477">
        <f>IFERROR(Raw_Data!Z18,0)</f>
        <v>0</v>
      </c>
      <c r="J113" s="477">
        <f>IFERROR(Raw_Data!AG18,0)</f>
        <v>0</v>
      </c>
      <c r="K113" s="477">
        <f>IFERROR(Raw_Data!AN18,0)</f>
        <v>0</v>
      </c>
      <c r="L113" s="477">
        <f>IFERROR(Raw_Data!AU18,0)</f>
        <v>0</v>
      </c>
      <c r="M113" s="477">
        <f>IFERROR(Raw_Data!BB18,0)</f>
        <v>0</v>
      </c>
      <c r="N113" s="477">
        <f>IFERROR(Raw_Data!BI18,0)</f>
        <v>0</v>
      </c>
      <c r="O113" s="477">
        <f>IFERROR(Raw_Data!BP18,0)</f>
        <v>0</v>
      </c>
      <c r="P113">
        <f t="shared" si="19"/>
        <v>0</v>
      </c>
      <c r="Q113" s="106"/>
    </row>
    <row r="114" spans="1:17" ht="13.8">
      <c r="A114" s="106" t="s">
        <v>293</v>
      </c>
      <c r="B114" s="589" t="s">
        <v>851</v>
      </c>
      <c r="C114" s="479">
        <f>IFERROR('Energy balance'!C12*#REF!,0)</f>
        <v>0</v>
      </c>
      <c r="D114" s="479">
        <f>IFERROR('Energy balance'!D12*#REF!,0)</f>
        <v>0</v>
      </c>
      <c r="E114" s="479">
        <f>IFERROR('Energy balance'!E12*#REF!,0)</f>
        <v>0</v>
      </c>
      <c r="F114" s="477">
        <f>IFERROR(Raw_Data!E19,0)</f>
        <v>0</v>
      </c>
      <c r="G114" s="477">
        <f>IFERROR(Raw_Data!L19,0)</f>
        <v>0</v>
      </c>
      <c r="H114" s="477">
        <f>IFERROR(Raw_Data!S19,0)</f>
        <v>0</v>
      </c>
      <c r="I114" s="477">
        <f>IFERROR(Raw_Data!Z19,0)</f>
        <v>0</v>
      </c>
      <c r="J114" s="477">
        <f>IFERROR(Raw_Data!AG19,0)</f>
        <v>0</v>
      </c>
      <c r="K114" s="477">
        <f>IFERROR(Raw_Data!AN19,0)</f>
        <v>0</v>
      </c>
      <c r="L114" s="477">
        <f>IFERROR(Raw_Data!AU19,0)</f>
        <v>0</v>
      </c>
      <c r="M114" s="477">
        <f>IFERROR(Raw_Data!BB19,0)</f>
        <v>0</v>
      </c>
      <c r="N114" s="477">
        <f>IFERROR(Raw_Data!BI19,0)</f>
        <v>0</v>
      </c>
      <c r="O114" s="477">
        <f>IFERROR(Raw_Data!BP19,0)</f>
        <v>0</v>
      </c>
      <c r="P114">
        <f t="shared" si="19"/>
        <v>0</v>
      </c>
      <c r="Q114" s="106"/>
    </row>
    <row r="115" spans="1:17" ht="13.8">
      <c r="A115" s="106" t="s">
        <v>293</v>
      </c>
      <c r="B115" s="589" t="s">
        <v>850</v>
      </c>
      <c r="C115" s="478">
        <f>IFERROR('Energy balance'!C13*#REF!,0)</f>
        <v>0</v>
      </c>
      <c r="D115" s="478">
        <f>IFERROR('Energy balance'!D13*#REF!,0)</f>
        <v>0</v>
      </c>
      <c r="E115" s="478">
        <f>IFERROR('Energy balance'!E13*#REF!,0)</f>
        <v>0</v>
      </c>
      <c r="F115" s="477">
        <f>IFERROR(Raw_Data!E20,0)</f>
        <v>0</v>
      </c>
      <c r="G115" s="477">
        <f>IFERROR(Raw_Data!L20,0)</f>
        <v>0</v>
      </c>
      <c r="H115" s="477">
        <f>IFERROR(Raw_Data!S20,0)</f>
        <v>0</v>
      </c>
      <c r="I115" s="477">
        <f>IFERROR(Raw_Data!Z20,0)</f>
        <v>0</v>
      </c>
      <c r="J115" s="477">
        <f>IFERROR(Raw_Data!AG20,0)</f>
        <v>0</v>
      </c>
      <c r="K115" s="477">
        <f>IFERROR(Raw_Data!AN20,0)</f>
        <v>0</v>
      </c>
      <c r="L115" s="477">
        <f>IFERROR(Raw_Data!AU20,0)</f>
        <v>0</v>
      </c>
      <c r="M115" s="477">
        <f>IFERROR(Raw_Data!BB20,0)</f>
        <v>0</v>
      </c>
      <c r="N115" s="477">
        <f>IFERROR(Raw_Data!BI20,0)</f>
        <v>0</v>
      </c>
      <c r="O115" s="477">
        <f>IFERROR(Raw_Data!BP20,0)</f>
        <v>0</v>
      </c>
      <c r="P115">
        <f t="shared" si="19"/>
        <v>0</v>
      </c>
      <c r="Q115" s="106"/>
    </row>
    <row r="116" spans="1:17" ht="13.8">
      <c r="A116" s="106" t="s">
        <v>293</v>
      </c>
      <c r="B116" s="589" t="s">
        <v>849</v>
      </c>
      <c r="C116" s="478">
        <f>IFERROR('Energy balance'!C14*#REF!,0)</f>
        <v>0</v>
      </c>
      <c r="D116" s="478">
        <f>IFERROR('Energy balance'!D14*#REF!,0)</f>
        <v>0</v>
      </c>
      <c r="E116" s="478">
        <f>IFERROR('Energy balance'!E14*#REF!,0)</f>
        <v>0</v>
      </c>
      <c r="F116" s="477">
        <f>IFERROR(Raw_Data!E21,0)</f>
        <v>0</v>
      </c>
      <c r="G116" s="477">
        <f>IFERROR(Raw_Data!L21,0)</f>
        <v>0</v>
      </c>
      <c r="H116" s="477">
        <f>IFERROR(Raw_Data!S21,0)</f>
        <v>0</v>
      </c>
      <c r="I116" s="477">
        <f>IFERROR(Raw_Data!Z21,0)</f>
        <v>0</v>
      </c>
      <c r="J116" s="477">
        <f>IFERROR(Raw_Data!AG21,0)</f>
        <v>0</v>
      </c>
      <c r="K116" s="477">
        <f>IFERROR(Raw_Data!AN21,0)</f>
        <v>0</v>
      </c>
      <c r="L116" s="477">
        <f>IFERROR(Raw_Data!AU21,0)</f>
        <v>0</v>
      </c>
      <c r="M116" s="477">
        <f>IFERROR(Raw_Data!BB21,0)</f>
        <v>0</v>
      </c>
      <c r="N116" s="477">
        <f>IFERROR(Raw_Data!BI21,0)</f>
        <v>0</v>
      </c>
      <c r="O116" s="477">
        <f>IFERROR(Raw_Data!BP21,0)</f>
        <v>0</v>
      </c>
      <c r="P116">
        <f t="shared" si="19"/>
        <v>0</v>
      </c>
      <c r="Q116" s="106"/>
    </row>
    <row r="117" spans="1:17" ht="13.8">
      <c r="A117" s="106" t="s">
        <v>293</v>
      </c>
      <c r="B117" s="589" t="s">
        <v>79</v>
      </c>
      <c r="C117" s="478">
        <f>IFERROR('Energy balance'!C15*#REF!,0)</f>
        <v>0</v>
      </c>
      <c r="D117" s="478">
        <f>IFERROR('Energy balance'!D15*#REF!,0)</f>
        <v>0</v>
      </c>
      <c r="E117" s="478">
        <f>IFERROR('Energy balance'!E15*#REF!,0)</f>
        <v>0</v>
      </c>
      <c r="F117" s="477">
        <v>4470.5919999999996</v>
      </c>
      <c r="G117" s="477">
        <v>4309.6859999999997</v>
      </c>
      <c r="H117" s="477">
        <v>4322.308</v>
      </c>
      <c r="I117" s="477">
        <v>4290.7569999999996</v>
      </c>
      <c r="J117" s="477">
        <v>4176.9250000000002</v>
      </c>
      <c r="K117" s="477">
        <v>4149.1220000000003</v>
      </c>
      <c r="L117" s="477">
        <v>4449.33</v>
      </c>
      <c r="M117" s="477">
        <v>4615.2</v>
      </c>
      <c r="N117" s="477">
        <v>4454.8270000000002</v>
      </c>
      <c r="O117" s="477">
        <v>4603.9459999999999</v>
      </c>
      <c r="P117">
        <f t="shared" si="19"/>
        <v>9.9756152931035572E-3</v>
      </c>
      <c r="Q117" s="106"/>
    </row>
    <row r="118" spans="1:17" ht="13.8">
      <c r="A118" s="106" t="s">
        <v>293</v>
      </c>
      <c r="B118" s="589" t="s">
        <v>219</v>
      </c>
      <c r="C118" s="478">
        <f>IFERROR('Energy balance'!C16*#REF!,0)</f>
        <v>0</v>
      </c>
      <c r="D118" s="478">
        <f>IFERROR('Energy balance'!D16*#REF!,0)</f>
        <v>0</v>
      </c>
      <c r="E118" s="478">
        <f>IFERROR('Energy balance'!E16*#REF!,0)</f>
        <v>0</v>
      </c>
      <c r="F118" s="477">
        <v>0</v>
      </c>
      <c r="G118" s="477">
        <v>0</v>
      </c>
      <c r="H118" s="477">
        <v>0</v>
      </c>
      <c r="I118" s="477">
        <v>0</v>
      </c>
      <c r="J118" s="477">
        <v>0</v>
      </c>
      <c r="K118" s="477">
        <v>0</v>
      </c>
      <c r="L118" s="477">
        <v>0</v>
      </c>
      <c r="M118" s="477">
        <v>0</v>
      </c>
      <c r="N118" s="477">
        <v>0</v>
      </c>
      <c r="O118" s="477">
        <v>0</v>
      </c>
      <c r="P118">
        <f t="shared" si="19"/>
        <v>0</v>
      </c>
      <c r="Q118" s="361"/>
    </row>
    <row r="119" spans="1:17" ht="13.8">
      <c r="A119" s="106" t="s">
        <v>293</v>
      </c>
      <c r="B119" s="604" t="s">
        <v>890</v>
      </c>
      <c r="C119" s="478">
        <f>IFERROR('Energy balance'!C17*#REF!,0)</f>
        <v>0</v>
      </c>
      <c r="D119" s="478">
        <f>IFERROR('Energy balance'!D17*#REF!,0)</f>
        <v>0</v>
      </c>
      <c r="E119" s="478">
        <f>IFERROR('Energy balance'!E17*#REF!,0)</f>
        <v>0</v>
      </c>
      <c r="F119" s="477">
        <v>0</v>
      </c>
      <c r="G119" s="477">
        <f>IFERROR(Raw_Data!L24,0)</f>
        <v>0</v>
      </c>
      <c r="H119" s="477">
        <f>IFERROR(Raw_Data!S24,0)</f>
        <v>0</v>
      </c>
      <c r="I119" s="477">
        <f>IFERROR(Raw_Data!Z24,0)</f>
        <v>0</v>
      </c>
      <c r="J119" s="477">
        <f>IFERROR(Raw_Data!AG24,0)</f>
        <v>0</v>
      </c>
      <c r="K119" s="477">
        <f>IFERROR(Raw_Data!AN24,0)</f>
        <v>0</v>
      </c>
      <c r="L119" s="477">
        <f>IFERROR(Raw_Data!AU24,0)</f>
        <v>0</v>
      </c>
      <c r="M119" s="477">
        <f>IFERROR(Raw_Data!BB24,0)</f>
        <v>0</v>
      </c>
      <c r="N119" s="477">
        <f>IFERROR(Raw_Data!BI24,0)</f>
        <v>0</v>
      </c>
      <c r="O119" s="477">
        <f>IFERROR(Raw_Data!BP24,0)</f>
        <v>0</v>
      </c>
      <c r="P119">
        <f t="shared" si="19"/>
        <v>0</v>
      </c>
      <c r="Q119" s="106"/>
    </row>
    <row r="120" spans="1:17" ht="13.8">
      <c r="A120" s="106" t="s">
        <v>293</v>
      </c>
      <c r="B120" s="604" t="s">
        <v>960</v>
      </c>
      <c r="C120" s="478">
        <f>IFERROR('Energy balance'!C18*#REF!,0)</f>
        <v>0</v>
      </c>
      <c r="D120" s="478">
        <f>IFERROR('Energy balance'!D18*#REF!,0)</f>
        <v>0</v>
      </c>
      <c r="E120" s="479">
        <f>IFERROR('Energy balance'!E18*#REF!,0)</f>
        <v>0</v>
      </c>
      <c r="F120" s="479">
        <f>IFERROR('Energy balance'!F18*#REF!,0)</f>
        <v>0</v>
      </c>
      <c r="G120" s="479">
        <f>IFERROR('Energy balance'!G18*#REF!,0)</f>
        <v>0</v>
      </c>
      <c r="H120" s="477">
        <f>IFERROR(Raw_Data!S25,0)</f>
        <v>0</v>
      </c>
      <c r="I120" s="480">
        <f>IFERROR('Energy balance'!I18*#REF!,0)</f>
        <v>0</v>
      </c>
      <c r="J120" s="480">
        <f>IFERROR('Energy balance'!J18*#REF!,0)</f>
        <v>0</v>
      </c>
      <c r="K120" s="480">
        <f>IFERROR('Energy balance'!K18*#REF!,0)</f>
        <v>0</v>
      </c>
      <c r="L120" s="480">
        <f>IFERROR('Energy balance'!L18*#REF!,0)</f>
        <v>0</v>
      </c>
      <c r="M120" s="481">
        <f>IFERROR('Energy balance'!M18*#REF!,0)</f>
        <v>0</v>
      </c>
      <c r="N120" s="482">
        <f>IFERROR('Energy balance'!N18*#REF!,0)</f>
        <v>0</v>
      </c>
      <c r="O120" s="482">
        <f>IFERROR('Energy balance'!O18*#REF!,0)</f>
        <v>0</v>
      </c>
      <c r="P120">
        <f t="shared" si="19"/>
        <v>0</v>
      </c>
      <c r="Q120" s="106"/>
    </row>
    <row r="121" spans="1:17" ht="13.8">
      <c r="A121" s="106" t="s">
        <v>293</v>
      </c>
      <c r="B121" s="589" t="s">
        <v>853</v>
      </c>
      <c r="C121" s="478">
        <f>IFERROR('Energy balance'!C19*#REF!,0)</f>
        <v>0</v>
      </c>
      <c r="D121" s="478">
        <f>IFERROR('Energy balance'!D19*#REF!,0)</f>
        <v>0</v>
      </c>
      <c r="E121" s="478">
        <f>IFERROR('Energy balance'!E19*#REF!,0)</f>
        <v>0</v>
      </c>
      <c r="F121" s="478">
        <f>IFERROR('Energy balance'!F19*#REF!,0)</f>
        <v>0</v>
      </c>
      <c r="G121" s="478">
        <f>IFERROR('Energy balance'!G19*#REF!,0)</f>
        <v>0</v>
      </c>
      <c r="H121" s="478">
        <f>IFERROR('Energy balance'!H19*#REF!,0)</f>
        <v>0</v>
      </c>
      <c r="I121" s="480">
        <f>IFERROR('Energy balance'!I19*#REF!,0)</f>
        <v>0</v>
      </c>
      <c r="J121" s="480">
        <f>IFERROR('Energy balance'!J19*#REF!,0)</f>
        <v>0</v>
      </c>
      <c r="K121" s="480">
        <f>IFERROR('Energy balance'!K19*#REF!,0)</f>
        <v>0</v>
      </c>
      <c r="L121" s="480">
        <f>IFERROR('Energy balance'!L19*#REF!,0)</f>
        <v>0</v>
      </c>
      <c r="M121" s="483">
        <f>IFERROR('Energy balance'!M19*#REF!,0)</f>
        <v>0</v>
      </c>
      <c r="N121" s="484">
        <f>IFERROR('Energy balance'!N19*#REF!,0)</f>
        <v>0</v>
      </c>
      <c r="O121" s="484">
        <f>IFERROR('Energy balance'!O19*#REF!,0)</f>
        <v>0</v>
      </c>
      <c r="P121">
        <f t="shared" si="19"/>
        <v>0</v>
      </c>
      <c r="Q121" s="106"/>
    </row>
    <row r="122" spans="1:17" ht="13.8">
      <c r="A122" s="106" t="s">
        <v>293</v>
      </c>
      <c r="B122" s="314"/>
      <c r="C122" s="485">
        <f>IFERROR('Energy balance'!C20*#REF!,0)</f>
        <v>0</v>
      </c>
      <c r="D122" s="478">
        <f>IFERROR('Energy balance'!D20*#REF!,0)</f>
        <v>0</v>
      </c>
      <c r="E122" s="478">
        <f>IFERROR('Energy balance'!E20*#REF!,0)</f>
        <v>0</v>
      </c>
      <c r="F122" s="478">
        <f>IFERROR('Energy balance'!F20*#REF!,0)</f>
        <v>0</v>
      </c>
      <c r="G122" s="480">
        <f>IFERROR('Energy balance'!G20*#REF!,0)</f>
        <v>0</v>
      </c>
      <c r="H122" s="480">
        <f>IFERROR('Energy balance'!H20*#REF!,0)</f>
        <v>0</v>
      </c>
      <c r="I122" s="480">
        <f>IFERROR('Energy balance'!I20*#REF!,0)</f>
        <v>0</v>
      </c>
      <c r="J122" s="480">
        <f>IFERROR('Energy balance'!J20*#REF!,0)</f>
        <v>0</v>
      </c>
      <c r="K122" s="480">
        <f>IFERROR('Energy balance'!K20*#REF!,0)</f>
        <v>0</v>
      </c>
      <c r="L122" s="480">
        <f>IFERROR('Energy balance'!L20*#REF!,0)</f>
        <v>0</v>
      </c>
      <c r="M122" s="481">
        <f>IFERROR('Energy balance'!M20*#REF!,0)</f>
        <v>0</v>
      </c>
      <c r="N122" s="482">
        <f>IFERROR('Energy balance'!N20*#REF!,0)</f>
        <v>0</v>
      </c>
      <c r="O122" s="482">
        <f>IFERROR('Energy balance'!O20*#REF!,0)</f>
        <v>0</v>
      </c>
      <c r="Q122" s="106"/>
    </row>
    <row r="123" spans="1:17" ht="13.8">
      <c r="A123" s="106" t="s">
        <v>293</v>
      </c>
      <c r="B123" s="314"/>
      <c r="C123" s="478">
        <f>IFERROR('Energy balance'!C21*#REF!,0)</f>
        <v>0</v>
      </c>
      <c r="D123" s="478">
        <f>IFERROR('Energy balance'!D21*#REF!,0)</f>
        <v>0</v>
      </c>
      <c r="E123" s="479">
        <f>IFERROR('Energy balance'!E21*#REF!,0)</f>
        <v>0</v>
      </c>
      <c r="F123" s="479">
        <f>IFERROR('Energy balance'!F21*#REF!,0)</f>
        <v>0</v>
      </c>
      <c r="G123" s="479">
        <f>IFERROR('Energy balance'!G21*#REF!,0)</f>
        <v>0</v>
      </c>
      <c r="H123" s="479">
        <f>IFERROR('Energy balance'!H21*#REF!,0)</f>
        <v>0</v>
      </c>
      <c r="I123" s="480">
        <f>IFERROR('Energy balance'!I21*#REF!,0)</f>
        <v>0</v>
      </c>
      <c r="J123" s="480">
        <f>IFERROR('Energy balance'!J21*#REF!,0)</f>
        <v>0</v>
      </c>
      <c r="K123" s="480">
        <f>IFERROR('Energy balance'!K21*#REF!,0)</f>
        <v>0</v>
      </c>
      <c r="L123" s="480">
        <f>IFERROR('Energy balance'!L21*#REF!,0)</f>
        <v>0</v>
      </c>
      <c r="M123" s="481">
        <f>IFERROR('Energy balance'!M21*#REF!,0)</f>
        <v>0</v>
      </c>
      <c r="N123" s="482">
        <f>IFERROR('Energy balance'!N21*#REF!,0)</f>
        <v>0</v>
      </c>
      <c r="O123" s="482">
        <f>IFERROR('Energy balance'!O21*#REF!,0)</f>
        <v>0</v>
      </c>
      <c r="Q123" s="106"/>
    </row>
    <row r="124" spans="1:17" ht="14.4" thickBot="1">
      <c r="A124" s="106" t="s">
        <v>293</v>
      </c>
      <c r="B124" s="326"/>
      <c r="C124" s="486">
        <f>IFERROR('Energy balance'!C22*#REF!,0)</f>
        <v>0</v>
      </c>
      <c r="D124" s="486">
        <f>IFERROR('Energy balance'!D22*#REF!,0)</f>
        <v>0</v>
      </c>
      <c r="E124" s="486">
        <f>IFERROR('Energy balance'!E22*#REF!,0)</f>
        <v>0</v>
      </c>
      <c r="F124" s="486">
        <f>IFERROR('Energy balance'!F22*#REF!,0)</f>
        <v>0</v>
      </c>
      <c r="G124" s="486">
        <f>IFERROR('Energy balance'!G22*#REF!,0)</f>
        <v>0</v>
      </c>
      <c r="H124" s="486">
        <f>IFERROR('Energy balance'!H22*#REF!,0)</f>
        <v>0</v>
      </c>
      <c r="I124" s="486">
        <f>IFERROR('Energy balance'!I22*#REF!,0)</f>
        <v>0</v>
      </c>
      <c r="J124" s="486">
        <f>IFERROR('Energy balance'!J22*#REF!,0)</f>
        <v>0</v>
      </c>
      <c r="K124" s="486">
        <f>IFERROR('Energy balance'!K22*#REF!,0)</f>
        <v>0</v>
      </c>
      <c r="L124" s="486">
        <f>IFERROR('Energy balance'!L22*#REF!,0)</f>
        <v>0</v>
      </c>
      <c r="M124" s="487">
        <f>IFERROR('Energy balance'!M22*#REF!,0)</f>
        <v>0</v>
      </c>
      <c r="N124" s="488">
        <f>IFERROR('Energy balance'!N22*#REF!,0)</f>
        <v>0</v>
      </c>
      <c r="O124" s="488">
        <f>IFERROR('Energy balance'!O22*#REF!,0)</f>
        <v>0</v>
      </c>
      <c r="Q124" s="106"/>
    </row>
    <row r="125" spans="1:17" ht="13.8">
      <c r="A125" s="106" t="s">
        <v>293</v>
      </c>
      <c r="B125" s="363" t="s">
        <v>106</v>
      </c>
      <c r="C125" s="364">
        <f>SUM(C107:C124)</f>
        <v>0</v>
      </c>
      <c r="D125" s="364">
        <f t="shared" ref="D125" si="20">SUM(D107:D124)</f>
        <v>0</v>
      </c>
      <c r="E125" s="364">
        <f t="shared" ref="E125" si="21">SUM(E107:E124)</f>
        <v>0</v>
      </c>
      <c r="F125" s="364">
        <f t="shared" ref="F125" si="22">SUM(F107:F124)</f>
        <v>4470.5919999999996</v>
      </c>
      <c r="G125" s="364">
        <f t="shared" ref="G125" si="23">SUM(G107:G124)</f>
        <v>4309.6859999999997</v>
      </c>
      <c r="H125" s="364">
        <f t="shared" ref="H125" si="24">SUM(H107:H124)</f>
        <v>4322.308</v>
      </c>
      <c r="I125" s="364">
        <f t="shared" ref="I125" si="25">SUM(I107:I124)</f>
        <v>4290.7569999999996</v>
      </c>
      <c r="J125" s="364">
        <f t="shared" ref="J125" si="26">SUM(J107:J124)</f>
        <v>4176.9250000000002</v>
      </c>
      <c r="K125" s="364">
        <f t="shared" ref="K125" si="27">SUM(K107:K124)</f>
        <v>4149.1220000000003</v>
      </c>
      <c r="L125" s="364">
        <f t="shared" ref="L125" si="28">SUM(L107:L124)</f>
        <v>4449.33</v>
      </c>
      <c r="M125" s="364">
        <f t="shared" ref="M125" si="29">SUM(M107:M124)</f>
        <v>4615.2</v>
      </c>
      <c r="N125" s="364">
        <f t="shared" ref="N125:O125" si="30">SUM(N107:N124)</f>
        <v>4454.8270000000002</v>
      </c>
      <c r="O125" s="364">
        <f t="shared" si="30"/>
        <v>4603.9459999999999</v>
      </c>
      <c r="Q125" s="106"/>
    </row>
    <row r="126" spans="1:17">
      <c r="Q126" s="106"/>
    </row>
    <row r="127" spans="1:17">
      <c r="Q127" s="106"/>
    </row>
    <row r="128" spans="1:17">
      <c r="Q128" s="361"/>
    </row>
    <row r="129" spans="17:17">
      <c r="Q129" s="106"/>
    </row>
    <row r="130" spans="17:17">
      <c r="Q130" s="362"/>
    </row>
    <row r="131" spans="17:17">
      <c r="Q131" s="106"/>
    </row>
  </sheetData>
  <hyperlinks>
    <hyperlink ref="Y15" r:id="rId1"/>
  </hyperlinks>
  <pageMargins left="0.7" right="0.7" top="0.75" bottom="0.75" header="0.3" footer="0.3"/>
  <pageSetup orientation="portrait"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27"/>
  <sheetViews>
    <sheetView zoomScale="70" zoomScaleNormal="70" workbookViewId="0">
      <pane xSplit="2" ySplit="10" topLeftCell="BK11" activePane="bottomRight" state="frozen"/>
      <selection pane="topRight"/>
      <selection pane="bottomLeft"/>
      <selection pane="bottomRight" activeCell="BN14" sqref="BN14"/>
    </sheetView>
  </sheetViews>
  <sheetFormatPr defaultColWidth="8.77734375" defaultRowHeight="11.55" customHeight="1"/>
  <cols>
    <col min="1" max="1" width="2.21875" style="583" customWidth="1"/>
    <col min="2" max="2" width="29.77734375" style="583" customWidth="1"/>
    <col min="3" max="71" width="19.77734375" style="583" customWidth="1"/>
    <col min="72" max="72" width="29.77734375" style="583" customWidth="1"/>
    <col min="73" max="16384" width="8.77734375" style="583"/>
  </cols>
  <sheetData>
    <row r="1" spans="1:72">
      <c r="A1" s="584" t="s">
        <v>885</v>
      </c>
    </row>
    <row r="2" spans="1:72">
      <c r="A2" s="584" t="s">
        <v>886</v>
      </c>
      <c r="B2" s="585" t="s">
        <v>884</v>
      </c>
    </row>
    <row r="3" spans="1:72">
      <c r="A3" s="584" t="s">
        <v>887</v>
      </c>
      <c r="B3" s="584" t="s">
        <v>888</v>
      </c>
    </row>
    <row r="5" spans="1:72">
      <c r="A5" s="585" t="s">
        <v>883</v>
      </c>
      <c r="C5" s="584" t="s">
        <v>882</v>
      </c>
      <c r="D5" s="655">
        <f>C15-C14-C16-C17</f>
        <v>4354.2999999999302</v>
      </c>
    </row>
    <row r="6" spans="1:72">
      <c r="A6" s="585" t="s">
        <v>881</v>
      </c>
      <c r="C6" s="584" t="s">
        <v>880</v>
      </c>
    </row>
    <row r="8" spans="1:72">
      <c r="A8" s="662" t="s">
        <v>879</v>
      </c>
      <c r="B8" s="662" t="s">
        <v>879</v>
      </c>
      <c r="C8" s="663" t="s">
        <v>878</v>
      </c>
      <c r="D8" s="663" t="s">
        <v>878</v>
      </c>
      <c r="E8" s="663" t="s">
        <v>878</v>
      </c>
      <c r="F8" s="663" t="s">
        <v>878</v>
      </c>
      <c r="G8" s="663" t="s">
        <v>878</v>
      </c>
      <c r="H8" s="663" t="s">
        <v>878</v>
      </c>
      <c r="I8" s="663" t="s">
        <v>878</v>
      </c>
      <c r="J8" s="663" t="s">
        <v>877</v>
      </c>
      <c r="K8" s="663" t="s">
        <v>877</v>
      </c>
      <c r="L8" s="663" t="s">
        <v>877</v>
      </c>
      <c r="M8" s="663" t="s">
        <v>877</v>
      </c>
      <c r="N8" s="663" t="s">
        <v>877</v>
      </c>
      <c r="O8" s="663" t="s">
        <v>877</v>
      </c>
      <c r="P8" s="663" t="s">
        <v>877</v>
      </c>
      <c r="Q8" s="663" t="s">
        <v>876</v>
      </c>
      <c r="R8" s="663" t="s">
        <v>876</v>
      </c>
      <c r="S8" s="663" t="s">
        <v>876</v>
      </c>
      <c r="T8" s="663" t="s">
        <v>876</v>
      </c>
      <c r="U8" s="663" t="s">
        <v>876</v>
      </c>
      <c r="V8" s="663" t="s">
        <v>876</v>
      </c>
      <c r="W8" s="663" t="s">
        <v>876</v>
      </c>
      <c r="X8" s="663" t="s">
        <v>875</v>
      </c>
      <c r="Y8" s="663" t="s">
        <v>875</v>
      </c>
      <c r="Z8" s="663" t="s">
        <v>875</v>
      </c>
      <c r="AA8" s="663" t="s">
        <v>875</v>
      </c>
      <c r="AB8" s="663" t="s">
        <v>875</v>
      </c>
      <c r="AC8" s="663" t="s">
        <v>875</v>
      </c>
      <c r="AD8" s="663" t="s">
        <v>875</v>
      </c>
      <c r="AE8" s="663" t="s">
        <v>874</v>
      </c>
      <c r="AF8" s="663" t="s">
        <v>874</v>
      </c>
      <c r="AG8" s="663" t="s">
        <v>874</v>
      </c>
      <c r="AH8" s="663" t="s">
        <v>874</v>
      </c>
      <c r="AI8" s="663" t="s">
        <v>874</v>
      </c>
      <c r="AJ8" s="663" t="s">
        <v>874</v>
      </c>
      <c r="AK8" s="663" t="s">
        <v>874</v>
      </c>
      <c r="AL8" s="663" t="s">
        <v>873</v>
      </c>
      <c r="AM8" s="663" t="s">
        <v>873</v>
      </c>
      <c r="AN8" s="663" t="s">
        <v>873</v>
      </c>
      <c r="AO8" s="663" t="s">
        <v>873</v>
      </c>
      <c r="AP8" s="663" t="s">
        <v>873</v>
      </c>
      <c r="AQ8" s="663" t="s">
        <v>873</v>
      </c>
      <c r="AR8" s="663" t="s">
        <v>873</v>
      </c>
      <c r="AS8" s="663" t="s">
        <v>872</v>
      </c>
      <c r="AT8" s="663" t="s">
        <v>872</v>
      </c>
      <c r="AU8" s="663" t="s">
        <v>872</v>
      </c>
      <c r="AV8" s="663" t="s">
        <v>872</v>
      </c>
      <c r="AW8" s="663" t="s">
        <v>872</v>
      </c>
      <c r="AX8" s="663" t="s">
        <v>872</v>
      </c>
      <c r="AY8" s="663" t="s">
        <v>872</v>
      </c>
      <c r="AZ8" s="663" t="s">
        <v>871</v>
      </c>
      <c r="BA8" s="663" t="s">
        <v>871</v>
      </c>
      <c r="BB8" s="663" t="s">
        <v>871</v>
      </c>
      <c r="BC8" s="663" t="s">
        <v>871</v>
      </c>
      <c r="BD8" s="663" t="s">
        <v>871</v>
      </c>
      <c r="BE8" s="663" t="s">
        <v>871</v>
      </c>
      <c r="BF8" s="663" t="s">
        <v>871</v>
      </c>
      <c r="BG8" s="663" t="s">
        <v>870</v>
      </c>
      <c r="BH8" s="663" t="s">
        <v>870</v>
      </c>
      <c r="BI8" s="663" t="s">
        <v>870</v>
      </c>
      <c r="BJ8" s="663" t="s">
        <v>870</v>
      </c>
      <c r="BK8" s="663" t="s">
        <v>870</v>
      </c>
      <c r="BL8" s="663" t="s">
        <v>870</v>
      </c>
      <c r="BM8" s="663" t="s">
        <v>870</v>
      </c>
      <c r="BN8" s="663" t="s">
        <v>869</v>
      </c>
      <c r="BO8" s="663" t="s">
        <v>869</v>
      </c>
      <c r="BP8" s="663" t="s">
        <v>869</v>
      </c>
      <c r="BQ8" s="663" t="s">
        <v>869</v>
      </c>
      <c r="BR8" s="663" t="s">
        <v>869</v>
      </c>
      <c r="BS8" s="663" t="s">
        <v>869</v>
      </c>
      <c r="BT8" s="663" t="s">
        <v>869</v>
      </c>
    </row>
    <row r="9" spans="1:72">
      <c r="A9" s="662" t="s">
        <v>868</v>
      </c>
      <c r="B9" s="662" t="s">
        <v>868</v>
      </c>
      <c r="C9" s="595" t="s">
        <v>867</v>
      </c>
      <c r="D9" s="595" t="s">
        <v>866</v>
      </c>
      <c r="E9" s="595" t="s">
        <v>865</v>
      </c>
      <c r="F9" s="595" t="s">
        <v>864</v>
      </c>
      <c r="G9" s="595" t="s">
        <v>863</v>
      </c>
      <c r="H9" s="595" t="s">
        <v>862</v>
      </c>
      <c r="I9" s="595" t="s">
        <v>861</v>
      </c>
      <c r="J9" s="595" t="s">
        <v>867</v>
      </c>
      <c r="K9" s="595" t="s">
        <v>866</v>
      </c>
      <c r="L9" s="595" t="s">
        <v>865</v>
      </c>
      <c r="M9" s="595" t="s">
        <v>864</v>
      </c>
      <c r="N9" s="595" t="s">
        <v>863</v>
      </c>
      <c r="O9" s="595" t="s">
        <v>862</v>
      </c>
      <c r="P9" s="595" t="s">
        <v>861</v>
      </c>
      <c r="Q9" s="595" t="s">
        <v>867</v>
      </c>
      <c r="R9" s="595" t="s">
        <v>866</v>
      </c>
      <c r="S9" s="595" t="s">
        <v>865</v>
      </c>
      <c r="T9" s="595" t="s">
        <v>864</v>
      </c>
      <c r="U9" s="595" t="s">
        <v>863</v>
      </c>
      <c r="V9" s="595" t="s">
        <v>862</v>
      </c>
      <c r="W9" s="595" t="s">
        <v>861</v>
      </c>
      <c r="X9" s="595" t="s">
        <v>867</v>
      </c>
      <c r="Y9" s="595" t="s">
        <v>866</v>
      </c>
      <c r="Z9" s="595" t="s">
        <v>865</v>
      </c>
      <c r="AA9" s="595" t="s">
        <v>864</v>
      </c>
      <c r="AB9" s="595" t="s">
        <v>863</v>
      </c>
      <c r="AC9" s="595" t="s">
        <v>862</v>
      </c>
      <c r="AD9" s="595" t="s">
        <v>861</v>
      </c>
      <c r="AE9" s="595" t="s">
        <v>867</v>
      </c>
      <c r="AF9" s="595" t="s">
        <v>866</v>
      </c>
      <c r="AG9" s="595" t="s">
        <v>865</v>
      </c>
      <c r="AH9" s="595" t="s">
        <v>864</v>
      </c>
      <c r="AI9" s="595" t="s">
        <v>863</v>
      </c>
      <c r="AJ9" s="595" t="s">
        <v>862</v>
      </c>
      <c r="AK9" s="595" t="s">
        <v>861</v>
      </c>
      <c r="AL9" s="595" t="s">
        <v>867</v>
      </c>
      <c r="AM9" s="595" t="s">
        <v>866</v>
      </c>
      <c r="AN9" s="595" t="s">
        <v>865</v>
      </c>
      <c r="AO9" s="595" t="s">
        <v>864</v>
      </c>
      <c r="AP9" s="595" t="s">
        <v>863</v>
      </c>
      <c r="AQ9" s="595" t="s">
        <v>862</v>
      </c>
      <c r="AR9" s="595" t="s">
        <v>861</v>
      </c>
      <c r="AS9" s="595" t="s">
        <v>867</v>
      </c>
      <c r="AT9" s="595" t="s">
        <v>866</v>
      </c>
      <c r="AU9" s="595" t="s">
        <v>865</v>
      </c>
      <c r="AV9" s="595" t="s">
        <v>864</v>
      </c>
      <c r="AW9" s="595" t="s">
        <v>863</v>
      </c>
      <c r="AX9" s="595" t="s">
        <v>862</v>
      </c>
      <c r="AY9" s="595" t="s">
        <v>861</v>
      </c>
      <c r="AZ9" s="595" t="s">
        <v>867</v>
      </c>
      <c r="BA9" s="595" t="s">
        <v>866</v>
      </c>
      <c r="BB9" s="595" t="s">
        <v>865</v>
      </c>
      <c r="BC9" s="595" t="s">
        <v>864</v>
      </c>
      <c r="BD9" s="595" t="s">
        <v>863</v>
      </c>
      <c r="BE9" s="595" t="s">
        <v>862</v>
      </c>
      <c r="BF9" s="595" t="s">
        <v>861</v>
      </c>
      <c r="BG9" s="595" t="s">
        <v>867</v>
      </c>
      <c r="BH9" s="595" t="s">
        <v>866</v>
      </c>
      <c r="BI9" s="595" t="s">
        <v>865</v>
      </c>
      <c r="BJ9" s="595" t="s">
        <v>864</v>
      </c>
      <c r="BK9" s="595" t="s">
        <v>863</v>
      </c>
      <c r="BL9" s="595" t="s">
        <v>862</v>
      </c>
      <c r="BM9" s="595" t="s">
        <v>861</v>
      </c>
      <c r="BN9" s="595" t="s">
        <v>867</v>
      </c>
      <c r="BO9" s="595" t="s">
        <v>866</v>
      </c>
      <c r="BP9" s="595" t="s">
        <v>865</v>
      </c>
      <c r="BQ9" s="595" t="s">
        <v>864</v>
      </c>
      <c r="BR9" s="595" t="s">
        <v>863</v>
      </c>
      <c r="BS9" s="595" t="s">
        <v>862</v>
      </c>
      <c r="BT9" s="595" t="s">
        <v>861</v>
      </c>
    </row>
    <row r="10" spans="1:72">
      <c r="A10" s="594" t="s">
        <v>860</v>
      </c>
      <c r="B10" s="594" t="s">
        <v>859</v>
      </c>
      <c r="C10" s="593" t="s">
        <v>858</v>
      </c>
      <c r="D10" s="593" t="s">
        <v>858</v>
      </c>
      <c r="E10" s="593" t="s">
        <v>858</v>
      </c>
      <c r="F10" s="593" t="s">
        <v>858</v>
      </c>
      <c r="G10" s="593" t="s">
        <v>858</v>
      </c>
      <c r="H10" s="593" t="s">
        <v>858</v>
      </c>
      <c r="I10" s="593" t="s">
        <v>858</v>
      </c>
      <c r="J10" s="593" t="s">
        <v>858</v>
      </c>
      <c r="K10" s="593" t="s">
        <v>858</v>
      </c>
      <c r="L10" s="593" t="s">
        <v>858</v>
      </c>
      <c r="M10" s="593" t="s">
        <v>858</v>
      </c>
      <c r="N10" s="593" t="s">
        <v>858</v>
      </c>
      <c r="O10" s="593" t="s">
        <v>858</v>
      </c>
      <c r="P10" s="593" t="s">
        <v>858</v>
      </c>
      <c r="Q10" s="593" t="s">
        <v>858</v>
      </c>
      <c r="R10" s="593" t="s">
        <v>858</v>
      </c>
      <c r="S10" s="593" t="s">
        <v>858</v>
      </c>
      <c r="T10" s="593" t="s">
        <v>858</v>
      </c>
      <c r="U10" s="593" t="s">
        <v>858</v>
      </c>
      <c r="V10" s="593" t="s">
        <v>858</v>
      </c>
      <c r="W10" s="593" t="s">
        <v>858</v>
      </c>
      <c r="X10" s="593" t="s">
        <v>858</v>
      </c>
      <c r="Y10" s="593" t="s">
        <v>858</v>
      </c>
      <c r="Z10" s="593" t="s">
        <v>858</v>
      </c>
      <c r="AA10" s="593" t="s">
        <v>858</v>
      </c>
      <c r="AB10" s="593" t="s">
        <v>858</v>
      </c>
      <c r="AC10" s="593" t="s">
        <v>858</v>
      </c>
      <c r="AD10" s="593" t="s">
        <v>858</v>
      </c>
      <c r="AE10" s="593" t="s">
        <v>858</v>
      </c>
      <c r="AF10" s="593" t="s">
        <v>858</v>
      </c>
      <c r="AG10" s="593" t="s">
        <v>858</v>
      </c>
      <c r="AH10" s="593" t="s">
        <v>858</v>
      </c>
      <c r="AI10" s="593" t="s">
        <v>858</v>
      </c>
      <c r="AJ10" s="593" t="s">
        <v>858</v>
      </c>
      <c r="AK10" s="593" t="s">
        <v>858</v>
      </c>
      <c r="AL10" s="593" t="s">
        <v>858</v>
      </c>
      <c r="AM10" s="593" t="s">
        <v>858</v>
      </c>
      <c r="AN10" s="593" t="s">
        <v>858</v>
      </c>
      <c r="AO10" s="593" t="s">
        <v>858</v>
      </c>
      <c r="AP10" s="593" t="s">
        <v>858</v>
      </c>
      <c r="AQ10" s="593" t="s">
        <v>858</v>
      </c>
      <c r="AR10" s="593" t="s">
        <v>858</v>
      </c>
      <c r="AS10" s="593" t="s">
        <v>858</v>
      </c>
      <c r="AT10" s="593" t="s">
        <v>858</v>
      </c>
      <c r="AU10" s="593" t="s">
        <v>858</v>
      </c>
      <c r="AV10" s="593" t="s">
        <v>858</v>
      </c>
      <c r="AW10" s="593" t="s">
        <v>858</v>
      </c>
      <c r="AX10" s="593" t="s">
        <v>858</v>
      </c>
      <c r="AY10" s="593" t="s">
        <v>858</v>
      </c>
      <c r="AZ10" s="593" t="s">
        <v>858</v>
      </c>
      <c r="BA10" s="593" t="s">
        <v>858</v>
      </c>
      <c r="BB10" s="593" t="s">
        <v>858</v>
      </c>
      <c r="BC10" s="593" t="s">
        <v>858</v>
      </c>
      <c r="BD10" s="593" t="s">
        <v>858</v>
      </c>
      <c r="BE10" s="593" t="s">
        <v>858</v>
      </c>
      <c r="BF10" s="593" t="s">
        <v>858</v>
      </c>
      <c r="BG10" s="593" t="s">
        <v>858</v>
      </c>
      <c r="BH10" s="593" t="s">
        <v>858</v>
      </c>
      <c r="BI10" s="593" t="s">
        <v>858</v>
      </c>
      <c r="BJ10" s="593" t="s">
        <v>858</v>
      </c>
      <c r="BK10" s="593" t="s">
        <v>858</v>
      </c>
      <c r="BL10" s="593" t="s">
        <v>858</v>
      </c>
      <c r="BM10" s="593" t="s">
        <v>858</v>
      </c>
      <c r="BN10" s="593" t="s">
        <v>858</v>
      </c>
      <c r="BO10" s="593" t="s">
        <v>858</v>
      </c>
      <c r="BP10" s="593" t="s">
        <v>858</v>
      </c>
      <c r="BQ10" s="593" t="s">
        <v>858</v>
      </c>
      <c r="BR10" s="593" t="s">
        <v>858</v>
      </c>
      <c r="BS10" s="593" t="s">
        <v>858</v>
      </c>
      <c r="BT10" s="593" t="s">
        <v>858</v>
      </c>
    </row>
    <row r="11" spans="1:72">
      <c r="A11" s="589" t="s">
        <v>848</v>
      </c>
      <c r="B11" s="589" t="s">
        <v>106</v>
      </c>
      <c r="C11" s="590">
        <v>2671611.0690000001</v>
      </c>
      <c r="D11" s="590">
        <v>1922857.6140000001</v>
      </c>
      <c r="E11" s="590">
        <v>4470.5919999999996</v>
      </c>
      <c r="F11" s="590">
        <v>336154.533</v>
      </c>
      <c r="G11" s="590">
        <v>149921.71299999999</v>
      </c>
      <c r="H11" s="590">
        <v>238346.52799999999</v>
      </c>
      <c r="I11" s="590">
        <v>19860.089</v>
      </c>
      <c r="J11" s="590">
        <v>2344389.719</v>
      </c>
      <c r="K11" s="590">
        <v>1543489.0330000001</v>
      </c>
      <c r="L11" s="590">
        <v>4309.6859999999997</v>
      </c>
      <c r="M11" s="590">
        <v>396766.109</v>
      </c>
      <c r="N11" s="590">
        <v>149804.98800000001</v>
      </c>
      <c r="O11" s="590">
        <v>233210.394</v>
      </c>
      <c r="P11" s="591">
        <v>16809.509999999998</v>
      </c>
      <c r="Q11" s="590">
        <v>2477306.0610000002</v>
      </c>
      <c r="R11" s="590">
        <v>1676595.827</v>
      </c>
      <c r="S11" s="590">
        <v>4322.308</v>
      </c>
      <c r="T11" s="590">
        <v>391774.951</v>
      </c>
      <c r="U11" s="590">
        <v>151990.538</v>
      </c>
      <c r="V11" s="590">
        <v>235866.092</v>
      </c>
      <c r="W11" s="590">
        <v>16756.345000000001</v>
      </c>
      <c r="X11" s="590">
        <v>2615756.628</v>
      </c>
      <c r="Y11" s="590">
        <v>1846294.8019999999</v>
      </c>
      <c r="Z11" s="590">
        <v>4290.7569999999996</v>
      </c>
      <c r="AA11" s="590">
        <v>363797.88699999999</v>
      </c>
      <c r="AB11" s="590">
        <v>150021.647</v>
      </c>
      <c r="AC11" s="591">
        <v>229824.09</v>
      </c>
      <c r="AD11" s="590">
        <v>21527.445</v>
      </c>
      <c r="AE11" s="591">
        <v>2249855.7400000002</v>
      </c>
      <c r="AF11" s="590">
        <v>1500409.503</v>
      </c>
      <c r="AG11" s="590">
        <v>4176.9250000000002</v>
      </c>
      <c r="AH11" s="590">
        <v>354840.28499999997</v>
      </c>
      <c r="AI11" s="590">
        <v>145727.82500000001</v>
      </c>
      <c r="AJ11" s="590">
        <v>223573.47500000001</v>
      </c>
      <c r="AK11" s="590">
        <v>21127.725999999999</v>
      </c>
      <c r="AL11" s="590">
        <v>2295341.2119999998</v>
      </c>
      <c r="AM11" s="590">
        <v>1556113.219</v>
      </c>
      <c r="AN11" s="590">
        <v>4149.1220000000003</v>
      </c>
      <c r="AO11" s="590">
        <v>347227.09899999999</v>
      </c>
      <c r="AP11" s="591">
        <v>144958.19</v>
      </c>
      <c r="AQ11" s="590">
        <v>221975.568</v>
      </c>
      <c r="AR11" s="590">
        <v>20918.013999999999</v>
      </c>
      <c r="AS11" s="590">
        <v>2381618.1669999999</v>
      </c>
      <c r="AT11" s="590">
        <v>1633708.648</v>
      </c>
      <c r="AU11" s="591">
        <v>4449.33</v>
      </c>
      <c r="AV11" s="590">
        <v>357787.68699999998</v>
      </c>
      <c r="AW11" s="590">
        <v>148407.723</v>
      </c>
      <c r="AX11" s="590">
        <v>216609.242</v>
      </c>
      <c r="AY11" s="590">
        <v>20655.537</v>
      </c>
      <c r="AZ11" s="590">
        <v>2365892.7820000001</v>
      </c>
      <c r="BA11" s="591">
        <v>1597438.8</v>
      </c>
      <c r="BB11" s="591">
        <v>4615.2</v>
      </c>
      <c r="BC11" s="590">
        <v>377407.701</v>
      </c>
      <c r="BD11" s="590">
        <v>149081.12299999999</v>
      </c>
      <c r="BE11" s="590">
        <v>216914.35699999999</v>
      </c>
      <c r="BF11" s="590">
        <v>20435.602999999999</v>
      </c>
      <c r="BG11" s="590">
        <v>2337023.173</v>
      </c>
      <c r="BH11" s="590">
        <v>1548081.2080000001</v>
      </c>
      <c r="BI11" s="590">
        <v>4454.8270000000002</v>
      </c>
      <c r="BJ11" s="590">
        <v>394479.54100000003</v>
      </c>
      <c r="BK11" s="590">
        <v>150605.69899999999</v>
      </c>
      <c r="BL11" s="590">
        <v>218583.47500000001</v>
      </c>
      <c r="BM11" s="590">
        <v>20818.423999999999</v>
      </c>
      <c r="BN11" s="591">
        <v>2409028.83</v>
      </c>
      <c r="BO11" s="590">
        <v>1608346.838</v>
      </c>
      <c r="BP11" s="590">
        <v>4603.9459999999999</v>
      </c>
      <c r="BQ11" s="590">
        <v>403103.77899999998</v>
      </c>
      <c r="BR11" s="590">
        <v>152303.18100000001</v>
      </c>
      <c r="BS11" s="590">
        <v>219557.06599999999</v>
      </c>
      <c r="BT11" s="590">
        <v>21114.018</v>
      </c>
    </row>
    <row r="12" spans="1:72">
      <c r="A12" s="589" t="s">
        <v>848</v>
      </c>
      <c r="B12" s="589" t="s">
        <v>857</v>
      </c>
      <c r="C12" s="587">
        <v>41537.841999999997</v>
      </c>
      <c r="D12" s="587">
        <v>41537.841999999997</v>
      </c>
      <c r="E12" s="586">
        <v>0</v>
      </c>
      <c r="F12" s="588">
        <v>0</v>
      </c>
      <c r="G12" s="586">
        <v>0</v>
      </c>
      <c r="H12" s="586">
        <v>0</v>
      </c>
      <c r="I12" s="586">
        <v>0</v>
      </c>
      <c r="J12" s="587">
        <v>36247.555</v>
      </c>
      <c r="K12" s="587">
        <v>36247.555</v>
      </c>
      <c r="L12" s="586">
        <v>0</v>
      </c>
      <c r="M12" s="588">
        <v>0</v>
      </c>
      <c r="N12" s="586">
        <v>0</v>
      </c>
      <c r="O12" s="586">
        <v>0</v>
      </c>
      <c r="P12" s="586">
        <v>0</v>
      </c>
      <c r="Q12" s="587">
        <v>31476.024000000001</v>
      </c>
      <c r="R12" s="587">
        <v>31476.024000000001</v>
      </c>
      <c r="S12" s="586">
        <v>0</v>
      </c>
      <c r="T12" s="588">
        <v>0</v>
      </c>
      <c r="U12" s="586">
        <v>0</v>
      </c>
      <c r="V12" s="586">
        <v>0</v>
      </c>
      <c r="W12" s="586">
        <v>0</v>
      </c>
      <c r="X12" s="587">
        <v>28480.179</v>
      </c>
      <c r="Y12" s="587">
        <v>28480.179</v>
      </c>
      <c r="Z12" s="586">
        <v>0</v>
      </c>
      <c r="AA12" s="588">
        <v>0</v>
      </c>
      <c r="AB12" s="586">
        <v>0</v>
      </c>
      <c r="AC12" s="586">
        <v>0</v>
      </c>
      <c r="AD12" s="586">
        <v>0</v>
      </c>
      <c r="AE12" s="587">
        <v>23980.505000000001</v>
      </c>
      <c r="AF12" s="587">
        <v>23980.505000000001</v>
      </c>
      <c r="AG12" s="586">
        <v>0</v>
      </c>
      <c r="AH12" s="588">
        <v>0</v>
      </c>
      <c r="AI12" s="586">
        <v>0</v>
      </c>
      <c r="AJ12" s="586">
        <v>0</v>
      </c>
      <c r="AK12" s="586">
        <v>0</v>
      </c>
      <c r="AL12" s="587">
        <v>23740.733</v>
      </c>
      <c r="AM12" s="587">
        <v>23740.733</v>
      </c>
      <c r="AN12" s="586">
        <v>0</v>
      </c>
      <c r="AO12" s="588">
        <v>0</v>
      </c>
      <c r="AP12" s="586">
        <v>0</v>
      </c>
      <c r="AQ12" s="586">
        <v>0</v>
      </c>
      <c r="AR12" s="586">
        <v>0</v>
      </c>
      <c r="AS12" s="588">
        <v>21756.46</v>
      </c>
      <c r="AT12" s="588">
        <v>21756.46</v>
      </c>
      <c r="AU12" s="586">
        <v>0</v>
      </c>
      <c r="AV12" s="588">
        <v>0</v>
      </c>
      <c r="AW12" s="586">
        <v>0</v>
      </c>
      <c r="AX12" s="586">
        <v>0</v>
      </c>
      <c r="AY12" s="586">
        <v>0</v>
      </c>
      <c r="AZ12" s="587">
        <v>20949.705000000002</v>
      </c>
      <c r="BA12" s="587">
        <v>20949.705000000002</v>
      </c>
      <c r="BB12" s="586">
        <v>0</v>
      </c>
      <c r="BC12" s="588">
        <v>0</v>
      </c>
      <c r="BD12" s="586">
        <v>0</v>
      </c>
      <c r="BE12" s="586">
        <v>0</v>
      </c>
      <c r="BF12" s="586">
        <v>0</v>
      </c>
      <c r="BG12" s="587">
        <v>20619.144</v>
      </c>
      <c r="BH12" s="587">
        <v>20619.144</v>
      </c>
      <c r="BI12" s="586">
        <v>0</v>
      </c>
      <c r="BJ12" s="588">
        <v>0</v>
      </c>
      <c r="BK12" s="586">
        <v>0</v>
      </c>
      <c r="BL12" s="586">
        <v>0</v>
      </c>
      <c r="BM12" s="586">
        <v>0</v>
      </c>
      <c r="BN12" s="587">
        <v>14453.804</v>
      </c>
      <c r="BO12" s="587">
        <v>14453.804</v>
      </c>
      <c r="BP12" s="586">
        <v>0</v>
      </c>
      <c r="BQ12" s="588">
        <v>0</v>
      </c>
      <c r="BR12" s="586">
        <v>0</v>
      </c>
      <c r="BS12" s="586">
        <v>0</v>
      </c>
      <c r="BT12" s="586">
        <v>0</v>
      </c>
    </row>
    <row r="13" spans="1:72">
      <c r="A13" s="589" t="s">
        <v>848</v>
      </c>
      <c r="B13" s="589" t="s">
        <v>80</v>
      </c>
      <c r="C13" s="591">
        <v>1000926</v>
      </c>
      <c r="D13" s="590">
        <v>840518.70299999998</v>
      </c>
      <c r="E13" s="592">
        <v>0</v>
      </c>
      <c r="F13" s="590">
        <v>157968.584</v>
      </c>
      <c r="G13" s="590">
        <v>2438.7130000000002</v>
      </c>
      <c r="H13" s="592">
        <v>0</v>
      </c>
      <c r="I13" s="592">
        <v>0</v>
      </c>
      <c r="J13" s="591">
        <v>827226.9</v>
      </c>
      <c r="K13" s="590">
        <v>649373.11699999997</v>
      </c>
      <c r="L13" s="592">
        <v>0</v>
      </c>
      <c r="M13" s="590">
        <v>174544.87599999999</v>
      </c>
      <c r="N13" s="590">
        <v>3308.9079999999999</v>
      </c>
      <c r="O13" s="592">
        <v>0</v>
      </c>
      <c r="P13" s="592">
        <v>0</v>
      </c>
      <c r="Q13" s="591">
        <v>905134.5</v>
      </c>
      <c r="R13" s="590">
        <v>725012.73499999999</v>
      </c>
      <c r="S13" s="592">
        <v>0</v>
      </c>
      <c r="T13" s="590">
        <v>176501.228</v>
      </c>
      <c r="U13" s="590">
        <v>3620.538</v>
      </c>
      <c r="V13" s="592">
        <v>0</v>
      </c>
      <c r="W13" s="592">
        <v>0</v>
      </c>
      <c r="X13" s="590">
        <v>942415.19900000002</v>
      </c>
      <c r="Y13" s="590">
        <v>768904.68700000003</v>
      </c>
      <c r="Z13" s="592">
        <v>0</v>
      </c>
      <c r="AA13" s="590">
        <v>169438.43100000001</v>
      </c>
      <c r="AB13" s="590">
        <v>4072.0819999999999</v>
      </c>
      <c r="AC13" s="592">
        <v>0</v>
      </c>
      <c r="AD13" s="592">
        <v>0</v>
      </c>
      <c r="AE13" s="591">
        <v>766105.2</v>
      </c>
      <c r="AF13" s="590">
        <v>609351.34199999995</v>
      </c>
      <c r="AG13" s="592">
        <v>0</v>
      </c>
      <c r="AH13" s="590">
        <v>153109.72500000001</v>
      </c>
      <c r="AI13" s="590">
        <v>3644.1320000000001</v>
      </c>
      <c r="AJ13" s="592">
        <v>0</v>
      </c>
      <c r="AK13" s="592">
        <v>0</v>
      </c>
      <c r="AL13" s="590">
        <v>826425.90099999995</v>
      </c>
      <c r="AM13" s="590">
        <v>670193.98400000005</v>
      </c>
      <c r="AN13" s="592">
        <v>0</v>
      </c>
      <c r="AO13" s="590">
        <v>152587.462</v>
      </c>
      <c r="AP13" s="590">
        <v>3644.4560000000001</v>
      </c>
      <c r="AQ13" s="592">
        <v>0</v>
      </c>
      <c r="AR13" s="592">
        <v>0</v>
      </c>
      <c r="AS13" s="591">
        <v>924967.8</v>
      </c>
      <c r="AT13" s="590">
        <v>751759.625</v>
      </c>
      <c r="AU13" s="592">
        <v>0</v>
      </c>
      <c r="AV13" s="590">
        <v>169786.71900000001</v>
      </c>
      <c r="AW13" s="590">
        <v>3421.4560000000001</v>
      </c>
      <c r="AX13" s="592">
        <v>0</v>
      </c>
      <c r="AY13" s="592">
        <v>0</v>
      </c>
      <c r="AZ13" s="590">
        <v>904274.33900000004</v>
      </c>
      <c r="BA13" s="590">
        <v>720706.64800000004</v>
      </c>
      <c r="BB13" s="592">
        <v>0</v>
      </c>
      <c r="BC13" s="590">
        <v>179950.59400000001</v>
      </c>
      <c r="BD13" s="590">
        <v>3617.0970000000002</v>
      </c>
      <c r="BE13" s="592">
        <v>0</v>
      </c>
      <c r="BF13" s="592">
        <v>0</v>
      </c>
      <c r="BG13" s="590">
        <v>932189.67599999998</v>
      </c>
      <c r="BH13" s="590">
        <v>735319.29299999995</v>
      </c>
      <c r="BI13" s="592">
        <v>0</v>
      </c>
      <c r="BJ13" s="590">
        <v>192979.24799999999</v>
      </c>
      <c r="BK13" s="590">
        <v>3891.1350000000002</v>
      </c>
      <c r="BL13" s="592">
        <v>0</v>
      </c>
      <c r="BM13" s="592">
        <v>0</v>
      </c>
      <c r="BN13" s="590">
        <v>936985.82200000004</v>
      </c>
      <c r="BO13" s="590">
        <v>733740.78899999999</v>
      </c>
      <c r="BP13" s="592">
        <v>0</v>
      </c>
      <c r="BQ13" s="590">
        <v>198875.217</v>
      </c>
      <c r="BR13" s="590">
        <v>4369.817</v>
      </c>
      <c r="BS13" s="592">
        <v>0</v>
      </c>
      <c r="BT13" s="592">
        <v>0</v>
      </c>
    </row>
    <row r="14" spans="1:72">
      <c r="A14" s="589" t="s">
        <v>848</v>
      </c>
      <c r="B14" s="589" t="s">
        <v>856</v>
      </c>
      <c r="C14" s="587">
        <v>34707.374000000003</v>
      </c>
      <c r="D14" s="587">
        <v>30866.179</v>
      </c>
      <c r="E14" s="586">
        <v>0</v>
      </c>
      <c r="F14" s="587">
        <v>3841.1950000000002</v>
      </c>
      <c r="G14" s="586">
        <v>0</v>
      </c>
      <c r="H14" s="586">
        <v>0</v>
      </c>
      <c r="I14" s="586">
        <v>0</v>
      </c>
      <c r="J14" s="587">
        <v>33050.258000000002</v>
      </c>
      <c r="K14" s="587">
        <v>27398.664000000001</v>
      </c>
      <c r="L14" s="586">
        <v>0</v>
      </c>
      <c r="M14" s="587">
        <v>5651.5940000000001</v>
      </c>
      <c r="N14" s="586">
        <v>0</v>
      </c>
      <c r="O14" s="586">
        <v>0</v>
      </c>
      <c r="P14" s="586">
        <v>0</v>
      </c>
      <c r="Q14" s="588">
        <v>30380.46</v>
      </c>
      <c r="R14" s="587">
        <v>25519.585999999999</v>
      </c>
      <c r="S14" s="586">
        <v>0</v>
      </c>
      <c r="T14" s="587">
        <v>4860.8739999999998</v>
      </c>
      <c r="U14" s="586">
        <v>0</v>
      </c>
      <c r="V14" s="586">
        <v>0</v>
      </c>
      <c r="W14" s="586">
        <v>0</v>
      </c>
      <c r="X14" s="587">
        <v>36042.273000000001</v>
      </c>
      <c r="Y14" s="587">
        <v>32085.218000000001</v>
      </c>
      <c r="Z14" s="586">
        <v>0</v>
      </c>
      <c r="AA14" s="587">
        <v>3957.0549999999998</v>
      </c>
      <c r="AB14" s="586">
        <v>0</v>
      </c>
      <c r="AC14" s="586">
        <v>0</v>
      </c>
      <c r="AD14" s="586">
        <v>0</v>
      </c>
      <c r="AE14" s="588">
        <v>29886.35</v>
      </c>
      <c r="AF14" s="587">
        <v>25781.713</v>
      </c>
      <c r="AG14" s="586">
        <v>0</v>
      </c>
      <c r="AH14" s="587">
        <v>4104.6369999999997</v>
      </c>
      <c r="AI14" s="586">
        <v>0</v>
      </c>
      <c r="AJ14" s="586">
        <v>0</v>
      </c>
      <c r="AK14" s="586">
        <v>0</v>
      </c>
      <c r="AL14" s="588">
        <v>24921.16</v>
      </c>
      <c r="AM14" s="588">
        <v>21665.96</v>
      </c>
      <c r="AN14" s="586">
        <v>0</v>
      </c>
      <c r="AO14" s="588">
        <v>3255.2</v>
      </c>
      <c r="AP14" s="586">
        <v>0</v>
      </c>
      <c r="AQ14" s="586">
        <v>0</v>
      </c>
      <c r="AR14" s="586">
        <v>0</v>
      </c>
      <c r="AS14" s="587">
        <v>31573.241999999998</v>
      </c>
      <c r="AT14" s="587">
        <v>27530.704000000002</v>
      </c>
      <c r="AU14" s="586">
        <v>0</v>
      </c>
      <c r="AV14" s="587">
        <v>4042.538</v>
      </c>
      <c r="AW14" s="586">
        <v>0</v>
      </c>
      <c r="AX14" s="586">
        <v>0</v>
      </c>
      <c r="AY14" s="586">
        <v>0</v>
      </c>
      <c r="AZ14" s="588">
        <v>23690.7</v>
      </c>
      <c r="BA14" s="587">
        <v>20350.311000000002</v>
      </c>
      <c r="BB14" s="586">
        <v>0</v>
      </c>
      <c r="BC14" s="587">
        <v>3340.3890000000001</v>
      </c>
      <c r="BD14" s="586">
        <v>0</v>
      </c>
      <c r="BE14" s="586">
        <v>0</v>
      </c>
      <c r="BF14" s="586">
        <v>0</v>
      </c>
      <c r="BG14" s="587">
        <v>36225.233999999997</v>
      </c>
      <c r="BH14" s="588">
        <v>30792.31</v>
      </c>
      <c r="BI14" s="586">
        <v>0</v>
      </c>
      <c r="BJ14" s="587">
        <v>5432.924</v>
      </c>
      <c r="BK14" s="586">
        <v>0</v>
      </c>
      <c r="BL14" s="586">
        <v>0</v>
      </c>
      <c r="BM14" s="586">
        <v>0</v>
      </c>
      <c r="BN14" s="588">
        <v>32951.61</v>
      </c>
      <c r="BO14" s="587">
        <v>28007.361000000001</v>
      </c>
      <c r="BP14" s="586">
        <v>0</v>
      </c>
      <c r="BQ14" s="587">
        <v>4944.2489999999998</v>
      </c>
      <c r="BR14" s="586">
        <v>0</v>
      </c>
      <c r="BS14" s="586">
        <v>0</v>
      </c>
      <c r="BT14" s="586">
        <v>0</v>
      </c>
    </row>
    <row r="15" spans="1:72">
      <c r="A15" s="589" t="s">
        <v>848</v>
      </c>
      <c r="B15" s="589" t="s">
        <v>855</v>
      </c>
      <c r="C15" s="590">
        <v>599135.34199999995</v>
      </c>
      <c r="D15" s="590">
        <v>528774.55200000003</v>
      </c>
      <c r="E15" s="592">
        <v>0</v>
      </c>
      <c r="F15" s="590">
        <v>65804.301000000007</v>
      </c>
      <c r="G15" s="592">
        <v>0</v>
      </c>
      <c r="H15" s="592">
        <v>0</v>
      </c>
      <c r="I15" s="590">
        <v>4556.4889999999996</v>
      </c>
      <c r="J15" s="591">
        <v>516703.31</v>
      </c>
      <c r="K15" s="590">
        <v>424603.68699999998</v>
      </c>
      <c r="L15" s="592">
        <v>0</v>
      </c>
      <c r="M15" s="590">
        <v>87584.114000000001</v>
      </c>
      <c r="N15" s="592">
        <v>0</v>
      </c>
      <c r="O15" s="592">
        <v>0</v>
      </c>
      <c r="P15" s="591">
        <v>4515.51</v>
      </c>
      <c r="Q15" s="591">
        <v>544311.56000000006</v>
      </c>
      <c r="R15" s="591">
        <v>453503.58</v>
      </c>
      <c r="S15" s="592">
        <v>0</v>
      </c>
      <c r="T15" s="590">
        <v>86381.634000000005</v>
      </c>
      <c r="U15" s="592">
        <v>0</v>
      </c>
      <c r="V15" s="592">
        <v>0</v>
      </c>
      <c r="W15" s="590">
        <v>4426.3450000000003</v>
      </c>
      <c r="X15" s="590">
        <v>593642.29599999997</v>
      </c>
      <c r="Y15" s="590">
        <v>524524.77599999995</v>
      </c>
      <c r="Z15" s="592">
        <v>0</v>
      </c>
      <c r="AA15" s="591">
        <v>64689.599999999999</v>
      </c>
      <c r="AB15" s="592">
        <v>0</v>
      </c>
      <c r="AC15" s="592">
        <v>0</v>
      </c>
      <c r="AD15" s="590">
        <v>4427.9210000000003</v>
      </c>
      <c r="AE15" s="590">
        <v>520630.08100000001</v>
      </c>
      <c r="AF15" s="590">
        <v>445259.50699999998</v>
      </c>
      <c r="AG15" s="592">
        <v>0</v>
      </c>
      <c r="AH15" s="590">
        <v>70888.823000000004</v>
      </c>
      <c r="AI15" s="592">
        <v>0</v>
      </c>
      <c r="AJ15" s="592">
        <v>0</v>
      </c>
      <c r="AK15" s="590">
        <v>4481.7510000000002</v>
      </c>
      <c r="AL15" s="590">
        <v>486470.62400000001</v>
      </c>
      <c r="AM15" s="590">
        <v>419117.08100000001</v>
      </c>
      <c r="AN15" s="592">
        <v>0</v>
      </c>
      <c r="AO15" s="590">
        <v>62970.540999999997</v>
      </c>
      <c r="AP15" s="592">
        <v>0</v>
      </c>
      <c r="AQ15" s="592">
        <v>0</v>
      </c>
      <c r="AR15" s="590">
        <v>4383.0020000000004</v>
      </c>
      <c r="AS15" s="590">
        <v>479285.95199999999</v>
      </c>
      <c r="AT15" s="590">
        <v>413960.451</v>
      </c>
      <c r="AU15" s="592">
        <v>0</v>
      </c>
      <c r="AV15" s="590">
        <v>60784.536999999997</v>
      </c>
      <c r="AW15" s="592">
        <v>0</v>
      </c>
      <c r="AX15" s="592">
        <v>0</v>
      </c>
      <c r="AY15" s="590">
        <v>4540.9650000000001</v>
      </c>
      <c r="AZ15" s="590">
        <v>473761.80800000002</v>
      </c>
      <c r="BA15" s="590">
        <v>403282.68400000001</v>
      </c>
      <c r="BB15" s="592">
        <v>0</v>
      </c>
      <c r="BC15" s="590">
        <v>66196.725000000006</v>
      </c>
      <c r="BD15" s="592">
        <v>0</v>
      </c>
      <c r="BE15" s="592">
        <v>0</v>
      </c>
      <c r="BF15" s="590">
        <v>4282.3990000000003</v>
      </c>
      <c r="BG15" s="590">
        <v>429008.42200000002</v>
      </c>
      <c r="BH15" s="590">
        <v>360771.79700000002</v>
      </c>
      <c r="BI15" s="592">
        <v>0</v>
      </c>
      <c r="BJ15" s="590">
        <v>63653.567999999999</v>
      </c>
      <c r="BK15" s="592">
        <v>0</v>
      </c>
      <c r="BL15" s="592">
        <v>0</v>
      </c>
      <c r="BM15" s="590">
        <v>4583.0569999999998</v>
      </c>
      <c r="BN15" s="590">
        <v>495867.42200000002</v>
      </c>
      <c r="BO15" s="590">
        <v>417606.283</v>
      </c>
      <c r="BP15" s="592">
        <v>0</v>
      </c>
      <c r="BQ15" s="590">
        <v>73721.327000000005</v>
      </c>
      <c r="BR15" s="592">
        <v>0</v>
      </c>
      <c r="BS15" s="592">
        <v>0</v>
      </c>
      <c r="BT15" s="590">
        <v>4539.8119999999999</v>
      </c>
    </row>
    <row r="16" spans="1:72">
      <c r="A16" s="589" t="s">
        <v>848</v>
      </c>
      <c r="B16" s="589" t="s">
        <v>212</v>
      </c>
      <c r="C16" s="588">
        <v>256.8</v>
      </c>
      <c r="D16" s="586">
        <v>0</v>
      </c>
      <c r="E16" s="586">
        <v>0</v>
      </c>
      <c r="F16" s="586">
        <v>0</v>
      </c>
      <c r="G16" s="586">
        <v>0</v>
      </c>
      <c r="H16" s="586">
        <v>0</v>
      </c>
      <c r="I16" s="588">
        <v>256.8</v>
      </c>
      <c r="J16" s="588">
        <v>214</v>
      </c>
      <c r="K16" s="586">
        <v>0</v>
      </c>
      <c r="L16" s="586">
        <v>0</v>
      </c>
      <c r="M16" s="586">
        <v>0</v>
      </c>
      <c r="N16" s="586">
        <v>0</v>
      </c>
      <c r="O16" s="586">
        <v>0</v>
      </c>
      <c r="P16" s="588">
        <v>214</v>
      </c>
      <c r="Q16" s="588">
        <v>128.4</v>
      </c>
      <c r="R16" s="586">
        <v>0</v>
      </c>
      <c r="S16" s="586">
        <v>0</v>
      </c>
      <c r="T16" s="586">
        <v>0</v>
      </c>
      <c r="U16" s="586">
        <v>0</v>
      </c>
      <c r="V16" s="586">
        <v>0</v>
      </c>
      <c r="W16" s="588">
        <v>128.4</v>
      </c>
      <c r="X16" s="588">
        <v>128.4</v>
      </c>
      <c r="Y16" s="586">
        <v>0</v>
      </c>
      <c r="Z16" s="586">
        <v>0</v>
      </c>
      <c r="AA16" s="586">
        <v>0</v>
      </c>
      <c r="AB16" s="586">
        <v>0</v>
      </c>
      <c r="AC16" s="586">
        <v>0</v>
      </c>
      <c r="AD16" s="588">
        <v>128.4</v>
      </c>
      <c r="AE16" s="588">
        <v>85.6</v>
      </c>
      <c r="AF16" s="586">
        <v>0</v>
      </c>
      <c r="AG16" s="586">
        <v>0</v>
      </c>
      <c r="AH16" s="586">
        <v>0</v>
      </c>
      <c r="AI16" s="586">
        <v>0</v>
      </c>
      <c r="AJ16" s="586">
        <v>0</v>
      </c>
      <c r="AK16" s="588">
        <v>85.6</v>
      </c>
      <c r="AL16" s="588">
        <v>128.4</v>
      </c>
      <c r="AM16" s="586">
        <v>0</v>
      </c>
      <c r="AN16" s="586">
        <v>0</v>
      </c>
      <c r="AO16" s="586">
        <v>0</v>
      </c>
      <c r="AP16" s="586">
        <v>0</v>
      </c>
      <c r="AQ16" s="586">
        <v>0</v>
      </c>
      <c r="AR16" s="588">
        <v>128.4</v>
      </c>
      <c r="AS16" s="588">
        <v>256.8</v>
      </c>
      <c r="AT16" s="586">
        <v>0</v>
      </c>
      <c r="AU16" s="586">
        <v>0</v>
      </c>
      <c r="AV16" s="586">
        <v>0</v>
      </c>
      <c r="AW16" s="586">
        <v>0</v>
      </c>
      <c r="AX16" s="586">
        <v>0</v>
      </c>
      <c r="AY16" s="588">
        <v>256.8</v>
      </c>
      <c r="AZ16" s="588">
        <v>0</v>
      </c>
      <c r="BA16" s="586">
        <v>0</v>
      </c>
      <c r="BB16" s="586">
        <v>0</v>
      </c>
      <c r="BC16" s="586">
        <v>0</v>
      </c>
      <c r="BD16" s="586">
        <v>0</v>
      </c>
      <c r="BE16" s="586">
        <v>0</v>
      </c>
      <c r="BF16" s="588">
        <v>0</v>
      </c>
      <c r="BG16" s="588">
        <v>299.60000000000002</v>
      </c>
      <c r="BH16" s="586">
        <v>0</v>
      </c>
      <c r="BI16" s="586">
        <v>0</v>
      </c>
      <c r="BJ16" s="586">
        <v>0</v>
      </c>
      <c r="BK16" s="586">
        <v>0</v>
      </c>
      <c r="BL16" s="586">
        <v>0</v>
      </c>
      <c r="BM16" s="588">
        <v>299.60000000000002</v>
      </c>
      <c r="BN16" s="588">
        <v>256.8</v>
      </c>
      <c r="BO16" s="586">
        <v>0</v>
      </c>
      <c r="BP16" s="586">
        <v>0</v>
      </c>
      <c r="BQ16" s="586">
        <v>0</v>
      </c>
      <c r="BR16" s="586">
        <v>0</v>
      </c>
      <c r="BS16" s="586">
        <v>0</v>
      </c>
      <c r="BT16" s="588">
        <v>256.8</v>
      </c>
    </row>
    <row r="17" spans="1:72">
      <c r="A17" s="589" t="s">
        <v>848</v>
      </c>
      <c r="B17" s="589" t="s">
        <v>854</v>
      </c>
      <c r="C17" s="590">
        <v>559816.86800000002</v>
      </c>
      <c r="D17" s="590">
        <v>497859.80599999998</v>
      </c>
      <c r="E17" s="592">
        <v>0</v>
      </c>
      <c r="F17" s="590">
        <v>61957.061999999998</v>
      </c>
      <c r="G17" s="592">
        <v>0</v>
      </c>
      <c r="H17" s="592">
        <v>0</v>
      </c>
      <c r="I17" s="592">
        <v>0</v>
      </c>
      <c r="J17" s="590">
        <v>479084.75199999998</v>
      </c>
      <c r="K17" s="590">
        <v>397161.25900000002</v>
      </c>
      <c r="L17" s="592">
        <v>0</v>
      </c>
      <c r="M17" s="590">
        <v>81923.493000000002</v>
      </c>
      <c r="N17" s="592">
        <v>0</v>
      </c>
      <c r="O17" s="592">
        <v>0</v>
      </c>
      <c r="P17" s="592">
        <v>0</v>
      </c>
      <c r="Q17" s="591">
        <v>509448.4</v>
      </c>
      <c r="R17" s="590">
        <v>427936.65600000002</v>
      </c>
      <c r="S17" s="592">
        <v>0</v>
      </c>
      <c r="T17" s="590">
        <v>81511.744000000006</v>
      </c>
      <c r="U17" s="592">
        <v>0</v>
      </c>
      <c r="V17" s="592">
        <v>0</v>
      </c>
      <c r="W17" s="592">
        <v>0</v>
      </c>
      <c r="X17" s="590">
        <v>553117.32299999997</v>
      </c>
      <c r="Y17" s="590">
        <v>492390.79300000001</v>
      </c>
      <c r="Z17" s="592">
        <v>0</v>
      </c>
      <c r="AA17" s="591">
        <v>60726.53</v>
      </c>
      <c r="AB17" s="592">
        <v>0</v>
      </c>
      <c r="AC17" s="592">
        <v>0</v>
      </c>
      <c r="AD17" s="592">
        <v>0</v>
      </c>
      <c r="AE17" s="590">
        <v>486303.83100000001</v>
      </c>
      <c r="AF17" s="590">
        <v>419513.89799999999</v>
      </c>
      <c r="AG17" s="592">
        <v>0</v>
      </c>
      <c r="AH17" s="590">
        <v>66789.933000000005</v>
      </c>
      <c r="AI17" s="592">
        <v>0</v>
      </c>
      <c r="AJ17" s="592">
        <v>0</v>
      </c>
      <c r="AK17" s="592">
        <v>0</v>
      </c>
      <c r="AL17" s="590">
        <v>457066.76400000002</v>
      </c>
      <c r="AM17" s="590">
        <v>397364.44699999999</v>
      </c>
      <c r="AN17" s="592">
        <v>0</v>
      </c>
      <c r="AO17" s="590">
        <v>59702.317000000003</v>
      </c>
      <c r="AP17" s="592">
        <v>0</v>
      </c>
      <c r="AQ17" s="592">
        <v>0</v>
      </c>
      <c r="AR17" s="592">
        <v>0</v>
      </c>
      <c r="AS17" s="590">
        <v>443102.78399999999</v>
      </c>
      <c r="AT17" s="590">
        <v>386369.57199999999</v>
      </c>
      <c r="AU17" s="592">
        <v>0</v>
      </c>
      <c r="AV17" s="590">
        <v>56733.212</v>
      </c>
      <c r="AW17" s="592">
        <v>0</v>
      </c>
      <c r="AX17" s="592">
        <v>0</v>
      </c>
      <c r="AY17" s="592">
        <v>0</v>
      </c>
      <c r="AZ17" s="590">
        <v>445843.00799999997</v>
      </c>
      <c r="BA17" s="590">
        <v>382979.01500000001</v>
      </c>
      <c r="BB17" s="592">
        <v>0</v>
      </c>
      <c r="BC17" s="590">
        <v>62863.993000000002</v>
      </c>
      <c r="BD17" s="592">
        <v>0</v>
      </c>
      <c r="BE17" s="592">
        <v>0</v>
      </c>
      <c r="BF17" s="592">
        <v>0</v>
      </c>
      <c r="BG17" s="590">
        <v>388255.48800000001</v>
      </c>
      <c r="BH17" s="590">
        <v>330026.49900000001</v>
      </c>
      <c r="BI17" s="592">
        <v>0</v>
      </c>
      <c r="BJ17" s="590">
        <v>58228.989000000001</v>
      </c>
      <c r="BK17" s="592">
        <v>0</v>
      </c>
      <c r="BL17" s="592">
        <v>0</v>
      </c>
      <c r="BM17" s="592">
        <v>0</v>
      </c>
      <c r="BN17" s="590">
        <v>458430.91200000001</v>
      </c>
      <c r="BO17" s="590">
        <v>389645.59499999997</v>
      </c>
      <c r="BP17" s="592">
        <v>0</v>
      </c>
      <c r="BQ17" s="590">
        <v>68785.316999999995</v>
      </c>
      <c r="BR17" s="592">
        <v>0</v>
      </c>
      <c r="BS17" s="592">
        <v>0</v>
      </c>
      <c r="BT17" s="592">
        <v>0</v>
      </c>
    </row>
    <row r="18" spans="1:72">
      <c r="A18" s="589" t="s">
        <v>848</v>
      </c>
      <c r="B18" s="589" t="s">
        <v>853</v>
      </c>
      <c r="C18" s="587">
        <v>331007.88500000001</v>
      </c>
      <c r="D18" s="588">
        <v>294201.18</v>
      </c>
      <c r="E18" s="586">
        <v>0</v>
      </c>
      <c r="F18" s="587">
        <v>29606.705000000002</v>
      </c>
      <c r="G18" s="588">
        <v>7200</v>
      </c>
      <c r="H18" s="586">
        <v>0</v>
      </c>
      <c r="I18" s="586">
        <v>0</v>
      </c>
      <c r="J18" s="587">
        <v>308104.95400000003</v>
      </c>
      <c r="K18" s="588">
        <v>254869.66</v>
      </c>
      <c r="L18" s="586">
        <v>0</v>
      </c>
      <c r="M18" s="587">
        <v>45907.294000000002</v>
      </c>
      <c r="N18" s="588">
        <v>7328</v>
      </c>
      <c r="O18" s="586">
        <v>0</v>
      </c>
      <c r="P18" s="586">
        <v>0</v>
      </c>
      <c r="Q18" s="587">
        <v>361831.97700000001</v>
      </c>
      <c r="R18" s="587">
        <v>308811.35200000001</v>
      </c>
      <c r="S18" s="586">
        <v>0</v>
      </c>
      <c r="T18" s="587">
        <v>45212.625</v>
      </c>
      <c r="U18" s="588">
        <v>7808</v>
      </c>
      <c r="V18" s="586">
        <v>0</v>
      </c>
      <c r="W18" s="586">
        <v>0</v>
      </c>
      <c r="X18" s="587">
        <v>377132.95400000003</v>
      </c>
      <c r="Y18" s="587">
        <v>320017.38699999999</v>
      </c>
      <c r="Z18" s="586">
        <v>0</v>
      </c>
      <c r="AA18" s="587">
        <v>49595.567000000003</v>
      </c>
      <c r="AB18" s="588">
        <v>7520</v>
      </c>
      <c r="AC18" s="586">
        <v>0</v>
      </c>
      <c r="AD18" s="586">
        <v>0</v>
      </c>
      <c r="AE18" s="587">
        <v>319237.95400000003</v>
      </c>
      <c r="AF18" s="587">
        <v>249551.44699999999</v>
      </c>
      <c r="AG18" s="586">
        <v>0</v>
      </c>
      <c r="AH18" s="587">
        <v>62326.506999999998</v>
      </c>
      <c r="AI18" s="588">
        <v>7360</v>
      </c>
      <c r="AJ18" s="586">
        <v>0</v>
      </c>
      <c r="AK18" s="586">
        <v>0</v>
      </c>
      <c r="AL18" s="587">
        <v>324979.95400000003</v>
      </c>
      <c r="AM18" s="588">
        <v>254706.92</v>
      </c>
      <c r="AN18" s="586">
        <v>0</v>
      </c>
      <c r="AO18" s="587">
        <v>62785.034</v>
      </c>
      <c r="AP18" s="588">
        <v>7488</v>
      </c>
      <c r="AQ18" s="586">
        <v>0</v>
      </c>
      <c r="AR18" s="586">
        <v>0</v>
      </c>
      <c r="AS18" s="587">
        <v>309043.95400000003</v>
      </c>
      <c r="AT18" s="587">
        <v>245830.11799999999</v>
      </c>
      <c r="AU18" s="586">
        <v>0</v>
      </c>
      <c r="AV18" s="587">
        <v>56589.836000000003</v>
      </c>
      <c r="AW18" s="588">
        <v>6624</v>
      </c>
      <c r="AX18" s="586">
        <v>0</v>
      </c>
      <c r="AY18" s="586">
        <v>0</v>
      </c>
      <c r="AZ18" s="587">
        <v>319863.93099999998</v>
      </c>
      <c r="BA18" s="587">
        <v>253579.981</v>
      </c>
      <c r="BB18" s="586">
        <v>0</v>
      </c>
      <c r="BC18" s="588">
        <v>59275.95</v>
      </c>
      <c r="BD18" s="588">
        <v>7008</v>
      </c>
      <c r="BE18" s="586">
        <v>0</v>
      </c>
      <c r="BF18" s="586">
        <v>0</v>
      </c>
      <c r="BG18" s="587">
        <v>340596.93099999998</v>
      </c>
      <c r="BH18" s="587">
        <v>265309.00300000003</v>
      </c>
      <c r="BI18" s="586">
        <v>0</v>
      </c>
      <c r="BJ18" s="587">
        <v>67959.928</v>
      </c>
      <c r="BK18" s="588">
        <v>7328</v>
      </c>
      <c r="BL18" s="586">
        <v>0</v>
      </c>
      <c r="BM18" s="586">
        <v>0</v>
      </c>
      <c r="BN18" s="587">
        <v>347112.77799999999</v>
      </c>
      <c r="BO18" s="587">
        <v>276038.09299999999</v>
      </c>
      <c r="BP18" s="586">
        <v>0</v>
      </c>
      <c r="BQ18" s="587">
        <v>64226.684999999998</v>
      </c>
      <c r="BR18" s="588">
        <v>6848</v>
      </c>
      <c r="BS18" s="586">
        <v>0</v>
      </c>
      <c r="BT18" s="586">
        <v>0</v>
      </c>
    </row>
    <row r="19" spans="1:72">
      <c r="A19" s="589" t="s">
        <v>848</v>
      </c>
      <c r="B19" s="589" t="s">
        <v>852</v>
      </c>
      <c r="C19" s="591">
        <v>19048</v>
      </c>
      <c r="D19" s="590">
        <v>2533.384</v>
      </c>
      <c r="E19" s="592">
        <v>0</v>
      </c>
      <c r="F19" s="590">
        <v>16514.616000000002</v>
      </c>
      <c r="G19" s="592">
        <v>0</v>
      </c>
      <c r="H19" s="592">
        <v>0</v>
      </c>
      <c r="I19" s="592">
        <v>0</v>
      </c>
      <c r="J19" s="591">
        <v>21823</v>
      </c>
      <c r="K19" s="591">
        <v>3709.91</v>
      </c>
      <c r="L19" s="592">
        <v>0</v>
      </c>
      <c r="M19" s="591">
        <v>18113.09</v>
      </c>
      <c r="N19" s="592">
        <v>0</v>
      </c>
      <c r="O19" s="592">
        <v>0</v>
      </c>
      <c r="P19" s="592">
        <v>0</v>
      </c>
      <c r="Q19" s="591">
        <v>22715</v>
      </c>
      <c r="R19" s="591">
        <v>3634.4</v>
      </c>
      <c r="S19" s="592">
        <v>0</v>
      </c>
      <c r="T19" s="591">
        <v>19080.599999999999</v>
      </c>
      <c r="U19" s="592">
        <v>0</v>
      </c>
      <c r="V19" s="592">
        <v>0</v>
      </c>
      <c r="W19" s="592">
        <v>0</v>
      </c>
      <c r="X19" s="591">
        <v>22961</v>
      </c>
      <c r="Y19" s="591">
        <v>3673.76</v>
      </c>
      <c r="Z19" s="592">
        <v>0</v>
      </c>
      <c r="AA19" s="591">
        <v>19287.240000000002</v>
      </c>
      <c r="AB19" s="592">
        <v>0</v>
      </c>
      <c r="AC19" s="592">
        <v>0</v>
      </c>
      <c r="AD19" s="592">
        <v>0</v>
      </c>
      <c r="AE19" s="591">
        <v>24732</v>
      </c>
      <c r="AF19" s="590">
        <v>3239.8919999999998</v>
      </c>
      <c r="AG19" s="592">
        <v>0</v>
      </c>
      <c r="AH19" s="590">
        <v>21492.108</v>
      </c>
      <c r="AI19" s="592">
        <v>0</v>
      </c>
      <c r="AJ19" s="592">
        <v>0</v>
      </c>
      <c r="AK19" s="592">
        <v>0</v>
      </c>
      <c r="AL19" s="591">
        <v>26482</v>
      </c>
      <c r="AM19" s="590">
        <v>3469.1419999999998</v>
      </c>
      <c r="AN19" s="592">
        <v>0</v>
      </c>
      <c r="AO19" s="590">
        <v>23012.858</v>
      </c>
      <c r="AP19" s="592">
        <v>0</v>
      </c>
      <c r="AQ19" s="592">
        <v>0</v>
      </c>
      <c r="AR19" s="592">
        <v>0</v>
      </c>
      <c r="AS19" s="591">
        <v>26459</v>
      </c>
      <c r="AT19" s="590">
        <v>3466.1289999999999</v>
      </c>
      <c r="AU19" s="592">
        <v>0</v>
      </c>
      <c r="AV19" s="590">
        <v>22992.870999999999</v>
      </c>
      <c r="AW19" s="592">
        <v>0</v>
      </c>
      <c r="AX19" s="592">
        <v>0</v>
      </c>
      <c r="AY19" s="592">
        <v>0</v>
      </c>
      <c r="AZ19" s="591">
        <v>27029</v>
      </c>
      <c r="BA19" s="590">
        <v>3540.799</v>
      </c>
      <c r="BB19" s="592">
        <v>0</v>
      </c>
      <c r="BC19" s="590">
        <v>23488.201000000001</v>
      </c>
      <c r="BD19" s="592">
        <v>0</v>
      </c>
      <c r="BE19" s="592">
        <v>0</v>
      </c>
      <c r="BF19" s="592">
        <v>0</v>
      </c>
      <c r="BG19" s="591">
        <v>30554</v>
      </c>
      <c r="BH19" s="590">
        <v>4002.5740000000001</v>
      </c>
      <c r="BI19" s="592">
        <v>0</v>
      </c>
      <c r="BJ19" s="590">
        <v>26551.425999999999</v>
      </c>
      <c r="BK19" s="592">
        <v>0</v>
      </c>
      <c r="BL19" s="592">
        <v>0</v>
      </c>
      <c r="BM19" s="592">
        <v>0</v>
      </c>
      <c r="BN19" s="591">
        <v>29211</v>
      </c>
      <c r="BO19" s="590">
        <v>3826.6410000000001</v>
      </c>
      <c r="BP19" s="592">
        <v>0</v>
      </c>
      <c r="BQ19" s="590">
        <v>25384.359</v>
      </c>
      <c r="BR19" s="592">
        <v>0</v>
      </c>
      <c r="BS19" s="592">
        <v>0</v>
      </c>
      <c r="BT19" s="592">
        <v>0</v>
      </c>
    </row>
    <row r="20" spans="1:72">
      <c r="A20" s="589" t="s">
        <v>848</v>
      </c>
      <c r="B20" s="589" t="s">
        <v>851</v>
      </c>
      <c r="C20" s="588">
        <v>19953</v>
      </c>
      <c r="D20" s="587">
        <v>19254.645</v>
      </c>
      <c r="E20" s="586">
        <v>0</v>
      </c>
      <c r="F20" s="587">
        <v>698.35500000000002</v>
      </c>
      <c r="G20" s="586">
        <v>0</v>
      </c>
      <c r="H20" s="586">
        <v>0</v>
      </c>
      <c r="I20" s="586">
        <v>0</v>
      </c>
      <c r="J20" s="588">
        <v>22928</v>
      </c>
      <c r="K20" s="587">
        <v>21644.031999999999</v>
      </c>
      <c r="L20" s="586">
        <v>0</v>
      </c>
      <c r="M20" s="587">
        <v>1283.9680000000001</v>
      </c>
      <c r="N20" s="586">
        <v>0</v>
      </c>
      <c r="O20" s="586">
        <v>0</v>
      </c>
      <c r="P20" s="586">
        <v>0</v>
      </c>
      <c r="Q20" s="588">
        <v>26146</v>
      </c>
      <c r="R20" s="587">
        <v>24786.407999999999</v>
      </c>
      <c r="S20" s="586">
        <v>0</v>
      </c>
      <c r="T20" s="587">
        <v>1359.5920000000001</v>
      </c>
      <c r="U20" s="586">
        <v>0</v>
      </c>
      <c r="V20" s="586">
        <v>0</v>
      </c>
      <c r="W20" s="586">
        <v>0</v>
      </c>
      <c r="X20" s="588">
        <v>29427</v>
      </c>
      <c r="Y20" s="587">
        <v>27896.795999999998</v>
      </c>
      <c r="Z20" s="586">
        <v>0</v>
      </c>
      <c r="AA20" s="587">
        <v>1530.204</v>
      </c>
      <c r="AB20" s="586">
        <v>0</v>
      </c>
      <c r="AC20" s="586">
        <v>0</v>
      </c>
      <c r="AD20" s="586">
        <v>0</v>
      </c>
      <c r="AE20" s="588">
        <v>32475</v>
      </c>
      <c r="AF20" s="588">
        <v>29357.4</v>
      </c>
      <c r="AG20" s="586">
        <v>0</v>
      </c>
      <c r="AH20" s="588">
        <v>3117.6</v>
      </c>
      <c r="AI20" s="586">
        <v>0</v>
      </c>
      <c r="AJ20" s="586">
        <v>0</v>
      </c>
      <c r="AK20" s="586">
        <v>0</v>
      </c>
      <c r="AL20" s="588">
        <v>35358</v>
      </c>
      <c r="AM20" s="588">
        <v>32175.78</v>
      </c>
      <c r="AN20" s="586">
        <v>0</v>
      </c>
      <c r="AO20" s="588">
        <v>3182.22</v>
      </c>
      <c r="AP20" s="586">
        <v>0</v>
      </c>
      <c r="AQ20" s="586">
        <v>0</v>
      </c>
      <c r="AR20" s="586">
        <v>0</v>
      </c>
      <c r="AS20" s="588">
        <v>38232</v>
      </c>
      <c r="AT20" s="588">
        <v>34791.120000000003</v>
      </c>
      <c r="AU20" s="586">
        <v>0</v>
      </c>
      <c r="AV20" s="588">
        <v>3440.88</v>
      </c>
      <c r="AW20" s="586">
        <v>0</v>
      </c>
      <c r="AX20" s="586">
        <v>0</v>
      </c>
      <c r="AY20" s="586">
        <v>0</v>
      </c>
      <c r="AZ20" s="588">
        <v>41394</v>
      </c>
      <c r="BA20" s="588">
        <v>37668.54</v>
      </c>
      <c r="BB20" s="586">
        <v>0</v>
      </c>
      <c r="BC20" s="588">
        <v>3725.46</v>
      </c>
      <c r="BD20" s="586">
        <v>0</v>
      </c>
      <c r="BE20" s="586">
        <v>0</v>
      </c>
      <c r="BF20" s="586">
        <v>0</v>
      </c>
      <c r="BG20" s="588">
        <v>44460</v>
      </c>
      <c r="BH20" s="588">
        <v>40458.6</v>
      </c>
      <c r="BI20" s="586">
        <v>0</v>
      </c>
      <c r="BJ20" s="588">
        <v>4001.4</v>
      </c>
      <c r="BK20" s="586">
        <v>0</v>
      </c>
      <c r="BL20" s="586">
        <v>0</v>
      </c>
      <c r="BM20" s="586">
        <v>0</v>
      </c>
      <c r="BN20" s="588">
        <v>48115</v>
      </c>
      <c r="BO20" s="588">
        <v>43784.65</v>
      </c>
      <c r="BP20" s="586">
        <v>0</v>
      </c>
      <c r="BQ20" s="588">
        <v>4330.3500000000004</v>
      </c>
      <c r="BR20" s="586">
        <v>0</v>
      </c>
      <c r="BS20" s="586">
        <v>0</v>
      </c>
      <c r="BT20" s="586">
        <v>0</v>
      </c>
    </row>
    <row r="21" spans="1:72">
      <c r="A21" s="589" t="s">
        <v>848</v>
      </c>
      <c r="B21" s="589" t="s">
        <v>850</v>
      </c>
      <c r="C21" s="591">
        <v>278282</v>
      </c>
      <c r="D21" s="590">
        <v>266161.30300000001</v>
      </c>
      <c r="E21" s="592">
        <v>0</v>
      </c>
      <c r="F21" s="590">
        <v>12120.697</v>
      </c>
      <c r="G21" s="592">
        <v>0</v>
      </c>
      <c r="H21" s="592">
        <v>0</v>
      </c>
      <c r="I21" s="592">
        <v>0</v>
      </c>
      <c r="J21" s="591">
        <v>248353</v>
      </c>
      <c r="K21" s="590">
        <v>222600.91500000001</v>
      </c>
      <c r="L21" s="592">
        <v>0</v>
      </c>
      <c r="M21" s="590">
        <v>25752.084999999999</v>
      </c>
      <c r="N21" s="592">
        <v>0</v>
      </c>
      <c r="O21" s="592">
        <v>0</v>
      </c>
      <c r="P21" s="592">
        <v>0</v>
      </c>
      <c r="Q21" s="591">
        <v>295918</v>
      </c>
      <c r="R21" s="590">
        <v>271868.84299999999</v>
      </c>
      <c r="S21" s="592">
        <v>0</v>
      </c>
      <c r="T21" s="590">
        <v>24049.156999999999</v>
      </c>
      <c r="U21" s="592">
        <v>0</v>
      </c>
      <c r="V21" s="592">
        <v>0</v>
      </c>
      <c r="W21" s="592">
        <v>0</v>
      </c>
      <c r="X21" s="591">
        <v>306731</v>
      </c>
      <c r="Y21" s="590">
        <v>278865.77600000001</v>
      </c>
      <c r="Z21" s="592">
        <v>0</v>
      </c>
      <c r="AA21" s="590">
        <v>27865.223999999998</v>
      </c>
      <c r="AB21" s="592">
        <v>0</v>
      </c>
      <c r="AC21" s="592">
        <v>0</v>
      </c>
      <c r="AD21" s="592">
        <v>0</v>
      </c>
      <c r="AE21" s="591">
        <v>242777</v>
      </c>
      <c r="AF21" s="590">
        <v>206771.351</v>
      </c>
      <c r="AG21" s="592">
        <v>0</v>
      </c>
      <c r="AH21" s="590">
        <v>36005.648999999998</v>
      </c>
      <c r="AI21" s="592">
        <v>0</v>
      </c>
      <c r="AJ21" s="592">
        <v>0</v>
      </c>
      <c r="AK21" s="592">
        <v>0</v>
      </c>
      <c r="AL21" s="591">
        <v>242850</v>
      </c>
      <c r="AM21" s="590">
        <v>208035.93400000001</v>
      </c>
      <c r="AN21" s="592">
        <v>0</v>
      </c>
      <c r="AO21" s="590">
        <v>34814.065999999999</v>
      </c>
      <c r="AP21" s="592">
        <v>0</v>
      </c>
      <c r="AQ21" s="592">
        <v>0</v>
      </c>
      <c r="AR21" s="592">
        <v>0</v>
      </c>
      <c r="AS21" s="591">
        <v>223782</v>
      </c>
      <c r="AT21" s="590">
        <v>195344.91699999999</v>
      </c>
      <c r="AU21" s="592">
        <v>0</v>
      </c>
      <c r="AV21" s="590">
        <v>28437.082999999999</v>
      </c>
      <c r="AW21" s="592">
        <v>0</v>
      </c>
      <c r="AX21" s="592">
        <v>0</v>
      </c>
      <c r="AY21" s="592">
        <v>0</v>
      </c>
      <c r="AZ21" s="591">
        <v>230029</v>
      </c>
      <c r="BA21" s="590">
        <v>199800.33199999999</v>
      </c>
      <c r="BB21" s="592">
        <v>0</v>
      </c>
      <c r="BC21" s="590">
        <v>30228.668000000001</v>
      </c>
      <c r="BD21" s="592">
        <v>0</v>
      </c>
      <c r="BE21" s="592">
        <v>0</v>
      </c>
      <c r="BF21" s="592">
        <v>0</v>
      </c>
      <c r="BG21" s="591">
        <v>245356</v>
      </c>
      <c r="BH21" s="590">
        <v>209755.32500000001</v>
      </c>
      <c r="BI21" s="592">
        <v>0</v>
      </c>
      <c r="BJ21" s="590">
        <v>35600.675000000003</v>
      </c>
      <c r="BK21" s="592">
        <v>0</v>
      </c>
      <c r="BL21" s="592">
        <v>0</v>
      </c>
      <c r="BM21" s="592">
        <v>0</v>
      </c>
      <c r="BN21" s="591">
        <v>250034</v>
      </c>
      <c r="BO21" s="590">
        <v>217163.94699999999</v>
      </c>
      <c r="BP21" s="592">
        <v>0</v>
      </c>
      <c r="BQ21" s="590">
        <v>32870.053</v>
      </c>
      <c r="BR21" s="592">
        <v>0</v>
      </c>
      <c r="BS21" s="592">
        <v>0</v>
      </c>
      <c r="BT21" s="592">
        <v>0</v>
      </c>
    </row>
    <row r="22" spans="1:72">
      <c r="A22" s="589" t="s">
        <v>848</v>
      </c>
      <c r="B22" s="589" t="s">
        <v>849</v>
      </c>
      <c r="C22" s="588">
        <v>5793</v>
      </c>
      <c r="D22" s="587">
        <v>5540.683</v>
      </c>
      <c r="E22" s="586">
        <v>0</v>
      </c>
      <c r="F22" s="587">
        <v>252.31700000000001</v>
      </c>
      <c r="G22" s="586">
        <v>0</v>
      </c>
      <c r="H22" s="586">
        <v>0</v>
      </c>
      <c r="I22" s="586">
        <v>0</v>
      </c>
      <c r="J22" s="588">
        <v>6953</v>
      </c>
      <c r="K22" s="587">
        <v>6232.0330000000004</v>
      </c>
      <c r="L22" s="586">
        <v>0</v>
      </c>
      <c r="M22" s="587">
        <v>720.96699999999998</v>
      </c>
      <c r="N22" s="586">
        <v>0</v>
      </c>
      <c r="O22" s="586">
        <v>0</v>
      </c>
      <c r="P22" s="586">
        <v>0</v>
      </c>
      <c r="Q22" s="588">
        <v>8336</v>
      </c>
      <c r="R22" s="587">
        <v>7658.5360000000001</v>
      </c>
      <c r="S22" s="586">
        <v>0</v>
      </c>
      <c r="T22" s="587">
        <v>677.46400000000006</v>
      </c>
      <c r="U22" s="586">
        <v>0</v>
      </c>
      <c r="V22" s="586">
        <v>0</v>
      </c>
      <c r="W22" s="586">
        <v>0</v>
      </c>
      <c r="X22" s="588">
        <v>9528</v>
      </c>
      <c r="Y22" s="587">
        <v>8662.4210000000003</v>
      </c>
      <c r="Z22" s="586">
        <v>0</v>
      </c>
      <c r="AA22" s="587">
        <v>865.57899999999995</v>
      </c>
      <c r="AB22" s="586">
        <v>0</v>
      </c>
      <c r="AC22" s="586">
        <v>0</v>
      </c>
      <c r="AD22" s="586">
        <v>0</v>
      </c>
      <c r="AE22" s="588">
        <v>10987</v>
      </c>
      <c r="AF22" s="587">
        <v>9357.5460000000003</v>
      </c>
      <c r="AG22" s="586">
        <v>0</v>
      </c>
      <c r="AH22" s="587">
        <v>1629.454</v>
      </c>
      <c r="AI22" s="586">
        <v>0</v>
      </c>
      <c r="AJ22" s="586">
        <v>0</v>
      </c>
      <c r="AK22" s="586">
        <v>0</v>
      </c>
      <c r="AL22" s="588">
        <v>11784</v>
      </c>
      <c r="AM22" s="588">
        <v>10094.69</v>
      </c>
      <c r="AN22" s="586">
        <v>0</v>
      </c>
      <c r="AO22" s="588">
        <v>1689.31</v>
      </c>
      <c r="AP22" s="586">
        <v>0</v>
      </c>
      <c r="AQ22" s="586">
        <v>0</v>
      </c>
      <c r="AR22" s="586">
        <v>0</v>
      </c>
      <c r="AS22" s="588">
        <v>12645</v>
      </c>
      <c r="AT22" s="587">
        <v>11038.137000000001</v>
      </c>
      <c r="AU22" s="586">
        <v>0</v>
      </c>
      <c r="AV22" s="587">
        <v>1606.8630000000001</v>
      </c>
      <c r="AW22" s="586">
        <v>0</v>
      </c>
      <c r="AX22" s="586">
        <v>0</v>
      </c>
      <c r="AY22" s="586">
        <v>0</v>
      </c>
      <c r="AZ22" s="588">
        <v>13156</v>
      </c>
      <c r="BA22" s="587">
        <v>11427.138000000001</v>
      </c>
      <c r="BB22" s="586">
        <v>0</v>
      </c>
      <c r="BC22" s="587">
        <v>1728.8620000000001</v>
      </c>
      <c r="BD22" s="586">
        <v>0</v>
      </c>
      <c r="BE22" s="586">
        <v>0</v>
      </c>
      <c r="BF22" s="586">
        <v>0</v>
      </c>
      <c r="BG22" s="588">
        <v>11853</v>
      </c>
      <c r="BH22" s="587">
        <v>10133.153</v>
      </c>
      <c r="BI22" s="586">
        <v>0</v>
      </c>
      <c r="BJ22" s="587">
        <v>1719.847</v>
      </c>
      <c r="BK22" s="586">
        <v>0</v>
      </c>
      <c r="BL22" s="586">
        <v>0</v>
      </c>
      <c r="BM22" s="586">
        <v>0</v>
      </c>
      <c r="BN22" s="588">
        <v>11764</v>
      </c>
      <c r="BO22" s="587">
        <v>10217.477000000001</v>
      </c>
      <c r="BP22" s="586">
        <v>0</v>
      </c>
      <c r="BQ22" s="587">
        <v>1546.5229999999999</v>
      </c>
      <c r="BR22" s="586">
        <v>0</v>
      </c>
      <c r="BS22" s="586">
        <v>0</v>
      </c>
      <c r="BT22" s="586">
        <v>0</v>
      </c>
    </row>
    <row r="23" spans="1:72">
      <c r="A23" s="589" t="s">
        <v>848</v>
      </c>
      <c r="B23" s="589" t="s">
        <v>79</v>
      </c>
      <c r="C23" s="591">
        <v>510120</v>
      </c>
      <c r="D23" s="591">
        <v>40809.599999999999</v>
      </c>
      <c r="E23" s="590">
        <v>4470.5919999999996</v>
      </c>
      <c r="F23" s="591">
        <v>70906.679999999993</v>
      </c>
      <c r="G23" s="591">
        <v>140283</v>
      </c>
      <c r="H23" s="590">
        <v>238346.52799999999</v>
      </c>
      <c r="I23" s="591">
        <v>15303.6</v>
      </c>
      <c r="J23" s="591">
        <v>491760</v>
      </c>
      <c r="K23" s="591">
        <v>32947.919999999998</v>
      </c>
      <c r="L23" s="590">
        <v>4309.6859999999997</v>
      </c>
      <c r="M23" s="591">
        <v>69829.919999999998</v>
      </c>
      <c r="N23" s="591">
        <v>139168.07999999999</v>
      </c>
      <c r="O23" s="590">
        <v>233210.394</v>
      </c>
      <c r="P23" s="591">
        <v>12294</v>
      </c>
      <c r="Q23" s="591">
        <v>493200</v>
      </c>
      <c r="R23" s="591">
        <v>31564.799999999999</v>
      </c>
      <c r="S23" s="590">
        <v>4322.308</v>
      </c>
      <c r="T23" s="591">
        <v>68554.8</v>
      </c>
      <c r="U23" s="591">
        <v>140562</v>
      </c>
      <c r="V23" s="590">
        <v>235866.092</v>
      </c>
      <c r="W23" s="591">
        <v>12330</v>
      </c>
      <c r="X23" s="591">
        <v>489600</v>
      </c>
      <c r="Y23" s="590">
        <v>33742.648999999998</v>
      </c>
      <c r="Z23" s="590">
        <v>4290.7569999999996</v>
      </c>
      <c r="AA23" s="590">
        <v>66213.414000000004</v>
      </c>
      <c r="AB23" s="590">
        <v>138429.565</v>
      </c>
      <c r="AC23" s="591">
        <v>229824.09</v>
      </c>
      <c r="AD23" s="590">
        <v>17099.525000000001</v>
      </c>
      <c r="AE23" s="591">
        <v>466560</v>
      </c>
      <c r="AF23" s="591">
        <v>32823.760000000002</v>
      </c>
      <c r="AG23" s="590">
        <v>4176.9250000000002</v>
      </c>
      <c r="AH23" s="590">
        <v>54616.171999999999</v>
      </c>
      <c r="AI23" s="590">
        <v>134723.693</v>
      </c>
      <c r="AJ23" s="590">
        <v>223573.47500000001</v>
      </c>
      <c r="AK23" s="590">
        <v>16645.974999999999</v>
      </c>
      <c r="AL23" s="591">
        <v>463320</v>
      </c>
      <c r="AM23" s="590">
        <v>32233.405999999999</v>
      </c>
      <c r="AN23" s="590">
        <v>4149.1220000000003</v>
      </c>
      <c r="AO23" s="590">
        <v>54601.156999999999</v>
      </c>
      <c r="AP23" s="590">
        <v>133825.734</v>
      </c>
      <c r="AQ23" s="590">
        <v>221975.568</v>
      </c>
      <c r="AR23" s="590">
        <v>16535.011999999999</v>
      </c>
      <c r="AS23" s="591">
        <v>461520</v>
      </c>
      <c r="AT23" s="590">
        <v>30419.428</v>
      </c>
      <c r="AU23" s="591">
        <v>4449.33</v>
      </c>
      <c r="AV23" s="590">
        <v>55565.161</v>
      </c>
      <c r="AW23" s="590">
        <v>138362.26699999999</v>
      </c>
      <c r="AX23" s="590">
        <v>216609.242</v>
      </c>
      <c r="AY23" s="590">
        <v>16114.572</v>
      </c>
      <c r="AZ23" s="591">
        <v>461520</v>
      </c>
      <c r="BA23" s="590">
        <v>29537.284</v>
      </c>
      <c r="BB23" s="591">
        <v>4615.2</v>
      </c>
      <c r="BC23" s="590">
        <v>55843.930999999997</v>
      </c>
      <c r="BD23" s="590">
        <v>138456.02499999999</v>
      </c>
      <c r="BE23" s="590">
        <v>216914.35699999999</v>
      </c>
      <c r="BF23" s="590">
        <v>16153.204</v>
      </c>
      <c r="BG23" s="591">
        <v>461520</v>
      </c>
      <c r="BH23" s="590">
        <v>26827.952000000001</v>
      </c>
      <c r="BI23" s="590">
        <v>4454.8270000000002</v>
      </c>
      <c r="BJ23" s="590">
        <v>56031.815000000002</v>
      </c>
      <c r="BK23" s="590">
        <v>139386.56400000001</v>
      </c>
      <c r="BL23" s="590">
        <v>218583.47500000001</v>
      </c>
      <c r="BM23" s="590">
        <v>16235.366</v>
      </c>
      <c r="BN23" s="590">
        <v>461520.00400000002</v>
      </c>
      <c r="BO23" s="590">
        <v>27214.437999999998</v>
      </c>
      <c r="BP23" s="590">
        <v>4603.9459999999999</v>
      </c>
      <c r="BQ23" s="590">
        <v>52484.983</v>
      </c>
      <c r="BR23" s="590">
        <v>141085.364</v>
      </c>
      <c r="BS23" s="590">
        <v>219557.06599999999</v>
      </c>
      <c r="BT23" s="590">
        <v>16574.205999999998</v>
      </c>
    </row>
    <row r="24" spans="1:72">
      <c r="A24" s="589" t="s">
        <v>848</v>
      </c>
      <c r="B24" s="589" t="s">
        <v>219</v>
      </c>
      <c r="C24" s="588">
        <v>188884</v>
      </c>
      <c r="D24" s="587">
        <v>177015.73699999999</v>
      </c>
      <c r="E24" s="586">
        <v>0</v>
      </c>
      <c r="F24" s="587">
        <v>11868.263000000001</v>
      </c>
      <c r="G24" s="586">
        <v>0</v>
      </c>
      <c r="H24" s="586">
        <v>0</v>
      </c>
      <c r="I24" s="586">
        <v>0</v>
      </c>
      <c r="J24" s="588">
        <v>164347</v>
      </c>
      <c r="K24" s="587">
        <v>145447.095</v>
      </c>
      <c r="L24" s="586">
        <v>0</v>
      </c>
      <c r="M24" s="587">
        <v>18899.904999999999</v>
      </c>
      <c r="N24" s="586">
        <v>0</v>
      </c>
      <c r="O24" s="586">
        <v>0</v>
      </c>
      <c r="P24" s="586">
        <v>0</v>
      </c>
      <c r="Q24" s="588">
        <v>141352</v>
      </c>
      <c r="R24" s="587">
        <v>126227.336</v>
      </c>
      <c r="S24" s="586">
        <v>0</v>
      </c>
      <c r="T24" s="587">
        <v>15124.664000000001</v>
      </c>
      <c r="U24" s="586">
        <v>0</v>
      </c>
      <c r="V24" s="586">
        <v>0</v>
      </c>
      <c r="W24" s="586">
        <v>0</v>
      </c>
      <c r="X24" s="588">
        <v>184486</v>
      </c>
      <c r="Y24" s="587">
        <v>170625.12400000001</v>
      </c>
      <c r="Z24" s="586">
        <v>0</v>
      </c>
      <c r="AA24" s="587">
        <v>13860.876</v>
      </c>
      <c r="AB24" s="586">
        <v>0</v>
      </c>
      <c r="AC24" s="586">
        <v>0</v>
      </c>
      <c r="AD24" s="586">
        <v>0</v>
      </c>
      <c r="AE24" s="588">
        <v>153342</v>
      </c>
      <c r="AF24" s="587">
        <v>139442.943</v>
      </c>
      <c r="AG24" s="586">
        <v>0</v>
      </c>
      <c r="AH24" s="587">
        <v>13899.057000000001</v>
      </c>
      <c r="AI24" s="586">
        <v>0</v>
      </c>
      <c r="AJ24" s="586">
        <v>0</v>
      </c>
      <c r="AK24" s="586">
        <v>0</v>
      </c>
      <c r="AL24" s="588">
        <v>170404</v>
      </c>
      <c r="AM24" s="587">
        <v>156121.095</v>
      </c>
      <c r="AN24" s="586">
        <v>0</v>
      </c>
      <c r="AO24" s="587">
        <v>14282.905000000001</v>
      </c>
      <c r="AP24" s="586">
        <v>0</v>
      </c>
      <c r="AQ24" s="586">
        <v>0</v>
      </c>
      <c r="AR24" s="586">
        <v>0</v>
      </c>
      <c r="AS24" s="588">
        <v>185044</v>
      </c>
      <c r="AT24" s="587">
        <v>169982.56599999999</v>
      </c>
      <c r="AU24" s="586">
        <v>0</v>
      </c>
      <c r="AV24" s="587">
        <v>15061.433999999999</v>
      </c>
      <c r="AW24" s="586">
        <v>0</v>
      </c>
      <c r="AX24" s="586">
        <v>0</v>
      </c>
      <c r="AY24" s="586">
        <v>0</v>
      </c>
      <c r="AZ24" s="588">
        <v>185523</v>
      </c>
      <c r="BA24" s="587">
        <v>169382.49900000001</v>
      </c>
      <c r="BB24" s="586">
        <v>0</v>
      </c>
      <c r="BC24" s="587">
        <v>16140.501</v>
      </c>
      <c r="BD24" s="586">
        <v>0</v>
      </c>
      <c r="BE24" s="586">
        <v>0</v>
      </c>
      <c r="BF24" s="586">
        <v>0</v>
      </c>
      <c r="BG24" s="588">
        <v>153089</v>
      </c>
      <c r="BH24" s="587">
        <v>139234.01800000001</v>
      </c>
      <c r="BI24" s="586">
        <v>0</v>
      </c>
      <c r="BJ24" s="587">
        <v>13854.982</v>
      </c>
      <c r="BK24" s="586">
        <v>0</v>
      </c>
      <c r="BL24" s="586">
        <v>0</v>
      </c>
      <c r="BM24" s="586">
        <v>0</v>
      </c>
      <c r="BN24" s="588">
        <v>153089</v>
      </c>
      <c r="BO24" s="587">
        <v>139293.432</v>
      </c>
      <c r="BP24" s="586">
        <v>0</v>
      </c>
      <c r="BQ24" s="587">
        <v>13795.567999999999</v>
      </c>
      <c r="BR24" s="586">
        <v>0</v>
      </c>
      <c r="BS24" s="586">
        <v>0</v>
      </c>
      <c r="BT24" s="586">
        <v>0</v>
      </c>
    </row>
    <row r="26" spans="1:72">
      <c r="A26" s="585" t="s">
        <v>847</v>
      </c>
    </row>
    <row r="27" spans="1:72">
      <c r="A27" s="585">
        <v>0</v>
      </c>
      <c r="B27" s="584" t="s">
        <v>846</v>
      </c>
    </row>
  </sheetData>
  <mergeCells count="12">
    <mergeCell ref="BG8:BM8"/>
    <mergeCell ref="BN8:BT8"/>
    <mergeCell ref="X8:AD8"/>
    <mergeCell ref="AE8:AK8"/>
    <mergeCell ref="AL8:AR8"/>
    <mergeCell ref="AS8:AY8"/>
    <mergeCell ref="AZ8:BF8"/>
    <mergeCell ref="A8:B8"/>
    <mergeCell ref="A9:B9"/>
    <mergeCell ref="C8:I8"/>
    <mergeCell ref="J8:P8"/>
    <mergeCell ref="Q8:W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59999389629810485"/>
  </sheetPr>
  <dimension ref="B2:I1048576"/>
  <sheetViews>
    <sheetView workbookViewId="0">
      <selection activeCell="G16" sqref="G16"/>
    </sheetView>
  </sheetViews>
  <sheetFormatPr defaultColWidth="8.77734375" defaultRowHeight="13.2"/>
  <cols>
    <col min="3" max="3" width="20.77734375" bestFit="1" customWidth="1"/>
    <col min="4" max="4" width="9.44140625" bestFit="1" customWidth="1"/>
    <col min="5" max="5" width="10.44140625" bestFit="1" customWidth="1"/>
    <col min="7" max="7" width="9.77734375" bestFit="1" customWidth="1"/>
  </cols>
  <sheetData>
    <row r="2" spans="2:9">
      <c r="B2" s="132" t="s">
        <v>736</v>
      </c>
    </row>
    <row r="3" spans="2:9">
      <c r="C3" t="s">
        <v>200</v>
      </c>
      <c r="D3" t="s">
        <v>192</v>
      </c>
      <c r="E3" t="s">
        <v>291</v>
      </c>
      <c r="F3" t="s">
        <v>737</v>
      </c>
      <c r="G3" t="s">
        <v>293</v>
      </c>
      <c r="H3" t="s">
        <v>292</v>
      </c>
      <c r="I3" t="s">
        <v>284</v>
      </c>
    </row>
    <row r="4" spans="2:9">
      <c r="B4" t="s">
        <v>906</v>
      </c>
      <c r="C4" s="519">
        <v>1</v>
      </c>
      <c r="D4" s="519">
        <v>1</v>
      </c>
      <c r="E4" s="519">
        <v>1</v>
      </c>
      <c r="F4" s="519">
        <v>1</v>
      </c>
      <c r="G4" s="519">
        <v>1</v>
      </c>
      <c r="H4" s="519">
        <v>1</v>
      </c>
      <c r="I4" s="519">
        <v>1</v>
      </c>
    </row>
    <row r="5" spans="2:9">
      <c r="B5" t="s">
        <v>933</v>
      </c>
      <c r="C5" s="519">
        <v>0</v>
      </c>
      <c r="D5" s="519">
        <v>0</v>
      </c>
      <c r="E5" s="519">
        <v>0</v>
      </c>
      <c r="F5" s="519">
        <v>0</v>
      </c>
      <c r="G5" s="519">
        <v>0</v>
      </c>
      <c r="H5" s="519">
        <v>0</v>
      </c>
      <c r="I5" s="519">
        <v>0</v>
      </c>
    </row>
    <row r="6" spans="2:9">
      <c r="B6" t="s">
        <v>934</v>
      </c>
      <c r="C6" s="644">
        <v>0</v>
      </c>
      <c r="D6" s="644">
        <v>0</v>
      </c>
      <c r="E6" s="644">
        <v>0</v>
      </c>
      <c r="F6" s="644">
        <v>0</v>
      </c>
      <c r="G6" s="644">
        <v>0</v>
      </c>
      <c r="H6" s="644">
        <v>0</v>
      </c>
      <c r="I6" s="644">
        <v>0</v>
      </c>
    </row>
    <row r="1048576" spans="8:8">
      <c r="H1048576" s="33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3:V653"/>
  <sheetViews>
    <sheetView zoomScale="85" zoomScaleNormal="85" workbookViewId="0">
      <selection activeCell="V22" sqref="V22"/>
    </sheetView>
  </sheetViews>
  <sheetFormatPr defaultColWidth="8.77734375" defaultRowHeight="13.2"/>
  <cols>
    <col min="2" max="2" width="36.21875" customWidth="1"/>
    <col min="3" max="3" width="37.44140625" bestFit="1" customWidth="1"/>
    <col min="4" max="5" width="10" customWidth="1"/>
    <col min="11" max="11" width="8.77734375" customWidth="1"/>
    <col min="17" max="17" width="8.77734375" style="21"/>
  </cols>
  <sheetData>
    <row r="3" spans="2:22">
      <c r="B3" t="s">
        <v>222</v>
      </c>
    </row>
    <row r="4" spans="2:22">
      <c r="B4" t="s">
        <v>225</v>
      </c>
      <c r="C4" t="s">
        <v>227</v>
      </c>
      <c r="D4" t="s">
        <v>228</v>
      </c>
      <c r="E4" t="s">
        <v>226</v>
      </c>
      <c r="S4" s="132" t="s">
        <v>786</v>
      </c>
    </row>
    <row r="5" spans="2:22" ht="28.8" customHeight="1">
      <c r="B5" s="331" t="s">
        <v>223</v>
      </c>
      <c r="C5" s="331" t="s">
        <v>230</v>
      </c>
      <c r="D5" s="332">
        <v>0.3</v>
      </c>
      <c r="E5" s="669" t="s">
        <v>224</v>
      </c>
    </row>
    <row r="6" spans="2:22" ht="28.8" customHeight="1">
      <c r="B6" s="331" t="s">
        <v>223</v>
      </c>
      <c r="C6" s="331" t="s">
        <v>229</v>
      </c>
      <c r="D6" s="333">
        <v>0.7</v>
      </c>
      <c r="E6" s="669"/>
      <c r="S6" s="132" t="s">
        <v>783</v>
      </c>
    </row>
    <row r="7" spans="2:22">
      <c r="T7" s="106" t="s">
        <v>116</v>
      </c>
      <c r="U7" s="106" t="s">
        <v>784</v>
      </c>
    </row>
    <row r="8" spans="2:22">
      <c r="B8" s="106"/>
      <c r="S8" s="156">
        <v>2011</v>
      </c>
      <c r="T8" s="525">
        <v>4.0054008414882007</v>
      </c>
      <c r="U8" s="525">
        <v>3.1390555577411314</v>
      </c>
      <c r="V8" s="106" t="s">
        <v>785</v>
      </c>
    </row>
    <row r="9" spans="2:22">
      <c r="S9" s="156">
        <v>2016</v>
      </c>
      <c r="T9" s="525">
        <v>4.7531666045225966</v>
      </c>
      <c r="U9" s="525">
        <v>3.6871365087455148</v>
      </c>
      <c r="V9" s="106" t="s">
        <v>785</v>
      </c>
    </row>
    <row r="10" spans="2:22">
      <c r="S10" s="156">
        <v>2021</v>
      </c>
      <c r="T10" s="525">
        <v>6.0763888888888884</v>
      </c>
      <c r="U10" s="525">
        <v>6.0763888888888884</v>
      </c>
      <c r="V10" s="106" t="s">
        <v>785</v>
      </c>
    </row>
    <row r="11" spans="2:22">
      <c r="S11" s="164">
        <v>2031</v>
      </c>
      <c r="T11" s="525">
        <v>6.9444444444444446</v>
      </c>
      <c r="U11" s="525">
        <v>6.9444444444444446</v>
      </c>
      <c r="V11" s="106" t="s">
        <v>785</v>
      </c>
    </row>
    <row r="12" spans="2:22">
      <c r="B12" s="335" t="s">
        <v>235</v>
      </c>
    </row>
    <row r="13" spans="2:22">
      <c r="D13">
        <v>2008</v>
      </c>
      <c r="E13">
        <v>2009</v>
      </c>
      <c r="F13">
        <v>2010</v>
      </c>
      <c r="G13">
        <v>2011</v>
      </c>
      <c r="H13">
        <v>2012</v>
      </c>
      <c r="I13">
        <v>2013</v>
      </c>
      <c r="J13">
        <v>2014</v>
      </c>
      <c r="K13">
        <v>2015</v>
      </c>
      <c r="L13">
        <v>2016</v>
      </c>
      <c r="M13">
        <v>2017</v>
      </c>
    </row>
    <row r="14" spans="2:22">
      <c r="C14" t="s">
        <v>231</v>
      </c>
      <c r="D14" s="334">
        <v>81752</v>
      </c>
      <c r="E14" s="334">
        <v>81752</v>
      </c>
      <c r="F14" s="334">
        <v>81752</v>
      </c>
      <c r="G14" s="334">
        <v>80327</v>
      </c>
      <c r="H14">
        <v>80523</v>
      </c>
      <c r="I14" s="106">
        <v>80767</v>
      </c>
      <c r="J14" s="106">
        <v>81198</v>
      </c>
      <c r="K14" s="106">
        <v>82176</v>
      </c>
      <c r="L14" s="106">
        <v>82522</v>
      </c>
      <c r="M14" s="106">
        <v>82792</v>
      </c>
      <c r="N14" t="s">
        <v>931</v>
      </c>
    </row>
    <row r="15" spans="2:22">
      <c r="C15" s="106" t="s">
        <v>234</v>
      </c>
      <c r="D15" s="6">
        <v>3393</v>
      </c>
      <c r="E15" s="6">
        <v>3410</v>
      </c>
      <c r="F15" s="6">
        <v>3558</v>
      </c>
      <c r="G15" s="6">
        <v>3577</v>
      </c>
      <c r="H15" s="6">
        <v>3598</v>
      </c>
      <c r="I15" s="126">
        <v>3620</v>
      </c>
      <c r="J15" s="126">
        <v>3646</v>
      </c>
      <c r="K15" s="126">
        <v>3670</v>
      </c>
      <c r="L15" s="126">
        <v>3698</v>
      </c>
      <c r="M15" s="126">
        <v>3725</v>
      </c>
      <c r="N15" t="s">
        <v>929</v>
      </c>
    </row>
    <row r="16" spans="2:22">
      <c r="C16" t="s">
        <v>232</v>
      </c>
      <c r="D16">
        <v>43297</v>
      </c>
      <c r="E16">
        <v>38051</v>
      </c>
      <c r="F16">
        <v>39101</v>
      </c>
      <c r="G16">
        <v>39649</v>
      </c>
      <c r="H16">
        <v>34679</v>
      </c>
      <c r="I16" s="106">
        <v>33997</v>
      </c>
      <c r="J16" s="106">
        <v>37522</v>
      </c>
      <c r="K16" s="106">
        <v>39969</v>
      </c>
      <c r="L16" s="106">
        <v>44387</v>
      </c>
      <c r="M16" s="106">
        <v>39473</v>
      </c>
      <c r="N16" t="s">
        <v>930</v>
      </c>
    </row>
    <row r="17" spans="2:14">
      <c r="C17" t="s">
        <v>233</v>
      </c>
      <c r="D17">
        <v>206.53</v>
      </c>
      <c r="E17">
        <v>206.53</v>
      </c>
      <c r="F17">
        <v>206.53</v>
      </c>
      <c r="G17">
        <v>206.56</v>
      </c>
      <c r="H17">
        <v>202.33</v>
      </c>
      <c r="I17" s="106">
        <v>199.73</v>
      </c>
      <c r="J17" s="106">
        <v>192.4</v>
      </c>
      <c r="K17" s="106">
        <v>192.4</v>
      </c>
      <c r="L17" s="106">
        <v>192.4</v>
      </c>
      <c r="M17" s="106">
        <v>192.4</v>
      </c>
      <c r="N17" t="s">
        <v>928</v>
      </c>
    </row>
    <row r="18" spans="2:14">
      <c r="D18" s="220"/>
      <c r="E18" s="220"/>
      <c r="F18" s="220"/>
      <c r="G18" s="220"/>
      <c r="H18" s="220"/>
      <c r="I18" s="220"/>
      <c r="J18" s="220"/>
      <c r="K18" s="220"/>
      <c r="L18" s="220"/>
      <c r="M18" s="220"/>
    </row>
    <row r="20" spans="2:14">
      <c r="B20" t="s">
        <v>236</v>
      </c>
    </row>
    <row r="21" spans="2:14">
      <c r="B21" s="106" t="s">
        <v>237</v>
      </c>
    </row>
    <row r="22" spans="2:14">
      <c r="B22" s="106" t="s">
        <v>906</v>
      </c>
      <c r="C22">
        <f>'Data manipulation'!AF5*1000-C23-C24</f>
        <v>3725000</v>
      </c>
      <c r="D22" s="106" t="s">
        <v>240</v>
      </c>
    </row>
    <row r="23" spans="2:14">
      <c r="B23" s="106" t="s">
        <v>933</v>
      </c>
      <c r="C23" s="106">
        <v>0</v>
      </c>
      <c r="D23" s="106" t="s">
        <v>239</v>
      </c>
    </row>
    <row r="24" spans="2:14">
      <c r="B24" s="106" t="s">
        <v>934</v>
      </c>
      <c r="C24">
        <v>0</v>
      </c>
      <c r="D24" s="106" t="s">
        <v>238</v>
      </c>
    </row>
    <row r="25" spans="2:14">
      <c r="C25" s="336"/>
    </row>
    <row r="27" spans="2:14">
      <c r="B27" t="s">
        <v>236</v>
      </c>
    </row>
    <row r="28" spans="2:14">
      <c r="B28" s="106" t="s">
        <v>241</v>
      </c>
    </row>
    <row r="29" spans="2:14">
      <c r="B29" s="106" t="s">
        <v>906</v>
      </c>
      <c r="C29">
        <f>M14-C30-C31</f>
        <v>82792</v>
      </c>
      <c r="D29" s="106" t="s">
        <v>240</v>
      </c>
    </row>
    <row r="30" spans="2:14">
      <c r="B30" s="106" t="s">
        <v>933</v>
      </c>
      <c r="C30" s="106">
        <v>0</v>
      </c>
      <c r="D30" s="106" t="s">
        <v>239</v>
      </c>
    </row>
    <row r="31" spans="2:14">
      <c r="B31" s="106" t="s">
        <v>934</v>
      </c>
      <c r="C31">
        <v>0</v>
      </c>
      <c r="D31" s="106" t="s">
        <v>238</v>
      </c>
    </row>
    <row r="35" spans="2:8" ht="13.8">
      <c r="B35" s="300"/>
      <c r="C35" s="300"/>
      <c r="D35" s="300"/>
      <c r="E35" s="300"/>
      <c r="F35" s="300"/>
      <c r="G35" s="300"/>
      <c r="H35" s="300"/>
    </row>
    <row r="36" spans="2:8" ht="13.8">
      <c r="B36" t="s">
        <v>236</v>
      </c>
      <c r="G36" s="300"/>
      <c r="H36" s="300"/>
    </row>
    <row r="37" spans="2:8" ht="13.8">
      <c r="C37" s="300"/>
      <c r="D37" s="300"/>
      <c r="E37" s="300"/>
      <c r="F37" s="300"/>
      <c r="G37" s="300"/>
      <c r="H37" s="300"/>
    </row>
    <row r="38" spans="2:8" ht="13.8">
      <c r="B38" s="676" t="s">
        <v>242</v>
      </c>
      <c r="C38" s="676"/>
      <c r="D38" s="676"/>
      <c r="E38" s="676"/>
      <c r="F38" s="300"/>
      <c r="G38" s="300"/>
      <c r="H38" s="300"/>
    </row>
    <row r="39" spans="2:8" ht="14.4" thickBot="1">
      <c r="B39" s="337"/>
      <c r="C39" s="337"/>
      <c r="D39" s="337"/>
      <c r="E39" s="337"/>
      <c r="F39" s="300"/>
      <c r="G39" s="300"/>
      <c r="H39" s="300"/>
    </row>
    <row r="40" spans="2:8" ht="13.8">
      <c r="B40" s="674"/>
      <c r="C40" s="677" t="s">
        <v>243</v>
      </c>
      <c r="D40" s="664" t="s">
        <v>244</v>
      </c>
      <c r="E40" s="665"/>
      <c r="F40" s="300"/>
      <c r="G40" s="300"/>
      <c r="H40" s="300"/>
    </row>
    <row r="41" spans="2:8" ht="14.4" thickBot="1">
      <c r="B41" s="675"/>
      <c r="C41" s="678"/>
      <c r="D41" s="338" t="s">
        <v>245</v>
      </c>
      <c r="E41" s="339" t="s">
        <v>246</v>
      </c>
      <c r="F41" s="300"/>
      <c r="G41" s="300"/>
      <c r="H41" s="300"/>
    </row>
    <row r="42" spans="2:8" ht="16.8">
      <c r="B42" s="340" t="s">
        <v>247</v>
      </c>
      <c r="C42" s="341">
        <v>22.1</v>
      </c>
      <c r="D42" s="341">
        <v>19.600000000000001</v>
      </c>
      <c r="E42" s="342">
        <v>25</v>
      </c>
      <c r="F42" s="300"/>
      <c r="G42" s="300"/>
      <c r="H42" s="300"/>
    </row>
    <row r="43" spans="2:8" ht="16.8">
      <c r="B43" s="343" t="s">
        <v>248</v>
      </c>
      <c r="C43" s="344">
        <v>15.5</v>
      </c>
      <c r="D43" s="344">
        <v>14</v>
      </c>
      <c r="E43" s="345">
        <v>17.2</v>
      </c>
      <c r="F43" s="300"/>
      <c r="G43" s="300"/>
      <c r="H43" s="300"/>
    </row>
    <row r="44" spans="2:8" ht="13.8">
      <c r="B44" s="666" t="s">
        <v>249</v>
      </c>
      <c r="C44" s="667"/>
      <c r="D44" s="667"/>
      <c r="E44" s="668"/>
      <c r="F44" s="300"/>
      <c r="G44" s="300"/>
      <c r="H44" s="300"/>
    </row>
    <row r="45" spans="2:8" ht="13.8">
      <c r="B45" s="346" t="s">
        <v>106</v>
      </c>
      <c r="C45" s="347">
        <v>100</v>
      </c>
      <c r="D45" s="347">
        <v>100</v>
      </c>
      <c r="E45" s="348">
        <v>100</v>
      </c>
      <c r="F45" s="300"/>
      <c r="G45" s="300"/>
      <c r="H45" s="300"/>
    </row>
    <row r="46" spans="2:8" ht="16.8">
      <c r="B46" s="349" t="s">
        <v>250</v>
      </c>
      <c r="C46" s="350">
        <v>7.4</v>
      </c>
      <c r="D46" s="350">
        <v>10.5</v>
      </c>
      <c r="E46" s="351">
        <v>3.5</v>
      </c>
      <c r="F46" s="300"/>
      <c r="G46" s="300"/>
      <c r="H46" s="300"/>
    </row>
    <row r="47" spans="2:8" ht="16.8">
      <c r="B47" s="349" t="s">
        <v>251</v>
      </c>
      <c r="C47" s="350">
        <v>40.299999999999997</v>
      </c>
      <c r="D47" s="350">
        <v>46.1</v>
      </c>
      <c r="E47" s="351">
        <v>33.1</v>
      </c>
      <c r="F47" s="300"/>
      <c r="G47" s="300"/>
      <c r="H47" s="300"/>
    </row>
    <row r="48" spans="2:8" ht="16.8">
      <c r="B48" s="349" t="s">
        <v>252</v>
      </c>
      <c r="C48" s="350">
        <v>27.6</v>
      </c>
      <c r="D48" s="350">
        <v>24.3</v>
      </c>
      <c r="E48" s="351">
        <v>31.8</v>
      </c>
      <c r="F48" s="300"/>
      <c r="G48" s="300"/>
      <c r="H48" s="300"/>
    </row>
    <row r="49" spans="2:8" ht="16.8">
      <c r="B49" s="349" t="s">
        <v>253</v>
      </c>
      <c r="C49" s="350">
        <v>24.6</v>
      </c>
      <c r="D49" s="350">
        <v>19.100000000000001</v>
      </c>
      <c r="E49" s="351">
        <v>31.6</v>
      </c>
      <c r="F49" s="300"/>
      <c r="G49" s="300"/>
      <c r="H49" s="300"/>
    </row>
    <row r="50" spans="2:8" ht="13.8">
      <c r="B50" s="666" t="s">
        <v>254</v>
      </c>
      <c r="C50" s="667"/>
      <c r="D50" s="667"/>
      <c r="E50" s="668"/>
      <c r="F50" s="300"/>
      <c r="G50" s="300"/>
      <c r="H50" s="300"/>
    </row>
    <row r="51" spans="2:8" ht="13.8">
      <c r="B51" s="346" t="s">
        <v>106</v>
      </c>
      <c r="C51" s="347">
        <v>100</v>
      </c>
      <c r="D51" s="347">
        <v>100</v>
      </c>
      <c r="E51" s="348">
        <v>100</v>
      </c>
      <c r="F51" s="300"/>
      <c r="G51" s="300"/>
      <c r="H51" s="300"/>
    </row>
    <row r="52" spans="2:8" ht="16.8">
      <c r="B52" s="349" t="s">
        <v>250</v>
      </c>
      <c r="C52" s="350">
        <v>26.4</v>
      </c>
      <c r="D52" s="350">
        <v>32.700000000000003</v>
      </c>
      <c r="E52" s="351">
        <v>18.5</v>
      </c>
      <c r="F52" s="300"/>
      <c r="G52" s="300"/>
      <c r="H52" s="300"/>
    </row>
    <row r="53" spans="2:8" ht="16.8">
      <c r="B53" s="349" t="s">
        <v>251</v>
      </c>
      <c r="C53" s="350">
        <v>46.2</v>
      </c>
      <c r="D53" s="350">
        <v>44.7</v>
      </c>
      <c r="E53" s="351">
        <v>48.1</v>
      </c>
      <c r="F53" s="300"/>
      <c r="G53" s="300"/>
      <c r="H53" s="300"/>
    </row>
    <row r="54" spans="2:8" ht="16.8">
      <c r="B54" s="349" t="s">
        <v>252</v>
      </c>
      <c r="C54" s="350">
        <v>16.600000000000001</v>
      </c>
      <c r="D54" s="350">
        <v>13.8</v>
      </c>
      <c r="E54" s="351">
        <v>20.2</v>
      </c>
      <c r="F54" s="300"/>
      <c r="G54" s="300"/>
      <c r="H54" s="300"/>
    </row>
    <row r="55" spans="2:8" ht="16.8">
      <c r="B55" s="349" t="s">
        <v>253</v>
      </c>
      <c r="C55" s="350">
        <v>10.7</v>
      </c>
      <c r="D55" s="350">
        <v>8.8000000000000007</v>
      </c>
      <c r="E55" s="351">
        <v>13.2</v>
      </c>
      <c r="F55" s="300"/>
      <c r="G55" s="300"/>
      <c r="H55" s="300"/>
    </row>
    <row r="56" spans="2:8" ht="13.8">
      <c r="B56" s="671" t="s">
        <v>255</v>
      </c>
      <c r="C56" s="672"/>
      <c r="D56" s="672"/>
      <c r="E56" s="673"/>
      <c r="F56" s="300"/>
      <c r="G56" s="300"/>
      <c r="H56" s="300"/>
    </row>
    <row r="57" spans="2:8" ht="13.8">
      <c r="B57" s="346" t="s">
        <v>106</v>
      </c>
      <c r="C57" s="347">
        <v>100</v>
      </c>
      <c r="D57" s="347">
        <v>100</v>
      </c>
      <c r="E57" s="348">
        <v>100</v>
      </c>
      <c r="F57" s="300"/>
      <c r="G57" s="300"/>
      <c r="H57" s="300"/>
    </row>
    <row r="58" spans="2:8" ht="13.8">
      <c r="B58" s="349" t="s">
        <v>256</v>
      </c>
      <c r="C58" s="352">
        <v>3.6</v>
      </c>
      <c r="D58" s="352">
        <v>5.6</v>
      </c>
      <c r="E58" s="353">
        <v>1.1000000000000001</v>
      </c>
      <c r="F58" s="300"/>
      <c r="G58" s="300"/>
      <c r="H58" s="300"/>
    </row>
    <row r="59" spans="2:8" ht="13.8">
      <c r="B59" s="349" t="s">
        <v>257</v>
      </c>
      <c r="C59" s="352">
        <v>25</v>
      </c>
      <c r="D59" s="352">
        <v>30.4</v>
      </c>
      <c r="E59" s="353">
        <v>18.2</v>
      </c>
      <c r="F59" s="300"/>
      <c r="G59" s="300"/>
      <c r="H59" s="300"/>
    </row>
    <row r="60" spans="2:8" ht="13.8">
      <c r="B60" s="349" t="s">
        <v>258</v>
      </c>
      <c r="C60" s="352">
        <v>40.6</v>
      </c>
      <c r="D60" s="352">
        <v>39.5</v>
      </c>
      <c r="E60" s="353">
        <v>41.9</v>
      </c>
      <c r="F60" s="300"/>
      <c r="G60" s="300"/>
      <c r="H60" s="300"/>
    </row>
    <row r="61" spans="2:8" ht="13.8">
      <c r="B61" s="349" t="s">
        <v>259</v>
      </c>
      <c r="C61" s="352">
        <v>21.3</v>
      </c>
      <c r="D61" s="352">
        <v>17.8</v>
      </c>
      <c r="E61" s="353">
        <v>25.7</v>
      </c>
      <c r="F61" s="300"/>
      <c r="G61" s="300"/>
      <c r="H61" s="300"/>
    </row>
    <row r="62" spans="2:8" ht="13.8">
      <c r="B62" s="349" t="s">
        <v>260</v>
      </c>
      <c r="C62" s="352">
        <v>9.5</v>
      </c>
      <c r="D62" s="352">
        <v>6.7</v>
      </c>
      <c r="E62" s="353">
        <v>13</v>
      </c>
      <c r="F62" s="300"/>
      <c r="G62" s="300"/>
      <c r="H62" s="300"/>
    </row>
    <row r="63" spans="2:8" ht="13.8">
      <c r="B63" s="671" t="s">
        <v>261</v>
      </c>
      <c r="C63" s="672"/>
      <c r="D63" s="672"/>
      <c r="E63" s="673"/>
      <c r="F63" s="300"/>
      <c r="G63" s="300"/>
      <c r="H63" s="300"/>
    </row>
    <row r="64" spans="2:8" ht="13.8">
      <c r="B64" s="346" t="s">
        <v>106</v>
      </c>
      <c r="C64" s="347">
        <v>100</v>
      </c>
      <c r="D64" s="347">
        <v>100</v>
      </c>
      <c r="E64" s="348">
        <v>100</v>
      </c>
      <c r="F64" s="300"/>
    </row>
    <row r="65" spans="2:8" ht="13.8">
      <c r="B65" s="349" t="s">
        <v>262</v>
      </c>
      <c r="C65" s="350">
        <v>65.8</v>
      </c>
      <c r="D65" s="350">
        <v>43.1</v>
      </c>
      <c r="E65" s="351">
        <v>94.2</v>
      </c>
      <c r="F65" s="300"/>
    </row>
    <row r="66" spans="2:8" ht="13.8">
      <c r="B66" s="349" t="s">
        <v>263</v>
      </c>
      <c r="C66" s="350">
        <v>1.4</v>
      </c>
      <c r="D66" s="350">
        <v>1.8</v>
      </c>
      <c r="E66" s="351">
        <v>0.9</v>
      </c>
      <c r="F66" s="300"/>
    </row>
    <row r="67" spans="2:8" ht="13.8">
      <c r="B67" s="349" t="s">
        <v>264</v>
      </c>
      <c r="C67" s="350">
        <v>31.1</v>
      </c>
      <c r="D67" s="350">
        <v>53.9</v>
      </c>
      <c r="E67" s="351">
        <v>2.6</v>
      </c>
      <c r="F67" s="300"/>
    </row>
    <row r="68" spans="2:8" ht="13.8">
      <c r="B68" s="349" t="s">
        <v>265</v>
      </c>
      <c r="C68" s="350">
        <v>1.4</v>
      </c>
      <c r="D68" s="350">
        <v>1.1000000000000001</v>
      </c>
      <c r="E68" s="351">
        <v>1.7</v>
      </c>
      <c r="F68" s="300"/>
      <c r="G68" s="300"/>
      <c r="H68" s="300"/>
    </row>
    <row r="69" spans="2:8" ht="13.8">
      <c r="B69" s="349" t="s">
        <v>266</v>
      </c>
      <c r="C69" s="350">
        <v>0.3</v>
      </c>
      <c r="D69" s="350">
        <v>0.1</v>
      </c>
      <c r="E69" s="351">
        <v>0.6</v>
      </c>
      <c r="F69" s="300"/>
      <c r="G69" s="300"/>
      <c r="H69" s="300"/>
    </row>
    <row r="70" spans="2:8" ht="13.8">
      <c r="B70" s="671" t="s">
        <v>267</v>
      </c>
      <c r="C70" s="672"/>
      <c r="D70" s="672"/>
      <c r="E70" s="673"/>
      <c r="F70" s="300"/>
      <c r="G70" s="300"/>
      <c r="H70" s="300"/>
    </row>
    <row r="71" spans="2:8" ht="13.8">
      <c r="B71" s="346" t="s">
        <v>106</v>
      </c>
      <c r="C71" s="347">
        <v>100</v>
      </c>
      <c r="D71" s="347">
        <v>100</v>
      </c>
      <c r="E71" s="348">
        <v>100</v>
      </c>
      <c r="F71" s="300"/>
      <c r="G71" s="300"/>
      <c r="H71" s="300"/>
    </row>
    <row r="72" spans="2:8" ht="13.8">
      <c r="B72" s="349" t="s">
        <v>268</v>
      </c>
      <c r="C72" s="352">
        <v>93.9</v>
      </c>
      <c r="D72" s="352">
        <v>94.2</v>
      </c>
      <c r="E72" s="353">
        <v>93.4</v>
      </c>
      <c r="F72" s="300"/>
      <c r="G72" s="300"/>
      <c r="H72" s="300"/>
    </row>
    <row r="73" spans="2:8" ht="13.8">
      <c r="B73" s="349" t="s">
        <v>269</v>
      </c>
      <c r="C73" s="352">
        <v>3.7</v>
      </c>
      <c r="D73" s="352">
        <v>2.8</v>
      </c>
      <c r="E73" s="353">
        <v>4.9000000000000004</v>
      </c>
      <c r="F73" s="300"/>
      <c r="G73" s="300"/>
      <c r="H73" s="300"/>
    </row>
    <row r="74" spans="2:8" ht="13.8">
      <c r="B74" s="349" t="s">
        <v>270</v>
      </c>
      <c r="C74" s="352">
        <v>0.6</v>
      </c>
      <c r="D74" s="352">
        <v>0.7</v>
      </c>
      <c r="E74" s="353">
        <v>0.6</v>
      </c>
      <c r="F74" s="300"/>
      <c r="G74" s="300"/>
      <c r="H74" s="300"/>
    </row>
    <row r="75" spans="2:8" ht="13.8">
      <c r="B75" s="349" t="s">
        <v>271</v>
      </c>
      <c r="C75" s="352">
        <v>0.8</v>
      </c>
      <c r="D75" s="352">
        <v>1.4</v>
      </c>
      <c r="E75" s="353">
        <v>0</v>
      </c>
      <c r="F75" s="300"/>
      <c r="G75" s="300"/>
      <c r="H75" s="300"/>
    </row>
    <row r="76" spans="2:8" ht="14.4" thickBot="1">
      <c r="B76" s="354" t="s">
        <v>272</v>
      </c>
      <c r="C76" s="355">
        <v>1</v>
      </c>
      <c r="D76" s="355">
        <v>0.8</v>
      </c>
      <c r="E76" s="356">
        <v>1.1000000000000001</v>
      </c>
      <c r="G76" s="300"/>
      <c r="H76" s="300"/>
    </row>
    <row r="87" spans="2:3">
      <c r="B87" t="s">
        <v>280</v>
      </c>
    </row>
    <row r="88" spans="2:3">
      <c r="B88" s="106" t="s">
        <v>281</v>
      </c>
    </row>
    <row r="91" spans="2:3">
      <c r="B91" s="336">
        <v>0.14099999999999999</v>
      </c>
      <c r="C91" s="106" t="s">
        <v>282</v>
      </c>
    </row>
    <row r="92" spans="2:3">
      <c r="B92" s="333">
        <v>0.01</v>
      </c>
      <c r="C92" s="106" t="s">
        <v>283</v>
      </c>
    </row>
    <row r="93" spans="2:3">
      <c r="B93" s="336">
        <v>6.0999999999999999E-2</v>
      </c>
      <c r="C93" s="106" t="s">
        <v>284</v>
      </c>
    </row>
    <row r="94" spans="2:3">
      <c r="B94" s="336">
        <v>0.14799999999999999</v>
      </c>
      <c r="C94" s="106" t="s">
        <v>285</v>
      </c>
    </row>
    <row r="95" spans="2:3">
      <c r="B95" s="336">
        <v>4.0000000000000001E-3</v>
      </c>
      <c r="C95" s="106" t="s">
        <v>286</v>
      </c>
    </row>
    <row r="96" spans="2:3">
      <c r="B96" s="336">
        <v>0.63600000000000001</v>
      </c>
      <c r="C96" s="106" t="s">
        <v>287</v>
      </c>
    </row>
    <row r="98" spans="2:3">
      <c r="B98" s="106"/>
    </row>
    <row r="100" spans="2:3">
      <c r="B100" s="336"/>
      <c r="C100" s="106"/>
    </row>
    <row r="101" spans="2:3">
      <c r="B101" s="336"/>
      <c r="C101" s="106"/>
    </row>
    <row r="102" spans="2:3">
      <c r="B102" s="336"/>
      <c r="C102" s="106"/>
    </row>
    <row r="103" spans="2:3">
      <c r="B103" s="336"/>
      <c r="C103" s="106"/>
    </row>
    <row r="104" spans="2:3">
      <c r="B104" s="336"/>
      <c r="C104" s="106"/>
    </row>
    <row r="105" spans="2:3">
      <c r="B105" s="336"/>
      <c r="C105" s="106"/>
    </row>
    <row r="122" spans="6:6">
      <c r="F122" s="106"/>
    </row>
    <row r="129" spans="1:11" ht="15.6">
      <c r="B129" s="670" t="s">
        <v>298</v>
      </c>
      <c r="C129" s="670"/>
      <c r="D129" s="670"/>
      <c r="E129" s="670"/>
      <c r="F129" s="670"/>
      <c r="G129" s="670"/>
      <c r="H129" s="670"/>
      <c r="I129" s="670"/>
      <c r="J129" s="670"/>
      <c r="K129" s="670"/>
    </row>
    <row r="130" spans="1:11" ht="15.6">
      <c r="B130" s="679" t="s">
        <v>299</v>
      </c>
      <c r="C130" s="679"/>
      <c r="D130" s="679"/>
      <c r="E130" s="679"/>
      <c r="F130" s="679"/>
      <c r="G130" s="679"/>
      <c r="H130" s="679"/>
      <c r="I130" s="679"/>
      <c r="J130" s="679"/>
      <c r="K130" s="679"/>
    </row>
    <row r="131" spans="1:11" ht="16.2" thickBot="1">
      <c r="B131" s="365"/>
      <c r="C131" s="366"/>
      <c r="D131" s="366"/>
      <c r="E131" s="366"/>
      <c r="F131" s="366"/>
      <c r="G131" s="366"/>
      <c r="H131" s="366"/>
      <c r="I131" s="366"/>
      <c r="J131" s="366"/>
      <c r="K131" s="366"/>
    </row>
    <row r="132" spans="1:11" ht="16.2">
      <c r="B132" s="680" t="s">
        <v>300</v>
      </c>
      <c r="C132" s="682" t="s">
        <v>106</v>
      </c>
      <c r="D132" s="684" t="s">
        <v>301</v>
      </c>
      <c r="E132" s="684"/>
      <c r="F132" s="682" t="s">
        <v>302</v>
      </c>
      <c r="G132" s="684" t="s">
        <v>301</v>
      </c>
      <c r="H132" s="684"/>
      <c r="I132" s="682" t="s">
        <v>303</v>
      </c>
      <c r="J132" s="684" t="s">
        <v>301</v>
      </c>
      <c r="K132" s="685"/>
    </row>
    <row r="133" spans="1:11" ht="16.2" thickBot="1">
      <c r="B133" s="681"/>
      <c r="C133" s="683"/>
      <c r="D133" s="367" t="s">
        <v>304</v>
      </c>
      <c r="E133" s="367" t="s">
        <v>305</v>
      </c>
      <c r="F133" s="683"/>
      <c r="G133" s="367" t="s">
        <v>304</v>
      </c>
      <c r="H133" s="367" t="s">
        <v>305</v>
      </c>
      <c r="I133" s="683"/>
      <c r="J133" s="367" t="s">
        <v>304</v>
      </c>
      <c r="K133" s="368" t="s">
        <v>305</v>
      </c>
    </row>
    <row r="134" spans="1:11" ht="15.6">
      <c r="B134" s="369" t="s">
        <v>306</v>
      </c>
      <c r="C134" s="370">
        <v>9981.5</v>
      </c>
      <c r="D134" s="370">
        <v>4982.3999999999996</v>
      </c>
      <c r="E134" s="370">
        <v>4999.1000000000004</v>
      </c>
      <c r="F134" s="370">
        <v>5273.9</v>
      </c>
      <c r="G134" s="370">
        <v>2610.1</v>
      </c>
      <c r="H134" s="370">
        <v>2663.7999999999997</v>
      </c>
      <c r="I134" s="370">
        <v>4707.6000000000004</v>
      </c>
      <c r="J134" s="370">
        <v>2372.3000000000002</v>
      </c>
      <c r="K134" s="371">
        <v>2335.3000000000002</v>
      </c>
    </row>
    <row r="135" spans="1:11" ht="15.6">
      <c r="B135" s="372"/>
      <c r="C135" s="373"/>
      <c r="D135" s="373"/>
      <c r="E135" s="373"/>
      <c r="F135" s="373"/>
      <c r="G135" s="373"/>
      <c r="H135" s="373"/>
      <c r="I135" s="374"/>
      <c r="J135" s="374"/>
      <c r="K135" s="375"/>
    </row>
    <row r="136" spans="1:11" ht="15.6">
      <c r="A136" s="106" t="s">
        <v>906</v>
      </c>
      <c r="B136" s="372" t="s">
        <v>307</v>
      </c>
      <c r="C136" s="374">
        <v>2277.5</v>
      </c>
      <c r="D136" s="374">
        <v>1132.7</v>
      </c>
      <c r="E136" s="374">
        <v>1144.8</v>
      </c>
      <c r="F136" s="374">
        <v>2277.5</v>
      </c>
      <c r="G136" s="374">
        <v>1132.7</v>
      </c>
      <c r="H136" s="374">
        <v>1144.8</v>
      </c>
      <c r="I136" s="376" t="s">
        <v>206</v>
      </c>
      <c r="J136" s="376" t="s">
        <v>206</v>
      </c>
      <c r="K136" s="377" t="s">
        <v>206</v>
      </c>
    </row>
    <row r="137" spans="1:11" ht="15.6">
      <c r="B137" s="378" t="s">
        <v>301</v>
      </c>
      <c r="C137" s="373"/>
      <c r="D137" s="373"/>
      <c r="E137" s="373"/>
      <c r="F137" s="373"/>
      <c r="G137" s="373"/>
      <c r="H137" s="373"/>
      <c r="I137" s="373"/>
      <c r="J137" s="373"/>
      <c r="K137" s="379"/>
    </row>
    <row r="138" spans="1:11" ht="15.6">
      <c r="B138" s="372" t="s">
        <v>308</v>
      </c>
      <c r="C138" s="374">
        <v>265.8</v>
      </c>
      <c r="D138" s="374">
        <v>133.69999999999999</v>
      </c>
      <c r="E138" s="374">
        <v>132.10000000000002</v>
      </c>
      <c r="F138" s="374">
        <v>265.8</v>
      </c>
      <c r="G138" s="374">
        <v>133.69999999999999</v>
      </c>
      <c r="H138" s="374">
        <v>132.10000000000002</v>
      </c>
      <c r="I138" s="376" t="s">
        <v>206</v>
      </c>
      <c r="J138" s="376" t="s">
        <v>206</v>
      </c>
      <c r="K138" s="377" t="s">
        <v>206</v>
      </c>
    </row>
    <row r="139" spans="1:11" ht="15.6">
      <c r="B139" s="380" t="s">
        <v>309</v>
      </c>
      <c r="C139" s="373">
        <v>3.6</v>
      </c>
      <c r="D139" s="373">
        <v>1.9</v>
      </c>
      <c r="E139" s="373">
        <v>1.7000000000000002</v>
      </c>
      <c r="F139" s="373">
        <v>3.6</v>
      </c>
      <c r="G139" s="373">
        <v>1.9</v>
      </c>
      <c r="H139" s="373">
        <v>1.7000000000000002</v>
      </c>
      <c r="I139" s="376" t="s">
        <v>206</v>
      </c>
      <c r="J139" s="376" t="s">
        <v>206</v>
      </c>
      <c r="K139" s="377" t="s">
        <v>206</v>
      </c>
    </row>
    <row r="140" spans="1:11" ht="15.6">
      <c r="B140" s="380" t="s">
        <v>310</v>
      </c>
      <c r="C140" s="373">
        <v>18.399999999999999</v>
      </c>
      <c r="D140" s="373">
        <v>9.5</v>
      </c>
      <c r="E140" s="373">
        <v>8.8999999999999986</v>
      </c>
      <c r="F140" s="373">
        <v>18.399999999999999</v>
      </c>
      <c r="G140" s="373">
        <v>9.5</v>
      </c>
      <c r="H140" s="373">
        <v>8.8999999999999986</v>
      </c>
      <c r="I140" s="376" t="s">
        <v>206</v>
      </c>
      <c r="J140" s="376" t="s">
        <v>206</v>
      </c>
      <c r="K140" s="377" t="s">
        <v>206</v>
      </c>
    </row>
    <row r="141" spans="1:11" ht="15.6">
      <c r="B141" s="380" t="s">
        <v>311</v>
      </c>
      <c r="C141" s="373">
        <v>50.6</v>
      </c>
      <c r="D141" s="373">
        <v>25.3</v>
      </c>
      <c r="E141" s="373">
        <v>25.3</v>
      </c>
      <c r="F141" s="373">
        <v>50.6</v>
      </c>
      <c r="G141" s="373">
        <v>25.3</v>
      </c>
      <c r="H141" s="373">
        <v>25.3</v>
      </c>
      <c r="I141" s="376" t="s">
        <v>206</v>
      </c>
      <c r="J141" s="376" t="s">
        <v>206</v>
      </c>
      <c r="K141" s="377" t="s">
        <v>206</v>
      </c>
    </row>
    <row r="142" spans="1:11" ht="15.6">
      <c r="B142" s="380" t="s">
        <v>312</v>
      </c>
      <c r="C142" s="373">
        <v>39</v>
      </c>
      <c r="D142" s="373">
        <v>19.5</v>
      </c>
      <c r="E142" s="373">
        <v>19.5</v>
      </c>
      <c r="F142" s="373">
        <v>39</v>
      </c>
      <c r="G142" s="373">
        <v>19.5</v>
      </c>
      <c r="H142" s="373">
        <v>19.5</v>
      </c>
      <c r="I142" s="376" t="s">
        <v>206</v>
      </c>
      <c r="J142" s="376" t="s">
        <v>206</v>
      </c>
      <c r="K142" s="377" t="s">
        <v>206</v>
      </c>
    </row>
    <row r="143" spans="1:11" ht="15.6">
      <c r="B143" s="380" t="s">
        <v>313</v>
      </c>
      <c r="C143" s="373">
        <v>7</v>
      </c>
      <c r="D143" s="373">
        <v>3.7</v>
      </c>
      <c r="E143" s="373">
        <v>3.3</v>
      </c>
      <c r="F143" s="373">
        <v>7</v>
      </c>
      <c r="G143" s="373">
        <v>3.7</v>
      </c>
      <c r="H143" s="373">
        <v>3.3</v>
      </c>
      <c r="I143" s="376" t="s">
        <v>206</v>
      </c>
      <c r="J143" s="376" t="s">
        <v>206</v>
      </c>
      <c r="K143" s="377" t="s">
        <v>206</v>
      </c>
    </row>
    <row r="144" spans="1:11" ht="15.6">
      <c r="B144" s="380" t="s">
        <v>314</v>
      </c>
      <c r="C144" s="373">
        <v>54.4</v>
      </c>
      <c r="D144" s="373">
        <v>27.2</v>
      </c>
      <c r="E144" s="373">
        <v>27.2</v>
      </c>
      <c r="F144" s="373">
        <v>54.4</v>
      </c>
      <c r="G144" s="373">
        <v>27.2</v>
      </c>
      <c r="H144" s="373">
        <v>27.2</v>
      </c>
      <c r="I144" s="376" t="s">
        <v>206</v>
      </c>
      <c r="J144" s="376" t="s">
        <v>206</v>
      </c>
      <c r="K144" s="377" t="s">
        <v>206</v>
      </c>
    </row>
    <row r="145" spans="2:11" ht="15.6">
      <c r="B145" s="372" t="s">
        <v>315</v>
      </c>
      <c r="C145" s="374">
        <v>125.5</v>
      </c>
      <c r="D145" s="374">
        <v>63.9</v>
      </c>
      <c r="E145" s="374">
        <v>61.6</v>
      </c>
      <c r="F145" s="374">
        <v>125.5</v>
      </c>
      <c r="G145" s="374">
        <v>63.9</v>
      </c>
      <c r="H145" s="374">
        <v>61.6</v>
      </c>
      <c r="I145" s="376" t="s">
        <v>206</v>
      </c>
      <c r="J145" s="376" t="s">
        <v>206</v>
      </c>
      <c r="K145" s="377" t="s">
        <v>206</v>
      </c>
    </row>
    <row r="146" spans="2:11" ht="15.6">
      <c r="B146" s="380" t="s">
        <v>316</v>
      </c>
      <c r="C146" s="373">
        <v>12.6</v>
      </c>
      <c r="D146" s="373">
        <v>6.5</v>
      </c>
      <c r="E146" s="373">
        <v>6.1</v>
      </c>
      <c r="F146" s="373">
        <v>12.6</v>
      </c>
      <c r="G146" s="373">
        <v>6.5</v>
      </c>
      <c r="H146" s="373">
        <v>6.1</v>
      </c>
      <c r="I146" s="376" t="s">
        <v>206</v>
      </c>
      <c r="J146" s="376" t="s">
        <v>206</v>
      </c>
      <c r="K146" s="377" t="s">
        <v>206</v>
      </c>
    </row>
    <row r="147" spans="2:11" ht="15.6">
      <c r="B147" s="380" t="s">
        <v>317</v>
      </c>
      <c r="C147" s="373">
        <v>1.5</v>
      </c>
      <c r="D147" s="373">
        <v>0.7</v>
      </c>
      <c r="E147" s="373">
        <v>0.8</v>
      </c>
      <c r="F147" s="373">
        <v>1.5</v>
      </c>
      <c r="G147" s="373">
        <v>0.7</v>
      </c>
      <c r="H147" s="373">
        <v>0.8</v>
      </c>
      <c r="I147" s="376" t="s">
        <v>206</v>
      </c>
      <c r="J147" s="376" t="s">
        <v>206</v>
      </c>
      <c r="K147" s="377" t="s">
        <v>206</v>
      </c>
    </row>
    <row r="148" spans="2:11" ht="15.6">
      <c r="B148" s="380" t="s">
        <v>318</v>
      </c>
      <c r="C148" s="373">
        <v>0.4</v>
      </c>
      <c r="D148" s="373">
        <v>0.2</v>
      </c>
      <c r="E148" s="373">
        <v>0.2</v>
      </c>
      <c r="F148" s="373">
        <v>0.4</v>
      </c>
      <c r="G148" s="373">
        <v>0.2</v>
      </c>
      <c r="H148" s="373">
        <v>0.2</v>
      </c>
      <c r="I148" s="376" t="s">
        <v>206</v>
      </c>
      <c r="J148" s="376" t="s">
        <v>206</v>
      </c>
      <c r="K148" s="377" t="s">
        <v>206</v>
      </c>
    </row>
    <row r="149" spans="2:11" ht="15.6">
      <c r="B149" s="380" t="s">
        <v>319</v>
      </c>
      <c r="C149" s="373">
        <v>0.9</v>
      </c>
      <c r="D149" s="373">
        <v>0.4</v>
      </c>
      <c r="E149" s="373">
        <v>0.5</v>
      </c>
      <c r="F149" s="373">
        <v>0.9</v>
      </c>
      <c r="G149" s="373">
        <v>0.4</v>
      </c>
      <c r="H149" s="373">
        <v>0.5</v>
      </c>
      <c r="I149" s="376" t="s">
        <v>206</v>
      </c>
      <c r="J149" s="376" t="s">
        <v>206</v>
      </c>
      <c r="K149" s="377" t="s">
        <v>206</v>
      </c>
    </row>
    <row r="150" spans="2:11" ht="15.6">
      <c r="B150" s="380" t="s">
        <v>320</v>
      </c>
      <c r="C150" s="373" t="s">
        <v>206</v>
      </c>
      <c r="D150" s="373" t="s">
        <v>206</v>
      </c>
      <c r="E150" s="373" t="s">
        <v>206</v>
      </c>
      <c r="F150" s="373" t="s">
        <v>206</v>
      </c>
      <c r="G150" s="373" t="s">
        <v>206</v>
      </c>
      <c r="H150" s="373" t="s">
        <v>206</v>
      </c>
      <c r="I150" s="376" t="s">
        <v>206</v>
      </c>
      <c r="J150" s="376" t="s">
        <v>206</v>
      </c>
      <c r="K150" s="377" t="s">
        <v>206</v>
      </c>
    </row>
    <row r="151" spans="2:11" ht="15.6">
      <c r="B151" s="380" t="s">
        <v>321</v>
      </c>
      <c r="C151" s="373" t="s">
        <v>206</v>
      </c>
      <c r="D151" s="373" t="s">
        <v>206</v>
      </c>
      <c r="E151" s="373" t="s">
        <v>206</v>
      </c>
      <c r="F151" s="373" t="s">
        <v>206</v>
      </c>
      <c r="G151" s="373" t="s">
        <v>206</v>
      </c>
      <c r="H151" s="373" t="s">
        <v>206</v>
      </c>
      <c r="I151" s="376" t="s">
        <v>206</v>
      </c>
      <c r="J151" s="376" t="s">
        <v>206</v>
      </c>
      <c r="K151" s="377" t="s">
        <v>206</v>
      </c>
    </row>
    <row r="152" spans="2:11" ht="15.6">
      <c r="B152" s="380" t="s">
        <v>322</v>
      </c>
      <c r="C152" s="373" t="s">
        <v>206</v>
      </c>
      <c r="D152" s="373" t="s">
        <v>206</v>
      </c>
      <c r="E152" s="373" t="s">
        <v>206</v>
      </c>
      <c r="F152" s="373" t="s">
        <v>206</v>
      </c>
      <c r="G152" s="373" t="s">
        <v>206</v>
      </c>
      <c r="H152" s="373" t="s">
        <v>206</v>
      </c>
      <c r="I152" s="376" t="s">
        <v>206</v>
      </c>
      <c r="J152" s="376" t="s">
        <v>206</v>
      </c>
      <c r="K152" s="377" t="s">
        <v>206</v>
      </c>
    </row>
    <row r="153" spans="2:11" ht="15.6">
      <c r="B153" s="380" t="s">
        <v>323</v>
      </c>
      <c r="C153" s="373">
        <v>5</v>
      </c>
      <c r="D153" s="373">
        <v>2.6</v>
      </c>
      <c r="E153" s="373">
        <v>2.4</v>
      </c>
      <c r="F153" s="373">
        <v>5</v>
      </c>
      <c r="G153" s="373">
        <v>2.6</v>
      </c>
      <c r="H153" s="373">
        <v>2.4</v>
      </c>
      <c r="I153" s="376" t="s">
        <v>206</v>
      </c>
      <c r="J153" s="376" t="s">
        <v>206</v>
      </c>
      <c r="K153" s="377" t="s">
        <v>206</v>
      </c>
    </row>
    <row r="154" spans="2:11" ht="15.6">
      <c r="B154" s="380" t="s">
        <v>324</v>
      </c>
      <c r="C154" s="373">
        <v>0.9</v>
      </c>
      <c r="D154" s="373">
        <v>0.5</v>
      </c>
      <c r="E154" s="373">
        <v>0.4</v>
      </c>
      <c r="F154" s="373">
        <v>0.9</v>
      </c>
      <c r="G154" s="373">
        <v>0.5</v>
      </c>
      <c r="H154" s="373">
        <v>0.4</v>
      </c>
      <c r="I154" s="376" t="s">
        <v>206</v>
      </c>
      <c r="J154" s="376" t="s">
        <v>206</v>
      </c>
      <c r="K154" s="377" t="s">
        <v>206</v>
      </c>
    </row>
    <row r="155" spans="2:11" ht="15.6">
      <c r="B155" s="380" t="s">
        <v>325</v>
      </c>
      <c r="C155" s="373">
        <v>26</v>
      </c>
      <c r="D155" s="373">
        <v>13</v>
      </c>
      <c r="E155" s="373">
        <v>13</v>
      </c>
      <c r="F155" s="373">
        <v>26</v>
      </c>
      <c r="G155" s="373">
        <v>13</v>
      </c>
      <c r="H155" s="373">
        <v>13</v>
      </c>
      <c r="I155" s="376" t="s">
        <v>206</v>
      </c>
      <c r="J155" s="376" t="s">
        <v>206</v>
      </c>
      <c r="K155" s="377" t="s">
        <v>206</v>
      </c>
    </row>
    <row r="156" spans="2:11" ht="15.6">
      <c r="B156" s="380" t="s">
        <v>326</v>
      </c>
      <c r="C156" s="373">
        <v>0.1</v>
      </c>
      <c r="D156" s="373">
        <v>0.1</v>
      </c>
      <c r="E156" s="373">
        <v>0</v>
      </c>
      <c r="F156" s="373">
        <v>0.1</v>
      </c>
      <c r="G156" s="373">
        <v>0.1</v>
      </c>
      <c r="H156" s="373">
        <v>0</v>
      </c>
      <c r="I156" s="376" t="s">
        <v>206</v>
      </c>
      <c r="J156" s="376" t="s">
        <v>206</v>
      </c>
      <c r="K156" s="377" t="s">
        <v>206</v>
      </c>
    </row>
    <row r="157" spans="2:11" ht="15.6">
      <c r="B157" s="380" t="s">
        <v>327</v>
      </c>
      <c r="C157" s="373">
        <v>39.4</v>
      </c>
      <c r="D157" s="373">
        <v>20.2</v>
      </c>
      <c r="E157" s="373">
        <v>19.2</v>
      </c>
      <c r="F157" s="373">
        <v>39.4</v>
      </c>
      <c r="G157" s="373">
        <v>20.2</v>
      </c>
      <c r="H157" s="373">
        <v>19.2</v>
      </c>
      <c r="I157" s="376" t="s">
        <v>206</v>
      </c>
      <c r="J157" s="376" t="s">
        <v>206</v>
      </c>
      <c r="K157" s="377" t="s">
        <v>206</v>
      </c>
    </row>
    <row r="158" spans="2:11" ht="15.6">
      <c r="B158" s="380" t="s">
        <v>328</v>
      </c>
      <c r="C158" s="373">
        <v>0.1</v>
      </c>
      <c r="D158" s="373">
        <v>0.1</v>
      </c>
      <c r="E158" s="373">
        <v>0</v>
      </c>
      <c r="F158" s="373">
        <v>0.1</v>
      </c>
      <c r="G158" s="373">
        <v>0.1</v>
      </c>
      <c r="H158" s="373">
        <v>0</v>
      </c>
      <c r="I158" s="376" t="s">
        <v>206</v>
      </c>
      <c r="J158" s="376" t="s">
        <v>206</v>
      </c>
      <c r="K158" s="377" t="s">
        <v>206</v>
      </c>
    </row>
    <row r="159" spans="2:11" ht="15.6">
      <c r="B159" s="380" t="s">
        <v>329</v>
      </c>
      <c r="C159" s="373" t="s">
        <v>206</v>
      </c>
      <c r="D159" s="373" t="s">
        <v>206</v>
      </c>
      <c r="E159" s="373" t="s">
        <v>206</v>
      </c>
      <c r="F159" s="373" t="s">
        <v>206</v>
      </c>
      <c r="G159" s="373" t="s">
        <v>206</v>
      </c>
      <c r="H159" s="373" t="s">
        <v>206</v>
      </c>
      <c r="I159" s="376" t="s">
        <v>206</v>
      </c>
      <c r="J159" s="376" t="s">
        <v>206</v>
      </c>
      <c r="K159" s="377" t="s">
        <v>206</v>
      </c>
    </row>
    <row r="160" spans="2:11" ht="15.6">
      <c r="B160" s="380" t="s">
        <v>330</v>
      </c>
      <c r="C160" s="373">
        <v>1.3</v>
      </c>
      <c r="D160" s="373">
        <v>0.6</v>
      </c>
      <c r="E160" s="373">
        <v>0.70000000000000007</v>
      </c>
      <c r="F160" s="373">
        <v>1.3</v>
      </c>
      <c r="G160" s="373">
        <v>0.6</v>
      </c>
      <c r="H160" s="373">
        <v>0.70000000000000007</v>
      </c>
      <c r="I160" s="376" t="s">
        <v>206</v>
      </c>
      <c r="J160" s="376" t="s">
        <v>206</v>
      </c>
      <c r="K160" s="377" t="s">
        <v>206</v>
      </c>
    </row>
    <row r="161" spans="2:11" ht="15.6">
      <c r="B161" s="380" t="s">
        <v>331</v>
      </c>
      <c r="C161" s="373">
        <v>2.5</v>
      </c>
      <c r="D161" s="373">
        <v>1.2</v>
      </c>
      <c r="E161" s="373">
        <v>1.3</v>
      </c>
      <c r="F161" s="373">
        <v>2.5</v>
      </c>
      <c r="G161" s="373">
        <v>1.2</v>
      </c>
      <c r="H161" s="373">
        <v>1.3</v>
      </c>
      <c r="I161" s="376" t="s">
        <v>206</v>
      </c>
      <c r="J161" s="376" t="s">
        <v>206</v>
      </c>
      <c r="K161" s="377" t="s">
        <v>206</v>
      </c>
    </row>
    <row r="162" spans="2:11" ht="15.6">
      <c r="B162" s="380" t="s">
        <v>332</v>
      </c>
      <c r="C162" s="373">
        <v>17.7</v>
      </c>
      <c r="D162" s="373">
        <v>9.1</v>
      </c>
      <c r="E162" s="373">
        <v>8.6</v>
      </c>
      <c r="F162" s="373">
        <v>17.7</v>
      </c>
      <c r="G162" s="373">
        <v>9.1</v>
      </c>
      <c r="H162" s="373">
        <v>8.6</v>
      </c>
      <c r="I162" s="376" t="s">
        <v>206</v>
      </c>
      <c r="J162" s="376" t="s">
        <v>206</v>
      </c>
      <c r="K162" s="377" t="s">
        <v>206</v>
      </c>
    </row>
    <row r="163" spans="2:11" ht="15.6">
      <c r="B163" s="380" t="s">
        <v>333</v>
      </c>
      <c r="C163" s="373">
        <v>10</v>
      </c>
      <c r="D163" s="373">
        <v>5.0999999999999996</v>
      </c>
      <c r="E163" s="373">
        <v>4.9000000000000004</v>
      </c>
      <c r="F163" s="373">
        <v>10</v>
      </c>
      <c r="G163" s="373">
        <v>5.0999999999999996</v>
      </c>
      <c r="H163" s="373">
        <v>4.9000000000000004</v>
      </c>
      <c r="I163" s="376" t="s">
        <v>206</v>
      </c>
      <c r="J163" s="376" t="s">
        <v>206</v>
      </c>
      <c r="K163" s="377" t="s">
        <v>206</v>
      </c>
    </row>
    <row r="164" spans="2:11" ht="15.6">
      <c r="B164" s="380" t="s">
        <v>334</v>
      </c>
      <c r="C164" s="373">
        <v>1.5</v>
      </c>
      <c r="D164" s="373">
        <v>0.8</v>
      </c>
      <c r="E164" s="373">
        <v>0.7</v>
      </c>
      <c r="F164" s="373">
        <v>1.5</v>
      </c>
      <c r="G164" s="373">
        <v>0.8</v>
      </c>
      <c r="H164" s="373">
        <v>0.7</v>
      </c>
      <c r="I164" s="376" t="s">
        <v>206</v>
      </c>
      <c r="J164" s="376" t="s">
        <v>206</v>
      </c>
      <c r="K164" s="377" t="s">
        <v>206</v>
      </c>
    </row>
    <row r="165" spans="2:11" ht="15.6">
      <c r="B165" s="380" t="s">
        <v>335</v>
      </c>
      <c r="C165" s="373">
        <v>4.8</v>
      </c>
      <c r="D165" s="373">
        <v>2.4</v>
      </c>
      <c r="E165" s="373">
        <v>2.4</v>
      </c>
      <c r="F165" s="373">
        <v>4.8</v>
      </c>
      <c r="G165" s="373">
        <v>2.4</v>
      </c>
      <c r="H165" s="373">
        <v>2.4</v>
      </c>
      <c r="I165" s="376" t="s">
        <v>206</v>
      </c>
      <c r="J165" s="376" t="s">
        <v>206</v>
      </c>
      <c r="K165" s="377" t="s">
        <v>206</v>
      </c>
    </row>
    <row r="166" spans="2:11" ht="15.6">
      <c r="B166" s="380" t="s">
        <v>336</v>
      </c>
      <c r="C166" s="373">
        <v>0.8</v>
      </c>
      <c r="D166" s="373">
        <v>0.4</v>
      </c>
      <c r="E166" s="373">
        <v>0.4</v>
      </c>
      <c r="F166" s="373">
        <v>0.8</v>
      </c>
      <c r="G166" s="373">
        <v>0.4</v>
      </c>
      <c r="H166" s="373">
        <v>0.4</v>
      </c>
      <c r="I166" s="376" t="s">
        <v>206</v>
      </c>
      <c r="J166" s="376" t="s">
        <v>206</v>
      </c>
      <c r="K166" s="377" t="s">
        <v>206</v>
      </c>
    </row>
    <row r="167" spans="2:11" ht="15.6">
      <c r="B167" s="372" t="s">
        <v>337</v>
      </c>
      <c r="C167" s="374">
        <v>166.5</v>
      </c>
      <c r="D167" s="374">
        <v>84.9</v>
      </c>
      <c r="E167" s="374">
        <v>81.599999999999994</v>
      </c>
      <c r="F167" s="374">
        <v>166.5</v>
      </c>
      <c r="G167" s="374">
        <v>84.9</v>
      </c>
      <c r="H167" s="374">
        <v>81.599999999999994</v>
      </c>
      <c r="I167" s="376" t="s">
        <v>206</v>
      </c>
      <c r="J167" s="376" t="s">
        <v>206</v>
      </c>
      <c r="K167" s="377" t="s">
        <v>206</v>
      </c>
    </row>
    <row r="168" spans="2:11" ht="15.6">
      <c r="B168" s="380" t="s">
        <v>338</v>
      </c>
      <c r="C168" s="373">
        <v>57</v>
      </c>
      <c r="D168" s="373">
        <v>28.8</v>
      </c>
      <c r="E168" s="373">
        <v>28.2</v>
      </c>
      <c r="F168" s="373">
        <v>57</v>
      </c>
      <c r="G168" s="373">
        <v>28.8</v>
      </c>
      <c r="H168" s="373">
        <v>28.2</v>
      </c>
      <c r="I168" s="376" t="s">
        <v>206</v>
      </c>
      <c r="J168" s="376" t="s">
        <v>206</v>
      </c>
      <c r="K168" s="377" t="s">
        <v>206</v>
      </c>
    </row>
    <row r="169" spans="2:11" ht="15.6">
      <c r="B169" s="380" t="s">
        <v>339</v>
      </c>
      <c r="C169" s="373">
        <v>31.5</v>
      </c>
      <c r="D169" s="373">
        <v>16</v>
      </c>
      <c r="E169" s="373">
        <v>15.5</v>
      </c>
      <c r="F169" s="373">
        <v>31.5</v>
      </c>
      <c r="G169" s="373">
        <v>16</v>
      </c>
      <c r="H169" s="373">
        <v>15.5</v>
      </c>
      <c r="I169" s="376" t="s">
        <v>206</v>
      </c>
      <c r="J169" s="376" t="s">
        <v>206</v>
      </c>
      <c r="K169" s="377" t="s">
        <v>206</v>
      </c>
    </row>
    <row r="170" spans="2:11" ht="15.6">
      <c r="B170" s="380" t="s">
        <v>340</v>
      </c>
      <c r="C170" s="373">
        <v>5</v>
      </c>
      <c r="D170" s="373">
        <v>2.6</v>
      </c>
      <c r="E170" s="373">
        <v>2.4</v>
      </c>
      <c r="F170" s="373">
        <v>5</v>
      </c>
      <c r="G170" s="373">
        <v>2.6</v>
      </c>
      <c r="H170" s="373">
        <v>2.4</v>
      </c>
      <c r="I170" s="376" t="s">
        <v>206</v>
      </c>
      <c r="J170" s="376" t="s">
        <v>206</v>
      </c>
      <c r="K170" s="377" t="s">
        <v>206</v>
      </c>
    </row>
    <row r="171" spans="2:11" ht="15.6">
      <c r="B171" s="380" t="s">
        <v>341</v>
      </c>
      <c r="C171" s="373">
        <v>25.1</v>
      </c>
      <c r="D171" s="373">
        <v>13.5</v>
      </c>
      <c r="E171" s="373">
        <v>11.600000000000001</v>
      </c>
      <c r="F171" s="373">
        <v>25.1</v>
      </c>
      <c r="G171" s="373">
        <v>13.5</v>
      </c>
      <c r="H171" s="373">
        <v>11.600000000000001</v>
      </c>
      <c r="I171" s="376" t="s">
        <v>206</v>
      </c>
      <c r="J171" s="376" t="s">
        <v>206</v>
      </c>
      <c r="K171" s="377" t="s">
        <v>206</v>
      </c>
    </row>
    <row r="172" spans="2:11" ht="15.6">
      <c r="B172" s="380" t="s">
        <v>342</v>
      </c>
      <c r="C172" s="373">
        <v>3.6</v>
      </c>
      <c r="D172" s="373">
        <v>1.8</v>
      </c>
      <c r="E172" s="373">
        <v>1.8</v>
      </c>
      <c r="F172" s="373">
        <v>3.6</v>
      </c>
      <c r="G172" s="373">
        <v>1.8</v>
      </c>
      <c r="H172" s="373">
        <v>1.8</v>
      </c>
      <c r="I172" s="376" t="s">
        <v>206</v>
      </c>
      <c r="J172" s="376" t="s">
        <v>206</v>
      </c>
      <c r="K172" s="377" t="s">
        <v>206</v>
      </c>
    </row>
    <row r="173" spans="2:11" ht="15.6">
      <c r="B173" s="380" t="s">
        <v>343</v>
      </c>
      <c r="C173" s="373">
        <v>19.399999999999999</v>
      </c>
      <c r="D173" s="373">
        <v>9.6999999999999993</v>
      </c>
      <c r="E173" s="373">
        <v>9.6999999999999993</v>
      </c>
      <c r="F173" s="373">
        <v>19.399999999999999</v>
      </c>
      <c r="G173" s="373">
        <v>9.6999999999999993</v>
      </c>
      <c r="H173" s="373">
        <v>9.6999999999999993</v>
      </c>
      <c r="I173" s="376" t="s">
        <v>206</v>
      </c>
      <c r="J173" s="376" t="s">
        <v>206</v>
      </c>
      <c r="K173" s="377" t="s">
        <v>206</v>
      </c>
    </row>
    <row r="174" spans="2:11" ht="15.6">
      <c r="B174" s="380" t="s">
        <v>344</v>
      </c>
      <c r="C174" s="373">
        <v>12.5</v>
      </c>
      <c r="D174" s="373">
        <v>6.3</v>
      </c>
      <c r="E174" s="373">
        <v>6.2</v>
      </c>
      <c r="F174" s="373">
        <v>12.5</v>
      </c>
      <c r="G174" s="373">
        <v>6.3</v>
      </c>
      <c r="H174" s="373">
        <v>6.2</v>
      </c>
      <c r="I174" s="376" t="s">
        <v>206</v>
      </c>
      <c r="J174" s="376" t="s">
        <v>206</v>
      </c>
      <c r="K174" s="377" t="s">
        <v>206</v>
      </c>
    </row>
    <row r="175" spans="2:11" ht="15.6">
      <c r="B175" s="380" t="s">
        <v>345</v>
      </c>
      <c r="C175" s="373">
        <v>12.4</v>
      </c>
      <c r="D175" s="373">
        <v>6.2</v>
      </c>
      <c r="E175" s="373">
        <v>6.2</v>
      </c>
      <c r="F175" s="373">
        <v>12.4</v>
      </c>
      <c r="G175" s="373">
        <v>6.2</v>
      </c>
      <c r="H175" s="373">
        <v>6.2</v>
      </c>
      <c r="I175" s="376" t="s">
        <v>206</v>
      </c>
      <c r="J175" s="376" t="s">
        <v>206</v>
      </c>
      <c r="K175" s="377" t="s">
        <v>206</v>
      </c>
    </row>
    <row r="176" spans="2:11" ht="15.6">
      <c r="B176" s="372" t="s">
        <v>346</v>
      </c>
      <c r="C176" s="374">
        <v>101.8</v>
      </c>
      <c r="D176" s="374">
        <v>48.9</v>
      </c>
      <c r="E176" s="374">
        <v>52.9</v>
      </c>
      <c r="F176" s="374">
        <v>101.8</v>
      </c>
      <c r="G176" s="374">
        <v>48.9</v>
      </c>
      <c r="H176" s="374">
        <v>52.9</v>
      </c>
      <c r="I176" s="376" t="s">
        <v>206</v>
      </c>
      <c r="J176" s="376" t="s">
        <v>206</v>
      </c>
      <c r="K176" s="377" t="s">
        <v>206</v>
      </c>
    </row>
    <row r="177" spans="2:11" ht="15.6">
      <c r="B177" s="380" t="s">
        <v>347</v>
      </c>
      <c r="C177" s="373">
        <v>22.3</v>
      </c>
      <c r="D177" s="373">
        <v>11.2</v>
      </c>
      <c r="E177" s="373">
        <v>11.100000000000001</v>
      </c>
      <c r="F177" s="373">
        <v>22.3</v>
      </c>
      <c r="G177" s="373">
        <v>11.2</v>
      </c>
      <c r="H177" s="373">
        <v>11.100000000000001</v>
      </c>
      <c r="I177" s="376" t="s">
        <v>206</v>
      </c>
      <c r="J177" s="376" t="s">
        <v>206</v>
      </c>
      <c r="K177" s="377" t="s">
        <v>206</v>
      </c>
    </row>
    <row r="178" spans="2:11" ht="15.6">
      <c r="B178" s="380" t="s">
        <v>348</v>
      </c>
      <c r="C178" s="373">
        <v>2.1</v>
      </c>
      <c r="D178" s="373">
        <v>1</v>
      </c>
      <c r="E178" s="373">
        <v>1.1000000000000001</v>
      </c>
      <c r="F178" s="373">
        <v>2.1</v>
      </c>
      <c r="G178" s="373">
        <v>1</v>
      </c>
      <c r="H178" s="373">
        <v>1.1000000000000001</v>
      </c>
      <c r="I178" s="376" t="s">
        <v>206</v>
      </c>
      <c r="J178" s="376" t="s">
        <v>206</v>
      </c>
      <c r="K178" s="377" t="s">
        <v>206</v>
      </c>
    </row>
    <row r="179" spans="2:11" ht="15.6">
      <c r="B179" s="372" t="s">
        <v>349</v>
      </c>
      <c r="C179" s="381">
        <v>244.6</v>
      </c>
      <c r="D179" s="381">
        <v>122.4</v>
      </c>
      <c r="E179" s="381">
        <v>122.19999999999999</v>
      </c>
      <c r="F179" s="381">
        <v>244.6</v>
      </c>
      <c r="G179" s="381">
        <v>122.4</v>
      </c>
      <c r="H179" s="381">
        <v>122.19999999999999</v>
      </c>
      <c r="I179" s="376" t="s">
        <v>206</v>
      </c>
      <c r="J179" s="376" t="s">
        <v>206</v>
      </c>
      <c r="K179" s="377" t="s">
        <v>206</v>
      </c>
    </row>
    <row r="180" spans="2:11" ht="15.6">
      <c r="B180" s="380" t="s">
        <v>350</v>
      </c>
      <c r="C180" s="382">
        <v>76.599999999999994</v>
      </c>
      <c r="D180" s="383">
        <v>38.700000000000003</v>
      </c>
      <c r="E180" s="382">
        <v>37.899999999999991</v>
      </c>
      <c r="F180" s="382">
        <v>76.599999999999994</v>
      </c>
      <c r="G180" s="383">
        <v>38.700000000000003</v>
      </c>
      <c r="H180" s="382">
        <v>37.899999999999991</v>
      </c>
      <c r="I180" s="376" t="s">
        <v>206</v>
      </c>
      <c r="J180" s="376" t="s">
        <v>206</v>
      </c>
      <c r="K180" s="377" t="s">
        <v>206</v>
      </c>
    </row>
    <row r="181" spans="2:11" ht="15.6">
      <c r="B181" s="380" t="s">
        <v>351</v>
      </c>
      <c r="C181" s="382">
        <v>14.4</v>
      </c>
      <c r="D181" s="383">
        <v>7.1</v>
      </c>
      <c r="E181" s="382">
        <v>7.3000000000000007</v>
      </c>
      <c r="F181" s="382">
        <v>14.4</v>
      </c>
      <c r="G181" s="383">
        <v>7.1</v>
      </c>
      <c r="H181" s="382">
        <v>7.3000000000000007</v>
      </c>
      <c r="I181" s="376" t="s">
        <v>206</v>
      </c>
      <c r="J181" s="376" t="s">
        <v>206</v>
      </c>
      <c r="K181" s="377" t="s">
        <v>206</v>
      </c>
    </row>
    <row r="182" spans="2:11" ht="15.6">
      <c r="B182" s="380" t="s">
        <v>352</v>
      </c>
      <c r="C182" s="382">
        <v>8.6</v>
      </c>
      <c r="D182" s="383">
        <v>4.2</v>
      </c>
      <c r="E182" s="382">
        <v>4.3999999999999995</v>
      </c>
      <c r="F182" s="382">
        <v>8.6</v>
      </c>
      <c r="G182" s="383">
        <v>4.2</v>
      </c>
      <c r="H182" s="382">
        <v>4.3999999999999995</v>
      </c>
      <c r="I182" s="376" t="s">
        <v>206</v>
      </c>
      <c r="J182" s="376" t="s">
        <v>206</v>
      </c>
      <c r="K182" s="377" t="s">
        <v>206</v>
      </c>
    </row>
    <row r="183" spans="2:11" ht="15.6">
      <c r="B183" s="380" t="s">
        <v>353</v>
      </c>
      <c r="C183" s="382">
        <v>6.7</v>
      </c>
      <c r="D183" s="383">
        <v>3.3</v>
      </c>
      <c r="E183" s="382">
        <v>3.4000000000000004</v>
      </c>
      <c r="F183" s="382">
        <v>6.7</v>
      </c>
      <c r="G183" s="383">
        <v>3.3</v>
      </c>
      <c r="H183" s="382">
        <v>3.4000000000000004</v>
      </c>
      <c r="I183" s="376" t="s">
        <v>206</v>
      </c>
      <c r="J183" s="376" t="s">
        <v>206</v>
      </c>
      <c r="K183" s="377" t="s">
        <v>206</v>
      </c>
    </row>
    <row r="184" spans="2:11" ht="15.6">
      <c r="B184" s="380" t="s">
        <v>354</v>
      </c>
      <c r="C184" s="382">
        <v>46.2</v>
      </c>
      <c r="D184" s="383">
        <v>23.3</v>
      </c>
      <c r="E184" s="382">
        <v>22.900000000000002</v>
      </c>
      <c r="F184" s="382">
        <v>46.2</v>
      </c>
      <c r="G184" s="383">
        <v>23.3</v>
      </c>
      <c r="H184" s="382">
        <v>22.900000000000002</v>
      </c>
      <c r="I184" s="376" t="s">
        <v>206</v>
      </c>
      <c r="J184" s="376" t="s">
        <v>206</v>
      </c>
      <c r="K184" s="377" t="s">
        <v>206</v>
      </c>
    </row>
    <row r="185" spans="2:11" ht="15.6">
      <c r="B185" s="380" t="s">
        <v>355</v>
      </c>
      <c r="C185" s="382">
        <v>10.199999999999999</v>
      </c>
      <c r="D185" s="383">
        <v>5.2</v>
      </c>
      <c r="E185" s="382">
        <v>4.9999999999999991</v>
      </c>
      <c r="F185" s="382">
        <v>10.199999999999999</v>
      </c>
      <c r="G185" s="383">
        <v>5.2</v>
      </c>
      <c r="H185" s="382">
        <v>4.9999999999999991</v>
      </c>
      <c r="I185" s="376" t="s">
        <v>206</v>
      </c>
      <c r="J185" s="376" t="s">
        <v>206</v>
      </c>
      <c r="K185" s="377" t="s">
        <v>206</v>
      </c>
    </row>
    <row r="186" spans="2:11" ht="15.6">
      <c r="B186" s="380" t="s">
        <v>356</v>
      </c>
      <c r="C186" s="382">
        <v>7</v>
      </c>
      <c r="D186" s="383">
        <v>3.6</v>
      </c>
      <c r="E186" s="382">
        <v>3.4</v>
      </c>
      <c r="F186" s="382">
        <v>7</v>
      </c>
      <c r="G186" s="383">
        <v>3.6</v>
      </c>
      <c r="H186" s="382">
        <v>3.4</v>
      </c>
      <c r="I186" s="376" t="s">
        <v>206</v>
      </c>
      <c r="J186" s="376" t="s">
        <v>206</v>
      </c>
      <c r="K186" s="377" t="s">
        <v>206</v>
      </c>
    </row>
    <row r="187" spans="2:11" ht="15.6">
      <c r="B187" s="380" t="s">
        <v>357</v>
      </c>
      <c r="C187" s="382">
        <v>12.9</v>
      </c>
      <c r="D187" s="383">
        <v>6.4</v>
      </c>
      <c r="E187" s="382">
        <v>6.5</v>
      </c>
      <c r="F187" s="382">
        <v>12.9</v>
      </c>
      <c r="G187" s="383">
        <v>6.4</v>
      </c>
      <c r="H187" s="382">
        <v>6.5</v>
      </c>
      <c r="I187" s="376" t="s">
        <v>206</v>
      </c>
      <c r="J187" s="376" t="s">
        <v>206</v>
      </c>
      <c r="K187" s="377" t="s">
        <v>206</v>
      </c>
    </row>
    <row r="188" spans="2:11" ht="15.6">
      <c r="B188" s="380" t="s">
        <v>358</v>
      </c>
      <c r="C188" s="382">
        <v>32.5</v>
      </c>
      <c r="D188" s="383">
        <v>16.100000000000001</v>
      </c>
      <c r="E188" s="382">
        <v>16.399999999999999</v>
      </c>
      <c r="F188" s="382">
        <v>32.5</v>
      </c>
      <c r="G188" s="383">
        <v>16.100000000000001</v>
      </c>
      <c r="H188" s="382">
        <v>16.399999999999999</v>
      </c>
      <c r="I188" s="376" t="s">
        <v>206</v>
      </c>
      <c r="J188" s="376" t="s">
        <v>206</v>
      </c>
      <c r="K188" s="377" t="s">
        <v>206</v>
      </c>
    </row>
    <row r="189" spans="2:11" ht="15.6">
      <c r="B189" s="380" t="s">
        <v>359</v>
      </c>
      <c r="C189" s="382">
        <v>29.5</v>
      </c>
      <c r="D189" s="383">
        <v>14.5</v>
      </c>
      <c r="E189" s="382">
        <v>15</v>
      </c>
      <c r="F189" s="382">
        <v>29.5</v>
      </c>
      <c r="G189" s="383">
        <v>14.5</v>
      </c>
      <c r="H189" s="382">
        <v>15</v>
      </c>
      <c r="I189" s="376" t="s">
        <v>206</v>
      </c>
      <c r="J189" s="376" t="s">
        <v>206</v>
      </c>
      <c r="K189" s="377" t="s">
        <v>206</v>
      </c>
    </row>
    <row r="190" spans="2:11" ht="15.6">
      <c r="B190" s="372" t="s">
        <v>360</v>
      </c>
      <c r="C190" s="381">
        <v>219.5</v>
      </c>
      <c r="D190" s="381">
        <v>108.3</v>
      </c>
      <c r="E190" s="381">
        <v>111.2</v>
      </c>
      <c r="F190" s="381">
        <v>219.5</v>
      </c>
      <c r="G190" s="381">
        <v>108.3</v>
      </c>
      <c r="H190" s="381">
        <v>111.2</v>
      </c>
      <c r="I190" s="376" t="s">
        <v>206</v>
      </c>
      <c r="J190" s="376" t="s">
        <v>206</v>
      </c>
      <c r="K190" s="377" t="s">
        <v>206</v>
      </c>
    </row>
    <row r="191" spans="2:11" ht="15.6">
      <c r="B191" s="380" t="s">
        <v>361</v>
      </c>
      <c r="C191" s="382">
        <v>25.3</v>
      </c>
      <c r="D191" s="383">
        <v>12.4</v>
      </c>
      <c r="E191" s="382">
        <v>12.9</v>
      </c>
      <c r="F191" s="382">
        <v>25.3</v>
      </c>
      <c r="G191" s="383">
        <v>12.4</v>
      </c>
      <c r="H191" s="382">
        <v>12.9</v>
      </c>
      <c r="I191" s="376" t="s">
        <v>206</v>
      </c>
      <c r="J191" s="376" t="s">
        <v>206</v>
      </c>
      <c r="K191" s="377" t="s">
        <v>206</v>
      </c>
    </row>
    <row r="192" spans="2:11" ht="15.6">
      <c r="B192" s="380" t="s">
        <v>362</v>
      </c>
      <c r="C192" s="382">
        <v>32.299999999999997</v>
      </c>
      <c r="D192" s="383">
        <v>15.7</v>
      </c>
      <c r="E192" s="382">
        <v>16.599999999999998</v>
      </c>
      <c r="F192" s="382">
        <v>32.299999999999997</v>
      </c>
      <c r="G192" s="383">
        <v>15.7</v>
      </c>
      <c r="H192" s="382">
        <v>16.599999999999998</v>
      </c>
      <c r="I192" s="376" t="s">
        <v>206</v>
      </c>
      <c r="J192" s="376" t="s">
        <v>206</v>
      </c>
      <c r="K192" s="377" t="s">
        <v>206</v>
      </c>
    </row>
    <row r="193" spans="2:11" ht="15.6">
      <c r="B193" s="380" t="s">
        <v>363</v>
      </c>
      <c r="C193" s="382">
        <v>42.3</v>
      </c>
      <c r="D193" s="383">
        <v>20.9</v>
      </c>
      <c r="E193" s="382">
        <v>21.4</v>
      </c>
      <c r="F193" s="382">
        <v>42.3</v>
      </c>
      <c r="G193" s="383">
        <v>20.9</v>
      </c>
      <c r="H193" s="382">
        <v>21.4</v>
      </c>
      <c r="I193" s="376" t="s">
        <v>206</v>
      </c>
      <c r="J193" s="376" t="s">
        <v>206</v>
      </c>
      <c r="K193" s="377" t="s">
        <v>206</v>
      </c>
    </row>
    <row r="194" spans="2:11" ht="15.6">
      <c r="B194" s="380" t="s">
        <v>364</v>
      </c>
      <c r="C194" s="382">
        <v>87.3</v>
      </c>
      <c r="D194" s="383">
        <v>43.5</v>
      </c>
      <c r="E194" s="382">
        <v>43.8</v>
      </c>
      <c r="F194" s="382">
        <v>87.3</v>
      </c>
      <c r="G194" s="383">
        <v>43.5</v>
      </c>
      <c r="H194" s="382">
        <v>43.8</v>
      </c>
      <c r="I194" s="376" t="s">
        <v>206</v>
      </c>
      <c r="J194" s="376" t="s">
        <v>206</v>
      </c>
      <c r="K194" s="377" t="s">
        <v>206</v>
      </c>
    </row>
    <row r="195" spans="2:11" ht="15.6">
      <c r="B195" s="380" t="s">
        <v>365</v>
      </c>
      <c r="C195" s="382">
        <v>18.100000000000001</v>
      </c>
      <c r="D195" s="383">
        <v>8.8000000000000007</v>
      </c>
      <c r="E195" s="382">
        <v>9.3000000000000007</v>
      </c>
      <c r="F195" s="382">
        <v>18.100000000000001</v>
      </c>
      <c r="G195" s="383">
        <v>8.8000000000000007</v>
      </c>
      <c r="H195" s="382">
        <v>9.3000000000000007</v>
      </c>
      <c r="I195" s="376" t="s">
        <v>206</v>
      </c>
      <c r="J195" s="376" t="s">
        <v>206</v>
      </c>
      <c r="K195" s="377" t="s">
        <v>206</v>
      </c>
    </row>
    <row r="196" spans="2:11" ht="15.6">
      <c r="B196" s="380" t="s">
        <v>366</v>
      </c>
      <c r="C196" s="382">
        <v>14.2</v>
      </c>
      <c r="D196" s="383">
        <v>7</v>
      </c>
      <c r="E196" s="382">
        <v>7.1999999999999993</v>
      </c>
      <c r="F196" s="382">
        <v>14.2</v>
      </c>
      <c r="G196" s="383">
        <v>7</v>
      </c>
      <c r="H196" s="382">
        <v>7.1999999999999993</v>
      </c>
      <c r="I196" s="376" t="s">
        <v>206</v>
      </c>
      <c r="J196" s="376" t="s">
        <v>206</v>
      </c>
      <c r="K196" s="377" t="s">
        <v>206</v>
      </c>
    </row>
    <row r="197" spans="2:11" ht="15.6">
      <c r="B197" s="372" t="s">
        <v>367</v>
      </c>
      <c r="C197" s="381">
        <v>178.3</v>
      </c>
      <c r="D197" s="381">
        <v>88.2</v>
      </c>
      <c r="E197" s="381">
        <v>90.100000000000009</v>
      </c>
      <c r="F197" s="381">
        <v>178.3</v>
      </c>
      <c r="G197" s="381">
        <v>88.2</v>
      </c>
      <c r="H197" s="381">
        <v>90.100000000000009</v>
      </c>
      <c r="I197" s="376" t="s">
        <v>206</v>
      </c>
      <c r="J197" s="376" t="s">
        <v>206</v>
      </c>
      <c r="K197" s="377" t="s">
        <v>206</v>
      </c>
    </row>
    <row r="198" spans="2:11" ht="15.6">
      <c r="B198" s="372" t="s">
        <v>368</v>
      </c>
      <c r="C198" s="381">
        <v>221.1</v>
      </c>
      <c r="D198" s="381">
        <v>109.7</v>
      </c>
      <c r="E198" s="381">
        <v>111.39999999999999</v>
      </c>
      <c r="F198" s="381">
        <v>221.1</v>
      </c>
      <c r="G198" s="381">
        <v>109.7</v>
      </c>
      <c r="H198" s="381">
        <v>111.39999999999999</v>
      </c>
      <c r="I198" s="376" t="s">
        <v>206</v>
      </c>
      <c r="J198" s="376" t="s">
        <v>206</v>
      </c>
      <c r="K198" s="377" t="s">
        <v>206</v>
      </c>
    </row>
    <row r="199" spans="2:11" ht="15.6">
      <c r="B199" s="372" t="s">
        <v>369</v>
      </c>
      <c r="C199" s="381">
        <v>200</v>
      </c>
      <c r="D199" s="381">
        <v>99.2</v>
      </c>
      <c r="E199" s="381">
        <v>100.8</v>
      </c>
      <c r="F199" s="381">
        <v>200</v>
      </c>
      <c r="G199" s="381">
        <v>99.2</v>
      </c>
      <c r="H199" s="381">
        <v>100.8</v>
      </c>
      <c r="I199" s="376" t="s">
        <v>206</v>
      </c>
      <c r="J199" s="376" t="s">
        <v>206</v>
      </c>
      <c r="K199" s="377" t="s">
        <v>206</v>
      </c>
    </row>
    <row r="200" spans="2:11" ht="15.6">
      <c r="B200" s="380" t="s">
        <v>370</v>
      </c>
      <c r="C200" s="382">
        <v>25.5</v>
      </c>
      <c r="D200" s="383">
        <v>12.5</v>
      </c>
      <c r="E200" s="382">
        <v>13</v>
      </c>
      <c r="F200" s="382">
        <v>25.5</v>
      </c>
      <c r="G200" s="383">
        <v>12.5</v>
      </c>
      <c r="H200" s="382">
        <v>13</v>
      </c>
      <c r="I200" s="376" t="s">
        <v>206</v>
      </c>
      <c r="J200" s="376" t="s">
        <v>206</v>
      </c>
      <c r="K200" s="377" t="s">
        <v>206</v>
      </c>
    </row>
    <row r="201" spans="2:11" ht="15.6">
      <c r="B201" s="372" t="s">
        <v>371</v>
      </c>
      <c r="C201" s="381">
        <v>20.5</v>
      </c>
      <c r="D201" s="381">
        <v>10.4</v>
      </c>
      <c r="E201" s="381">
        <v>10.1</v>
      </c>
      <c r="F201" s="381">
        <v>20.5</v>
      </c>
      <c r="G201" s="381">
        <v>10.4</v>
      </c>
      <c r="H201" s="381">
        <v>10.1</v>
      </c>
      <c r="I201" s="376" t="s">
        <v>206</v>
      </c>
      <c r="J201" s="376" t="s">
        <v>206</v>
      </c>
      <c r="K201" s="377" t="s">
        <v>206</v>
      </c>
    </row>
    <row r="202" spans="2:11" ht="15.6">
      <c r="B202" s="380" t="s">
        <v>372</v>
      </c>
      <c r="C202" s="382">
        <v>17.2</v>
      </c>
      <c r="D202" s="383">
        <v>8.3000000000000007</v>
      </c>
      <c r="E202" s="382">
        <v>8.8999999999999986</v>
      </c>
      <c r="F202" s="382">
        <v>17.2</v>
      </c>
      <c r="G202" s="383">
        <v>8.3000000000000007</v>
      </c>
      <c r="H202" s="382">
        <v>8.8999999999999986</v>
      </c>
      <c r="I202" s="376" t="s">
        <v>206</v>
      </c>
      <c r="J202" s="376" t="s">
        <v>206</v>
      </c>
      <c r="K202" s="377" t="s">
        <v>206</v>
      </c>
    </row>
    <row r="203" spans="2:11" ht="15.6">
      <c r="B203" s="380" t="s">
        <v>373</v>
      </c>
      <c r="C203" s="382">
        <v>1.7</v>
      </c>
      <c r="D203" s="383">
        <v>1.1000000000000001</v>
      </c>
      <c r="E203" s="382">
        <v>0.59999999999999987</v>
      </c>
      <c r="F203" s="382">
        <v>1.7</v>
      </c>
      <c r="G203" s="383">
        <v>1.1000000000000001</v>
      </c>
      <c r="H203" s="382">
        <v>0.59999999999999987</v>
      </c>
      <c r="I203" s="376" t="s">
        <v>206</v>
      </c>
      <c r="J203" s="376" t="s">
        <v>206</v>
      </c>
      <c r="K203" s="377" t="s">
        <v>206</v>
      </c>
    </row>
    <row r="204" spans="2:11" ht="15.6">
      <c r="B204" s="380" t="s">
        <v>374</v>
      </c>
      <c r="C204" s="382">
        <v>0.4</v>
      </c>
      <c r="D204" s="383">
        <v>0.4</v>
      </c>
      <c r="E204" s="382">
        <v>0</v>
      </c>
      <c r="F204" s="382">
        <v>0.4</v>
      </c>
      <c r="G204" s="383">
        <v>0.4</v>
      </c>
      <c r="H204" s="382">
        <v>0</v>
      </c>
      <c r="I204" s="376" t="s">
        <v>206</v>
      </c>
      <c r="J204" s="376" t="s">
        <v>206</v>
      </c>
      <c r="K204" s="377" t="s">
        <v>206</v>
      </c>
    </row>
    <row r="205" spans="2:11" ht="15.6">
      <c r="B205" s="380" t="s">
        <v>375</v>
      </c>
      <c r="C205" s="382">
        <v>1.2</v>
      </c>
      <c r="D205" s="383">
        <v>0.6</v>
      </c>
      <c r="E205" s="382">
        <v>0.6</v>
      </c>
      <c r="F205" s="382">
        <v>1.2</v>
      </c>
      <c r="G205" s="383">
        <v>0.6</v>
      </c>
      <c r="H205" s="382">
        <v>0.6</v>
      </c>
      <c r="I205" s="376" t="s">
        <v>206</v>
      </c>
      <c r="J205" s="376" t="s">
        <v>206</v>
      </c>
      <c r="K205" s="377" t="s">
        <v>206</v>
      </c>
    </row>
    <row r="206" spans="2:11" ht="15.6">
      <c r="B206" s="372" t="s">
        <v>376</v>
      </c>
      <c r="C206" s="381">
        <v>286.3</v>
      </c>
      <c r="D206" s="381">
        <v>142.6</v>
      </c>
      <c r="E206" s="381">
        <v>143.70000000000002</v>
      </c>
      <c r="F206" s="381">
        <v>286.3</v>
      </c>
      <c r="G206" s="381">
        <v>142.6</v>
      </c>
      <c r="H206" s="381">
        <v>143.70000000000002</v>
      </c>
      <c r="I206" s="376" t="s">
        <v>206</v>
      </c>
      <c r="J206" s="376" t="s">
        <v>206</v>
      </c>
      <c r="K206" s="377" t="s">
        <v>206</v>
      </c>
    </row>
    <row r="207" spans="2:11" ht="15.6">
      <c r="B207" s="380" t="s">
        <v>377</v>
      </c>
      <c r="C207" s="382">
        <v>11.1</v>
      </c>
      <c r="D207" s="383">
        <v>5.7</v>
      </c>
      <c r="E207" s="382">
        <v>5.3999999999999995</v>
      </c>
      <c r="F207" s="382">
        <v>11.1</v>
      </c>
      <c r="G207" s="383">
        <v>5.7</v>
      </c>
      <c r="H207" s="382">
        <v>5.3999999999999995</v>
      </c>
      <c r="I207" s="376" t="s">
        <v>206</v>
      </c>
      <c r="J207" s="376" t="s">
        <v>206</v>
      </c>
      <c r="K207" s="377" t="s">
        <v>206</v>
      </c>
    </row>
    <row r="208" spans="2:11" ht="15.6">
      <c r="B208" s="372" t="s">
        <v>378</v>
      </c>
      <c r="C208" s="381">
        <v>247.6</v>
      </c>
      <c r="D208" s="381">
        <v>120.5</v>
      </c>
      <c r="E208" s="381">
        <v>127.1</v>
      </c>
      <c r="F208" s="381">
        <v>247.6</v>
      </c>
      <c r="G208" s="381">
        <v>120.5</v>
      </c>
      <c r="H208" s="381">
        <v>127.1</v>
      </c>
      <c r="I208" s="376" t="s">
        <v>206</v>
      </c>
      <c r="J208" s="376" t="s">
        <v>206</v>
      </c>
      <c r="K208" s="377" t="s">
        <v>206</v>
      </c>
    </row>
    <row r="209" spans="1:11" ht="15.6">
      <c r="B209" s="372"/>
      <c r="C209" s="384"/>
      <c r="D209" s="385"/>
      <c r="E209" s="385"/>
      <c r="F209" s="386"/>
      <c r="G209" s="386"/>
      <c r="H209" s="386"/>
      <c r="I209" s="386"/>
      <c r="J209" s="386"/>
      <c r="K209" s="387"/>
    </row>
    <row r="210" spans="1:11" ht="15.6">
      <c r="A210" t="s">
        <v>906</v>
      </c>
      <c r="B210" s="372" t="s">
        <v>379</v>
      </c>
      <c r="C210" s="381">
        <v>572.6</v>
      </c>
      <c r="D210" s="381">
        <v>284.5</v>
      </c>
      <c r="E210" s="381">
        <v>288.10000000000002</v>
      </c>
      <c r="F210" s="381">
        <v>526.20000000000005</v>
      </c>
      <c r="G210" s="381">
        <v>260.7</v>
      </c>
      <c r="H210" s="381">
        <v>265.50000000000006</v>
      </c>
      <c r="I210" s="381">
        <v>46.399999999999977</v>
      </c>
      <c r="J210" s="381">
        <v>23.800000000000004</v>
      </c>
      <c r="K210" s="388">
        <v>22.599999999999973</v>
      </c>
    </row>
    <row r="211" spans="1:11" ht="15.6">
      <c r="B211" s="378" t="s">
        <v>301</v>
      </c>
      <c r="C211" s="382"/>
      <c r="D211" s="382"/>
      <c r="E211" s="382"/>
      <c r="F211" s="382"/>
      <c r="G211" s="382"/>
      <c r="H211" s="382"/>
      <c r="I211" s="382"/>
      <c r="J211" s="382"/>
      <c r="K211" s="389"/>
    </row>
    <row r="212" spans="1:11" ht="15.6">
      <c r="B212" s="372" t="s">
        <v>380</v>
      </c>
      <c r="C212" s="381">
        <v>16.899999999999999</v>
      </c>
      <c r="D212" s="381">
        <v>8.4</v>
      </c>
      <c r="E212" s="381">
        <v>8.4999999999999982</v>
      </c>
      <c r="F212" s="381">
        <v>8.8000000000000007</v>
      </c>
      <c r="G212" s="390">
        <v>4.3</v>
      </c>
      <c r="H212" s="381">
        <v>4.5000000000000009</v>
      </c>
      <c r="I212" s="381">
        <v>8.0999999999999979</v>
      </c>
      <c r="J212" s="381">
        <v>4.1000000000000005</v>
      </c>
      <c r="K212" s="391">
        <v>3.9999999999999973</v>
      </c>
    </row>
    <row r="213" spans="1:11" ht="15.6">
      <c r="B213" s="380" t="s">
        <v>381</v>
      </c>
      <c r="C213" s="382">
        <v>1.6</v>
      </c>
      <c r="D213" s="383">
        <v>0.8</v>
      </c>
      <c r="E213" s="382">
        <v>0.8</v>
      </c>
      <c r="F213" s="382">
        <v>1.6</v>
      </c>
      <c r="G213" s="383">
        <v>0.8</v>
      </c>
      <c r="H213" s="382">
        <v>0.8</v>
      </c>
      <c r="I213" s="376" t="s">
        <v>206</v>
      </c>
      <c r="J213" s="376" t="s">
        <v>206</v>
      </c>
      <c r="K213" s="377" t="s">
        <v>206</v>
      </c>
    </row>
    <row r="214" spans="1:11" ht="15.6">
      <c r="B214" s="380" t="s">
        <v>382</v>
      </c>
      <c r="C214" s="382">
        <v>1.4</v>
      </c>
      <c r="D214" s="383">
        <v>0.7</v>
      </c>
      <c r="E214" s="382">
        <v>0.7</v>
      </c>
      <c r="F214" s="382">
        <v>1.4</v>
      </c>
      <c r="G214" s="383">
        <v>0.7</v>
      </c>
      <c r="H214" s="382">
        <v>0.7</v>
      </c>
      <c r="I214" s="376" t="s">
        <v>206</v>
      </c>
      <c r="J214" s="376" t="s">
        <v>206</v>
      </c>
      <c r="K214" s="377" t="s">
        <v>206</v>
      </c>
    </row>
    <row r="215" spans="1:11" ht="15.6">
      <c r="B215" s="380" t="s">
        <v>383</v>
      </c>
      <c r="C215" s="382">
        <v>3.7</v>
      </c>
      <c r="D215" s="383">
        <v>1.8</v>
      </c>
      <c r="E215" s="382">
        <v>1.9000000000000001</v>
      </c>
      <c r="F215" s="382">
        <v>3.7</v>
      </c>
      <c r="G215" s="383">
        <v>1.8</v>
      </c>
      <c r="H215" s="382">
        <v>1.9000000000000001</v>
      </c>
      <c r="I215" s="376" t="s">
        <v>206</v>
      </c>
      <c r="J215" s="376" t="s">
        <v>206</v>
      </c>
      <c r="K215" s="377" t="s">
        <v>206</v>
      </c>
    </row>
    <row r="216" spans="1:11" ht="15.6">
      <c r="B216" s="380" t="s">
        <v>384</v>
      </c>
      <c r="C216" s="382">
        <v>2.1</v>
      </c>
      <c r="D216" s="383">
        <v>1</v>
      </c>
      <c r="E216" s="382">
        <v>1.1000000000000001</v>
      </c>
      <c r="F216" s="382">
        <v>2.1</v>
      </c>
      <c r="G216" s="383">
        <v>1</v>
      </c>
      <c r="H216" s="382">
        <v>1.1000000000000001</v>
      </c>
      <c r="I216" s="376" t="s">
        <v>206</v>
      </c>
      <c r="J216" s="376" t="s">
        <v>206</v>
      </c>
      <c r="K216" s="377" t="s">
        <v>206</v>
      </c>
    </row>
    <row r="217" spans="1:11" ht="15.6">
      <c r="B217" s="380"/>
      <c r="C217" s="392"/>
      <c r="D217" s="392"/>
      <c r="E217" s="392"/>
      <c r="F217" s="392"/>
      <c r="G217" s="392"/>
      <c r="H217" s="392"/>
      <c r="I217" s="392"/>
      <c r="J217" s="392"/>
      <c r="K217" s="393"/>
    </row>
    <row r="218" spans="1:11" ht="15.6">
      <c r="B218" s="372" t="s">
        <v>385</v>
      </c>
      <c r="C218" s="381">
        <v>212.6</v>
      </c>
      <c r="D218" s="381">
        <v>106.7</v>
      </c>
      <c r="E218" s="381">
        <v>105.89999999999999</v>
      </c>
      <c r="F218" s="381">
        <v>174.3</v>
      </c>
      <c r="G218" s="390">
        <v>87</v>
      </c>
      <c r="H218" s="381">
        <v>87.300000000000011</v>
      </c>
      <c r="I218" s="381">
        <v>38.299999999999983</v>
      </c>
      <c r="J218" s="381">
        <v>19.700000000000003</v>
      </c>
      <c r="K218" s="391">
        <v>18.59999999999998</v>
      </c>
    </row>
    <row r="219" spans="1:11" ht="15.6">
      <c r="B219" s="380" t="s">
        <v>386</v>
      </c>
      <c r="C219" s="382">
        <v>100.2</v>
      </c>
      <c r="D219" s="383">
        <v>49.5</v>
      </c>
      <c r="E219" s="382">
        <v>50.7</v>
      </c>
      <c r="F219" s="382">
        <v>100.2</v>
      </c>
      <c r="G219" s="383">
        <v>49.5</v>
      </c>
      <c r="H219" s="382">
        <v>50.7</v>
      </c>
      <c r="I219" s="376" t="s">
        <v>206</v>
      </c>
      <c r="J219" s="376" t="s">
        <v>206</v>
      </c>
      <c r="K219" s="377" t="s">
        <v>206</v>
      </c>
    </row>
    <row r="220" spans="1:11" ht="15.6">
      <c r="B220" s="380" t="s">
        <v>387</v>
      </c>
      <c r="C220" s="382">
        <v>4.4000000000000004</v>
      </c>
      <c r="D220" s="383">
        <v>2.2000000000000002</v>
      </c>
      <c r="E220" s="382">
        <v>2.2000000000000002</v>
      </c>
      <c r="F220" s="382">
        <v>4.4000000000000004</v>
      </c>
      <c r="G220" s="383">
        <v>2.2000000000000002</v>
      </c>
      <c r="H220" s="382">
        <v>2.2000000000000002</v>
      </c>
      <c r="I220" s="376" t="s">
        <v>206</v>
      </c>
      <c r="J220" s="376" t="s">
        <v>206</v>
      </c>
      <c r="K220" s="377" t="s">
        <v>206</v>
      </c>
    </row>
    <row r="221" spans="1:11" ht="15.6">
      <c r="B221" s="380" t="s">
        <v>388</v>
      </c>
      <c r="C221" s="382">
        <v>8.3000000000000007</v>
      </c>
      <c r="D221" s="383">
        <v>4.3</v>
      </c>
      <c r="E221" s="382">
        <v>4.0000000000000009</v>
      </c>
      <c r="F221" s="382">
        <v>8.3000000000000007</v>
      </c>
      <c r="G221" s="383">
        <v>4.3</v>
      </c>
      <c r="H221" s="382">
        <v>4.0000000000000009</v>
      </c>
      <c r="I221" s="376" t="s">
        <v>206</v>
      </c>
      <c r="J221" s="376" t="s">
        <v>206</v>
      </c>
      <c r="K221" s="377" t="s">
        <v>206</v>
      </c>
    </row>
    <row r="222" spans="1:11" ht="15.6">
      <c r="B222" s="380" t="s">
        <v>389</v>
      </c>
      <c r="C222" s="382">
        <v>5</v>
      </c>
      <c r="D222" s="383">
        <v>2.6</v>
      </c>
      <c r="E222" s="382">
        <v>2.4</v>
      </c>
      <c r="F222" s="382">
        <v>5</v>
      </c>
      <c r="G222" s="383">
        <v>2.6</v>
      </c>
      <c r="H222" s="382">
        <v>2.4</v>
      </c>
      <c r="I222" s="376" t="s">
        <v>206</v>
      </c>
      <c r="J222" s="376" t="s">
        <v>206</v>
      </c>
      <c r="K222" s="377" t="s">
        <v>206</v>
      </c>
    </row>
    <row r="223" spans="1:11" ht="15.6">
      <c r="B223" s="380" t="s">
        <v>390</v>
      </c>
      <c r="C223" s="382">
        <v>2.9</v>
      </c>
      <c r="D223" s="383">
        <v>1.5</v>
      </c>
      <c r="E223" s="382">
        <v>1.4</v>
      </c>
      <c r="F223" s="382">
        <v>2.9</v>
      </c>
      <c r="G223" s="383">
        <v>1.5</v>
      </c>
      <c r="H223" s="382">
        <v>1.4</v>
      </c>
      <c r="I223" s="376" t="s">
        <v>206</v>
      </c>
      <c r="J223" s="376" t="s">
        <v>206</v>
      </c>
      <c r="K223" s="377" t="s">
        <v>206</v>
      </c>
    </row>
    <row r="224" spans="1:11" ht="15.6">
      <c r="B224" s="380" t="s">
        <v>391</v>
      </c>
      <c r="C224" s="382">
        <v>9.9</v>
      </c>
      <c r="D224" s="383">
        <v>5</v>
      </c>
      <c r="E224" s="382">
        <v>4.9000000000000004</v>
      </c>
      <c r="F224" s="382">
        <v>9.9</v>
      </c>
      <c r="G224" s="383">
        <v>5</v>
      </c>
      <c r="H224" s="382">
        <v>4.9000000000000004</v>
      </c>
      <c r="I224" s="376" t="s">
        <v>206</v>
      </c>
      <c r="J224" s="376" t="s">
        <v>206</v>
      </c>
      <c r="K224" s="377" t="s">
        <v>206</v>
      </c>
    </row>
    <row r="225" spans="1:11" ht="15.6">
      <c r="B225" s="380" t="s">
        <v>392</v>
      </c>
      <c r="C225" s="382">
        <v>10.5</v>
      </c>
      <c r="D225" s="383">
        <v>5.0999999999999996</v>
      </c>
      <c r="E225" s="382">
        <v>5.4</v>
      </c>
      <c r="F225" s="382">
        <v>10.5</v>
      </c>
      <c r="G225" s="383">
        <v>5.0999999999999996</v>
      </c>
      <c r="H225" s="382">
        <v>5.4</v>
      </c>
      <c r="I225" s="376" t="s">
        <v>206</v>
      </c>
      <c r="J225" s="376" t="s">
        <v>206</v>
      </c>
      <c r="K225" s="377" t="s">
        <v>206</v>
      </c>
    </row>
    <row r="226" spans="1:11" ht="15.6">
      <c r="B226" s="380" t="s">
        <v>393</v>
      </c>
      <c r="C226" s="382">
        <v>12.7</v>
      </c>
      <c r="D226" s="383">
        <v>6.5</v>
      </c>
      <c r="E226" s="382">
        <v>6.1999999999999993</v>
      </c>
      <c r="F226" s="382">
        <v>12.7</v>
      </c>
      <c r="G226" s="383">
        <v>6.5</v>
      </c>
      <c r="H226" s="382">
        <v>6.1999999999999993</v>
      </c>
      <c r="I226" s="376" t="s">
        <v>206</v>
      </c>
      <c r="J226" s="376" t="s">
        <v>206</v>
      </c>
      <c r="K226" s="377" t="s">
        <v>206</v>
      </c>
    </row>
    <row r="227" spans="1:11" ht="15.6">
      <c r="B227" s="380" t="s">
        <v>394</v>
      </c>
      <c r="C227" s="382">
        <v>20.399999999999999</v>
      </c>
      <c r="D227" s="383">
        <v>10.3</v>
      </c>
      <c r="E227" s="382">
        <v>10.099999999999998</v>
      </c>
      <c r="F227" s="382">
        <v>20.399999999999999</v>
      </c>
      <c r="G227" s="383">
        <v>10.3</v>
      </c>
      <c r="H227" s="382">
        <v>10.099999999999998</v>
      </c>
      <c r="I227" s="376" t="s">
        <v>206</v>
      </c>
      <c r="J227" s="376" t="s">
        <v>206</v>
      </c>
      <c r="K227" s="377" t="s">
        <v>206</v>
      </c>
    </row>
    <row r="228" spans="1:11" ht="15.6">
      <c r="B228" s="380"/>
      <c r="C228" s="385"/>
      <c r="D228" s="385"/>
      <c r="E228" s="385"/>
      <c r="F228" s="385"/>
      <c r="G228" s="385"/>
      <c r="H228" s="385"/>
      <c r="I228" s="385"/>
      <c r="J228" s="385"/>
      <c r="K228" s="394"/>
    </row>
    <row r="229" spans="1:11" ht="15.6">
      <c r="B229" s="372" t="s">
        <v>395</v>
      </c>
      <c r="C229" s="381">
        <v>343.1</v>
      </c>
      <c r="D229" s="381">
        <v>169.4</v>
      </c>
      <c r="E229" s="381">
        <v>173.70000000000002</v>
      </c>
      <c r="F229" s="381">
        <v>343.1</v>
      </c>
      <c r="G229" s="381">
        <v>169.4</v>
      </c>
      <c r="H229" s="381">
        <v>173.70000000000002</v>
      </c>
      <c r="I229" s="376" t="s">
        <v>206</v>
      </c>
      <c r="J229" s="376" t="s">
        <v>206</v>
      </c>
      <c r="K229" s="377" t="s">
        <v>206</v>
      </c>
    </row>
    <row r="230" spans="1:11" ht="15.6">
      <c r="B230" s="380" t="s">
        <v>395</v>
      </c>
      <c r="C230" s="382">
        <v>306.10000000000002</v>
      </c>
      <c r="D230" s="383">
        <v>151</v>
      </c>
      <c r="E230" s="382">
        <v>155.10000000000002</v>
      </c>
      <c r="F230" s="382">
        <v>306.10000000000002</v>
      </c>
      <c r="G230" s="383">
        <v>151</v>
      </c>
      <c r="H230" s="382">
        <v>155.10000000000002</v>
      </c>
      <c r="I230" s="376" t="s">
        <v>206</v>
      </c>
      <c r="J230" s="376" t="s">
        <v>206</v>
      </c>
      <c r="K230" s="377" t="s">
        <v>206</v>
      </c>
    </row>
    <row r="231" spans="1:11" ht="15.6">
      <c r="B231" s="380" t="s">
        <v>396</v>
      </c>
      <c r="C231" s="382">
        <v>13.6</v>
      </c>
      <c r="D231" s="383">
        <v>6.7</v>
      </c>
      <c r="E231" s="382">
        <v>6.8999999999999995</v>
      </c>
      <c r="F231" s="382">
        <v>13.6</v>
      </c>
      <c r="G231" s="383">
        <v>6.7</v>
      </c>
      <c r="H231" s="382">
        <v>6.8999999999999995</v>
      </c>
      <c r="I231" s="376" t="s">
        <v>206</v>
      </c>
      <c r="J231" s="376" t="s">
        <v>206</v>
      </c>
      <c r="K231" s="377" t="s">
        <v>206</v>
      </c>
    </row>
    <row r="232" spans="1:11" ht="15.6">
      <c r="B232" s="380" t="s">
        <v>397</v>
      </c>
      <c r="C232" s="382">
        <v>23.4</v>
      </c>
      <c r="D232" s="383">
        <v>11.7</v>
      </c>
      <c r="E232" s="382">
        <v>11.7</v>
      </c>
      <c r="F232" s="382">
        <v>23.4</v>
      </c>
      <c r="G232" s="383">
        <v>11.7</v>
      </c>
      <c r="H232" s="382">
        <v>11.7</v>
      </c>
      <c r="I232" s="376" t="s">
        <v>206</v>
      </c>
      <c r="J232" s="376" t="s">
        <v>206</v>
      </c>
      <c r="K232" s="377" t="s">
        <v>206</v>
      </c>
    </row>
    <row r="233" spans="1:11" ht="15.6">
      <c r="B233" s="380"/>
      <c r="C233" s="395"/>
      <c r="D233" s="395"/>
      <c r="E233" s="395"/>
      <c r="F233" s="396"/>
      <c r="G233" s="397"/>
      <c r="H233" s="397"/>
      <c r="I233" s="397"/>
      <c r="J233" s="397"/>
      <c r="K233" s="398"/>
    </row>
    <row r="234" spans="1:11" ht="15.6">
      <c r="A234" t="s">
        <v>906</v>
      </c>
      <c r="B234" s="372" t="s">
        <v>398</v>
      </c>
      <c r="C234" s="399">
        <v>1284.2</v>
      </c>
      <c r="D234" s="399">
        <v>641.4</v>
      </c>
      <c r="E234" s="399">
        <v>642.80000000000007</v>
      </c>
      <c r="F234" s="381">
        <v>587.79999999999995</v>
      </c>
      <c r="G234" s="381">
        <v>289.39999999999998</v>
      </c>
      <c r="H234" s="399">
        <v>298.39999999999998</v>
      </c>
      <c r="I234" s="381">
        <v>696.39999999999986</v>
      </c>
      <c r="J234" s="381">
        <v>351.99999999999994</v>
      </c>
      <c r="K234" s="388">
        <v>344.4</v>
      </c>
    </row>
    <row r="235" spans="1:11" ht="15.6">
      <c r="B235" s="378" t="s">
        <v>301</v>
      </c>
      <c r="C235" s="373"/>
      <c r="D235" s="373"/>
      <c r="E235" s="373"/>
      <c r="F235" s="373"/>
      <c r="G235" s="373"/>
      <c r="H235" s="373"/>
      <c r="I235" s="373"/>
      <c r="J235" s="373"/>
      <c r="K235" s="379"/>
    </row>
    <row r="236" spans="1:11" ht="15.6">
      <c r="B236" s="372" t="s">
        <v>399</v>
      </c>
      <c r="C236" s="381">
        <v>334</v>
      </c>
      <c r="D236" s="381">
        <v>163.1</v>
      </c>
      <c r="E236" s="381">
        <v>170.9</v>
      </c>
      <c r="F236" s="381">
        <v>334</v>
      </c>
      <c r="G236" s="381">
        <v>163.1</v>
      </c>
      <c r="H236" s="381">
        <v>170.9</v>
      </c>
      <c r="I236" s="376" t="s">
        <v>206</v>
      </c>
      <c r="J236" s="376" t="s">
        <v>206</v>
      </c>
      <c r="K236" s="377" t="s">
        <v>206</v>
      </c>
    </row>
    <row r="237" spans="1:11" ht="15.6">
      <c r="B237" s="400" t="s">
        <v>400</v>
      </c>
      <c r="C237" s="373"/>
      <c r="D237" s="373"/>
      <c r="E237" s="373"/>
      <c r="F237" s="373"/>
      <c r="G237" s="373"/>
      <c r="H237" s="373"/>
      <c r="I237" s="401"/>
      <c r="J237" s="401"/>
      <c r="K237" s="402"/>
    </row>
    <row r="238" spans="1:11" ht="15.6">
      <c r="B238" s="403" t="s">
        <v>369</v>
      </c>
      <c r="C238" s="382">
        <v>152.5</v>
      </c>
      <c r="D238" s="382">
        <v>74.400000000000006</v>
      </c>
      <c r="E238" s="382">
        <v>78.099999999999994</v>
      </c>
      <c r="F238" s="382">
        <v>152.5</v>
      </c>
      <c r="G238" s="382">
        <v>74.400000000000006</v>
      </c>
      <c r="H238" s="382">
        <v>78.099999999999994</v>
      </c>
      <c r="I238" s="376" t="s">
        <v>206</v>
      </c>
      <c r="J238" s="376" t="s">
        <v>206</v>
      </c>
      <c r="K238" s="377" t="s">
        <v>206</v>
      </c>
    </row>
    <row r="239" spans="1:11" ht="15.6">
      <c r="B239" s="403" t="s">
        <v>401</v>
      </c>
      <c r="C239" s="382">
        <v>181.5</v>
      </c>
      <c r="D239" s="382">
        <v>88.7</v>
      </c>
      <c r="E239" s="382">
        <v>92.8</v>
      </c>
      <c r="F239" s="382">
        <v>181.5</v>
      </c>
      <c r="G239" s="382">
        <v>88.7</v>
      </c>
      <c r="H239" s="382">
        <v>92.8</v>
      </c>
      <c r="I239" s="376" t="s">
        <v>206</v>
      </c>
      <c r="J239" s="376" t="s">
        <v>206</v>
      </c>
      <c r="K239" s="377" t="s">
        <v>206</v>
      </c>
    </row>
    <row r="240" spans="1:11" ht="15.6">
      <c r="B240" s="380" t="s">
        <v>402</v>
      </c>
      <c r="C240" s="382">
        <v>0.4</v>
      </c>
      <c r="D240" s="383">
        <v>0.2</v>
      </c>
      <c r="E240" s="382">
        <v>0.2</v>
      </c>
      <c r="F240" s="382">
        <v>0.4</v>
      </c>
      <c r="G240" s="383">
        <v>0.2</v>
      </c>
      <c r="H240" s="382">
        <v>0.2</v>
      </c>
      <c r="I240" s="376" t="s">
        <v>206</v>
      </c>
      <c r="J240" s="376" t="s">
        <v>206</v>
      </c>
      <c r="K240" s="377" t="s">
        <v>206</v>
      </c>
    </row>
    <row r="241" spans="2:11" ht="15.6">
      <c r="B241" s="380" t="s">
        <v>403</v>
      </c>
      <c r="C241" s="382" t="s">
        <v>206</v>
      </c>
      <c r="D241" s="382" t="s">
        <v>206</v>
      </c>
      <c r="E241" s="382" t="s">
        <v>206</v>
      </c>
      <c r="F241" s="382" t="s">
        <v>206</v>
      </c>
      <c r="G241" s="382" t="s">
        <v>206</v>
      </c>
      <c r="H241" s="382" t="s">
        <v>206</v>
      </c>
      <c r="I241" s="376" t="s">
        <v>206</v>
      </c>
      <c r="J241" s="376" t="s">
        <v>206</v>
      </c>
      <c r="K241" s="377" t="s">
        <v>206</v>
      </c>
    </row>
    <row r="242" spans="2:11" ht="15.6">
      <c r="B242" s="380" t="s">
        <v>404</v>
      </c>
      <c r="C242" s="382">
        <v>4.4000000000000004</v>
      </c>
      <c r="D242" s="383">
        <v>2.2000000000000002</v>
      </c>
      <c r="E242" s="382">
        <v>2.2000000000000002</v>
      </c>
      <c r="F242" s="382">
        <v>4.4000000000000004</v>
      </c>
      <c r="G242" s="383">
        <v>2.2000000000000002</v>
      </c>
      <c r="H242" s="382">
        <v>2.2000000000000002</v>
      </c>
      <c r="I242" s="376" t="s">
        <v>206</v>
      </c>
      <c r="J242" s="376" t="s">
        <v>206</v>
      </c>
      <c r="K242" s="377" t="s">
        <v>206</v>
      </c>
    </row>
    <row r="243" spans="2:11" ht="15.6">
      <c r="B243" s="380" t="s">
        <v>405</v>
      </c>
      <c r="C243" s="382">
        <v>14.3</v>
      </c>
      <c r="D243" s="383">
        <v>7</v>
      </c>
      <c r="E243" s="382">
        <v>7.3000000000000007</v>
      </c>
      <c r="F243" s="382">
        <v>14.3</v>
      </c>
      <c r="G243" s="383">
        <v>7</v>
      </c>
      <c r="H243" s="382">
        <v>7.3000000000000007</v>
      </c>
      <c r="I243" s="376" t="s">
        <v>206</v>
      </c>
      <c r="J243" s="376" t="s">
        <v>206</v>
      </c>
      <c r="K243" s="377" t="s">
        <v>206</v>
      </c>
    </row>
    <row r="244" spans="2:11" ht="15.6">
      <c r="B244" s="380" t="s">
        <v>406</v>
      </c>
      <c r="C244" s="382">
        <v>4.8</v>
      </c>
      <c r="D244" s="383">
        <v>2.2999999999999998</v>
      </c>
      <c r="E244" s="382">
        <v>2.5</v>
      </c>
      <c r="F244" s="382">
        <v>4.8</v>
      </c>
      <c r="G244" s="383">
        <v>2.2999999999999998</v>
      </c>
      <c r="H244" s="382">
        <v>2.5</v>
      </c>
      <c r="I244" s="376" t="s">
        <v>206</v>
      </c>
      <c r="J244" s="376" t="s">
        <v>206</v>
      </c>
      <c r="K244" s="377" t="s">
        <v>206</v>
      </c>
    </row>
    <row r="245" spans="2:11" ht="15.6">
      <c r="B245" s="380" t="s">
        <v>407</v>
      </c>
      <c r="C245" s="382">
        <v>11.2</v>
      </c>
      <c r="D245" s="383">
        <v>5.5</v>
      </c>
      <c r="E245" s="382">
        <v>5.6999999999999993</v>
      </c>
      <c r="F245" s="382">
        <v>11.2</v>
      </c>
      <c r="G245" s="383">
        <v>5.5</v>
      </c>
      <c r="H245" s="382">
        <v>5.6999999999999993</v>
      </c>
      <c r="I245" s="376" t="s">
        <v>206</v>
      </c>
      <c r="J245" s="376" t="s">
        <v>206</v>
      </c>
      <c r="K245" s="377" t="s">
        <v>206</v>
      </c>
    </row>
    <row r="246" spans="2:11" ht="15.6">
      <c r="B246" s="380" t="s">
        <v>408</v>
      </c>
      <c r="C246" s="382">
        <v>8.5</v>
      </c>
      <c r="D246" s="383">
        <v>4.0999999999999996</v>
      </c>
      <c r="E246" s="382">
        <v>4.4000000000000004</v>
      </c>
      <c r="F246" s="382">
        <v>8.5</v>
      </c>
      <c r="G246" s="383">
        <v>4.0999999999999996</v>
      </c>
      <c r="H246" s="382">
        <v>4.4000000000000004</v>
      </c>
      <c r="I246" s="376" t="s">
        <v>206</v>
      </c>
      <c r="J246" s="376" t="s">
        <v>206</v>
      </c>
      <c r="K246" s="377" t="s">
        <v>206</v>
      </c>
    </row>
    <row r="247" spans="2:11" ht="15.6">
      <c r="B247" s="380"/>
      <c r="C247" s="385"/>
      <c r="D247" s="385"/>
      <c r="E247" s="385"/>
      <c r="F247" s="385"/>
      <c r="G247" s="385"/>
      <c r="H247" s="385"/>
      <c r="I247" s="385"/>
      <c r="J247" s="385"/>
      <c r="K247" s="394"/>
    </row>
    <row r="248" spans="2:11" ht="15.6">
      <c r="B248" s="372" t="s">
        <v>409</v>
      </c>
      <c r="C248" s="381">
        <v>97.6</v>
      </c>
      <c r="D248" s="381">
        <v>48.1</v>
      </c>
      <c r="E248" s="381">
        <v>49.499999999999993</v>
      </c>
      <c r="F248" s="381">
        <v>21.9</v>
      </c>
      <c r="G248" s="390">
        <v>10.6</v>
      </c>
      <c r="H248" s="381">
        <v>11.299999999999999</v>
      </c>
      <c r="I248" s="381">
        <v>75.699999999999989</v>
      </c>
      <c r="J248" s="381">
        <v>37.5</v>
      </c>
      <c r="K248" s="391">
        <v>38.199999999999989</v>
      </c>
    </row>
    <row r="249" spans="2:11" ht="15.6">
      <c r="B249" s="380" t="s">
        <v>410</v>
      </c>
      <c r="C249" s="382">
        <v>21.9</v>
      </c>
      <c r="D249" s="383">
        <v>10.6</v>
      </c>
      <c r="E249" s="382">
        <v>11.299999999999999</v>
      </c>
      <c r="F249" s="382">
        <v>21.9</v>
      </c>
      <c r="G249" s="383">
        <v>10.6</v>
      </c>
      <c r="H249" s="382">
        <v>11.299999999999999</v>
      </c>
      <c r="I249" s="376" t="s">
        <v>206</v>
      </c>
      <c r="J249" s="376" t="s">
        <v>206</v>
      </c>
      <c r="K249" s="377" t="s">
        <v>206</v>
      </c>
    </row>
    <row r="250" spans="2:11" ht="15.6">
      <c r="B250" s="380"/>
      <c r="C250" s="392"/>
      <c r="D250" s="392"/>
      <c r="E250" s="392"/>
      <c r="F250" s="392"/>
      <c r="G250" s="392"/>
      <c r="H250" s="392"/>
      <c r="I250" s="392"/>
      <c r="J250" s="392"/>
      <c r="K250" s="393"/>
    </row>
    <row r="251" spans="2:11" ht="15.6">
      <c r="B251" s="372" t="s">
        <v>411</v>
      </c>
      <c r="C251" s="381">
        <v>87.9</v>
      </c>
      <c r="D251" s="381">
        <v>43.4</v>
      </c>
      <c r="E251" s="381">
        <v>44.500000000000007</v>
      </c>
      <c r="F251" s="381">
        <v>21.4</v>
      </c>
      <c r="G251" s="390">
        <v>10.6</v>
      </c>
      <c r="H251" s="381">
        <v>10.799999999999999</v>
      </c>
      <c r="I251" s="381">
        <v>66.5</v>
      </c>
      <c r="J251" s="381">
        <v>32.799999999999997</v>
      </c>
      <c r="K251" s="391">
        <v>33.700000000000003</v>
      </c>
    </row>
    <row r="252" spans="2:11" ht="15.6">
      <c r="B252" s="380" t="s">
        <v>412</v>
      </c>
      <c r="C252" s="382">
        <v>12.8</v>
      </c>
      <c r="D252" s="383">
        <v>6.4</v>
      </c>
      <c r="E252" s="382">
        <v>6.4</v>
      </c>
      <c r="F252" s="382">
        <v>12.8</v>
      </c>
      <c r="G252" s="383">
        <v>6.4</v>
      </c>
      <c r="H252" s="382">
        <v>6.4</v>
      </c>
      <c r="I252" s="376" t="s">
        <v>206</v>
      </c>
      <c r="J252" s="376" t="s">
        <v>206</v>
      </c>
      <c r="K252" s="377" t="s">
        <v>206</v>
      </c>
    </row>
    <row r="253" spans="2:11" ht="15.6">
      <c r="B253" s="380" t="s">
        <v>413</v>
      </c>
      <c r="C253" s="382">
        <v>1.1000000000000001</v>
      </c>
      <c r="D253" s="383">
        <v>0.6</v>
      </c>
      <c r="E253" s="382">
        <v>0.50000000000000011</v>
      </c>
      <c r="F253" s="382">
        <v>1.1000000000000001</v>
      </c>
      <c r="G253" s="383">
        <v>0.6</v>
      </c>
      <c r="H253" s="382">
        <v>0.50000000000000011</v>
      </c>
      <c r="I253" s="376" t="s">
        <v>206</v>
      </c>
      <c r="J253" s="376" t="s">
        <v>206</v>
      </c>
      <c r="K253" s="377" t="s">
        <v>206</v>
      </c>
    </row>
    <row r="254" spans="2:11" ht="15.6">
      <c r="B254" s="380" t="s">
        <v>414</v>
      </c>
      <c r="C254" s="382">
        <v>0</v>
      </c>
      <c r="D254" s="383">
        <v>0</v>
      </c>
      <c r="E254" s="382">
        <v>0</v>
      </c>
      <c r="F254" s="382">
        <v>0</v>
      </c>
      <c r="G254" s="383">
        <v>0</v>
      </c>
      <c r="H254" s="382">
        <v>0</v>
      </c>
      <c r="I254" s="376" t="s">
        <v>206</v>
      </c>
      <c r="J254" s="376" t="s">
        <v>206</v>
      </c>
      <c r="K254" s="377" t="s">
        <v>206</v>
      </c>
    </row>
    <row r="255" spans="2:11" ht="15.6">
      <c r="B255" s="380" t="s">
        <v>415</v>
      </c>
      <c r="C255" s="382">
        <v>0.6</v>
      </c>
      <c r="D255" s="383">
        <v>0.3</v>
      </c>
      <c r="E255" s="382">
        <v>0.3</v>
      </c>
      <c r="F255" s="382">
        <v>0.6</v>
      </c>
      <c r="G255" s="383">
        <v>0.3</v>
      </c>
      <c r="H255" s="382">
        <v>0.3</v>
      </c>
      <c r="I255" s="376" t="s">
        <v>206</v>
      </c>
      <c r="J255" s="376" t="s">
        <v>206</v>
      </c>
      <c r="K255" s="377" t="s">
        <v>206</v>
      </c>
    </row>
    <row r="256" spans="2:11" ht="15.6">
      <c r="B256" s="380" t="s">
        <v>416</v>
      </c>
      <c r="C256" s="382">
        <v>0.2</v>
      </c>
      <c r="D256" s="383">
        <v>0.1</v>
      </c>
      <c r="E256" s="382">
        <v>0.1</v>
      </c>
      <c r="F256" s="382">
        <v>0.2</v>
      </c>
      <c r="G256" s="383">
        <v>0.1</v>
      </c>
      <c r="H256" s="382">
        <v>0.1</v>
      </c>
      <c r="I256" s="376" t="s">
        <v>206</v>
      </c>
      <c r="J256" s="376" t="s">
        <v>206</v>
      </c>
      <c r="K256" s="377" t="s">
        <v>206</v>
      </c>
    </row>
    <row r="257" spans="2:11" ht="15.6">
      <c r="B257" s="380" t="s">
        <v>417</v>
      </c>
      <c r="C257" s="382">
        <v>0.2</v>
      </c>
      <c r="D257" s="383">
        <v>0.1</v>
      </c>
      <c r="E257" s="382">
        <v>0.1</v>
      </c>
      <c r="F257" s="382">
        <v>0.2</v>
      </c>
      <c r="G257" s="383">
        <v>0.1</v>
      </c>
      <c r="H257" s="382">
        <v>0.1</v>
      </c>
      <c r="I257" s="376" t="s">
        <v>206</v>
      </c>
      <c r="J257" s="376" t="s">
        <v>206</v>
      </c>
      <c r="K257" s="377" t="s">
        <v>206</v>
      </c>
    </row>
    <row r="258" spans="2:11" ht="15.6">
      <c r="B258" s="380" t="s">
        <v>418</v>
      </c>
      <c r="C258" s="382">
        <v>1.7</v>
      </c>
      <c r="D258" s="383">
        <v>0.8</v>
      </c>
      <c r="E258" s="382">
        <v>0.89999999999999991</v>
      </c>
      <c r="F258" s="382">
        <v>1.7</v>
      </c>
      <c r="G258" s="383">
        <v>0.8</v>
      </c>
      <c r="H258" s="382">
        <v>0.89999999999999991</v>
      </c>
      <c r="I258" s="376" t="s">
        <v>206</v>
      </c>
      <c r="J258" s="376" t="s">
        <v>206</v>
      </c>
      <c r="K258" s="377" t="s">
        <v>206</v>
      </c>
    </row>
    <row r="259" spans="2:11" ht="15.6">
      <c r="B259" s="380" t="s">
        <v>419</v>
      </c>
      <c r="C259" s="382">
        <v>0</v>
      </c>
      <c r="D259" s="383">
        <v>0</v>
      </c>
      <c r="E259" s="382">
        <v>0</v>
      </c>
      <c r="F259" s="382">
        <v>0</v>
      </c>
      <c r="G259" s="383">
        <v>0</v>
      </c>
      <c r="H259" s="382">
        <v>0</v>
      </c>
      <c r="I259" s="376" t="s">
        <v>206</v>
      </c>
      <c r="J259" s="376" t="s">
        <v>206</v>
      </c>
      <c r="K259" s="377" t="s">
        <v>206</v>
      </c>
    </row>
    <row r="260" spans="2:11" ht="15.6">
      <c r="B260" s="380" t="s">
        <v>420</v>
      </c>
      <c r="C260" s="382">
        <v>1.8</v>
      </c>
      <c r="D260" s="383">
        <v>0.9</v>
      </c>
      <c r="E260" s="382">
        <v>0.9</v>
      </c>
      <c r="F260" s="382">
        <v>1.8</v>
      </c>
      <c r="G260" s="383">
        <v>0.9</v>
      </c>
      <c r="H260" s="382">
        <v>0.9</v>
      </c>
      <c r="I260" s="376" t="s">
        <v>206</v>
      </c>
      <c r="J260" s="376" t="s">
        <v>206</v>
      </c>
      <c r="K260" s="377" t="s">
        <v>206</v>
      </c>
    </row>
    <row r="261" spans="2:11" ht="15.6">
      <c r="B261" s="380" t="s">
        <v>421</v>
      </c>
      <c r="C261" s="382">
        <v>3</v>
      </c>
      <c r="D261" s="383">
        <v>1.4</v>
      </c>
      <c r="E261" s="382">
        <v>1.6</v>
      </c>
      <c r="F261" s="382">
        <v>3</v>
      </c>
      <c r="G261" s="383">
        <v>1.4</v>
      </c>
      <c r="H261" s="382">
        <v>1.6</v>
      </c>
      <c r="I261" s="376" t="s">
        <v>206</v>
      </c>
      <c r="J261" s="376" t="s">
        <v>206</v>
      </c>
      <c r="K261" s="377" t="s">
        <v>206</v>
      </c>
    </row>
    <row r="262" spans="2:11" ht="15.6">
      <c r="B262" s="380"/>
      <c r="C262" s="404"/>
      <c r="D262" s="404"/>
      <c r="E262" s="404"/>
      <c r="F262" s="404"/>
      <c r="G262" s="404"/>
      <c r="H262" s="404"/>
      <c r="I262" s="404"/>
      <c r="J262" s="404"/>
      <c r="K262" s="405"/>
    </row>
    <row r="263" spans="2:11" ht="15.6">
      <c r="B263" s="372" t="s">
        <v>422</v>
      </c>
      <c r="C263" s="381">
        <v>175.5</v>
      </c>
      <c r="D263" s="381">
        <v>88.8</v>
      </c>
      <c r="E263" s="381">
        <v>86.7</v>
      </c>
      <c r="F263" s="381">
        <v>29.3</v>
      </c>
      <c r="G263" s="390">
        <v>14.6</v>
      </c>
      <c r="H263" s="381">
        <v>14.700000000000001</v>
      </c>
      <c r="I263" s="381">
        <v>146.19999999999999</v>
      </c>
      <c r="J263" s="381">
        <v>74.2</v>
      </c>
      <c r="K263" s="391">
        <v>71.999999999999986</v>
      </c>
    </row>
    <row r="264" spans="2:11" ht="15.6">
      <c r="B264" s="380" t="s">
        <v>423</v>
      </c>
      <c r="C264" s="382">
        <v>14.1</v>
      </c>
      <c r="D264" s="383">
        <v>6.9</v>
      </c>
      <c r="E264" s="382">
        <v>7.1999999999999993</v>
      </c>
      <c r="F264" s="382">
        <v>14.1</v>
      </c>
      <c r="G264" s="383">
        <v>6.9</v>
      </c>
      <c r="H264" s="382">
        <v>7.1999999999999993</v>
      </c>
      <c r="I264" s="376" t="s">
        <v>206</v>
      </c>
      <c r="J264" s="376" t="s">
        <v>206</v>
      </c>
      <c r="K264" s="377" t="s">
        <v>206</v>
      </c>
    </row>
    <row r="265" spans="2:11" ht="15.6">
      <c r="B265" s="380" t="s">
        <v>424</v>
      </c>
      <c r="C265" s="382">
        <v>15.2</v>
      </c>
      <c r="D265" s="383">
        <v>7.7</v>
      </c>
      <c r="E265" s="382">
        <v>7.4999999999999991</v>
      </c>
      <c r="F265" s="382">
        <v>15.2</v>
      </c>
      <c r="G265" s="383">
        <v>7.7</v>
      </c>
      <c r="H265" s="382">
        <v>7.4999999999999991</v>
      </c>
      <c r="I265" s="376" t="s">
        <v>206</v>
      </c>
      <c r="J265" s="376" t="s">
        <v>206</v>
      </c>
      <c r="K265" s="377" t="s">
        <v>206</v>
      </c>
    </row>
    <row r="266" spans="2:11" ht="15.6">
      <c r="B266" s="380"/>
      <c r="C266" s="392"/>
      <c r="D266" s="392"/>
      <c r="E266" s="392"/>
      <c r="F266" s="392"/>
      <c r="G266" s="392"/>
      <c r="H266" s="392"/>
      <c r="I266" s="392"/>
      <c r="J266" s="392"/>
      <c r="K266" s="393"/>
    </row>
    <row r="267" spans="2:11" ht="15.6">
      <c r="B267" s="372" t="s">
        <v>425</v>
      </c>
      <c r="C267" s="381">
        <v>217.2</v>
      </c>
      <c r="D267" s="381">
        <v>110.3</v>
      </c>
      <c r="E267" s="381">
        <v>106.89999999999999</v>
      </c>
      <c r="F267" s="381">
        <v>75.400000000000006</v>
      </c>
      <c r="G267" s="390">
        <v>37.9</v>
      </c>
      <c r="H267" s="381">
        <v>37.500000000000007</v>
      </c>
      <c r="I267" s="381">
        <v>141.79999999999998</v>
      </c>
      <c r="J267" s="381">
        <v>72.400000000000006</v>
      </c>
      <c r="K267" s="391">
        <v>69.399999999999977</v>
      </c>
    </row>
    <row r="268" spans="2:11" ht="15.6">
      <c r="B268" s="380" t="s">
        <v>426</v>
      </c>
      <c r="C268" s="382">
        <v>43.4</v>
      </c>
      <c r="D268" s="383">
        <v>21.8</v>
      </c>
      <c r="E268" s="382">
        <v>21.599999999999998</v>
      </c>
      <c r="F268" s="382">
        <v>43.4</v>
      </c>
      <c r="G268" s="383">
        <v>21.8</v>
      </c>
      <c r="H268" s="382">
        <v>21.599999999999998</v>
      </c>
      <c r="I268" s="376" t="s">
        <v>206</v>
      </c>
      <c r="J268" s="376" t="s">
        <v>206</v>
      </c>
      <c r="K268" s="377" t="s">
        <v>206</v>
      </c>
    </row>
    <row r="269" spans="2:11" ht="15.6">
      <c r="B269" s="380" t="s">
        <v>427</v>
      </c>
      <c r="C269" s="382">
        <v>0.4</v>
      </c>
      <c r="D269" s="383">
        <v>0.2</v>
      </c>
      <c r="E269" s="382">
        <v>0.2</v>
      </c>
      <c r="F269" s="382">
        <v>0.4</v>
      </c>
      <c r="G269" s="383">
        <v>0.2</v>
      </c>
      <c r="H269" s="382">
        <v>0.2</v>
      </c>
      <c r="I269" s="376" t="s">
        <v>206</v>
      </c>
      <c r="J269" s="376" t="s">
        <v>206</v>
      </c>
      <c r="K269" s="377" t="s">
        <v>206</v>
      </c>
    </row>
    <row r="270" spans="2:11" ht="15.6">
      <c r="B270" s="380" t="s">
        <v>428</v>
      </c>
      <c r="C270" s="382">
        <v>0.7</v>
      </c>
      <c r="D270" s="383">
        <v>0.3</v>
      </c>
      <c r="E270" s="382">
        <v>0.39999999999999997</v>
      </c>
      <c r="F270" s="382">
        <v>0.7</v>
      </c>
      <c r="G270" s="383">
        <v>0.3</v>
      </c>
      <c r="H270" s="382">
        <v>0.39999999999999997</v>
      </c>
      <c r="I270" s="376" t="s">
        <v>206</v>
      </c>
      <c r="J270" s="376" t="s">
        <v>206</v>
      </c>
      <c r="K270" s="377" t="s">
        <v>206</v>
      </c>
    </row>
    <row r="271" spans="2:11" ht="15.6">
      <c r="B271" s="380" t="s">
        <v>429</v>
      </c>
      <c r="C271" s="382">
        <v>8.4</v>
      </c>
      <c r="D271" s="383">
        <v>4.2</v>
      </c>
      <c r="E271" s="382">
        <v>4.2</v>
      </c>
      <c r="F271" s="382">
        <v>8.4</v>
      </c>
      <c r="G271" s="383">
        <v>4.2</v>
      </c>
      <c r="H271" s="382">
        <v>4.2</v>
      </c>
      <c r="I271" s="376" t="s">
        <v>206</v>
      </c>
      <c r="J271" s="376" t="s">
        <v>206</v>
      </c>
      <c r="K271" s="377" t="s">
        <v>206</v>
      </c>
    </row>
    <row r="272" spans="2:11" ht="15.6">
      <c r="B272" s="380" t="s">
        <v>430</v>
      </c>
      <c r="C272" s="382">
        <v>1.5</v>
      </c>
      <c r="D272" s="383">
        <v>0.8</v>
      </c>
      <c r="E272" s="382">
        <v>0.7</v>
      </c>
      <c r="F272" s="382">
        <v>1.5</v>
      </c>
      <c r="G272" s="383">
        <v>0.8</v>
      </c>
      <c r="H272" s="382">
        <v>0.7</v>
      </c>
      <c r="I272" s="376" t="s">
        <v>206</v>
      </c>
      <c r="J272" s="376" t="s">
        <v>206</v>
      </c>
      <c r="K272" s="377" t="s">
        <v>206</v>
      </c>
    </row>
    <row r="273" spans="2:11" ht="15.6">
      <c r="B273" s="380" t="s">
        <v>431</v>
      </c>
      <c r="C273" s="382">
        <v>7.3</v>
      </c>
      <c r="D273" s="383">
        <v>3.6</v>
      </c>
      <c r="E273" s="382">
        <v>3.6999999999999997</v>
      </c>
      <c r="F273" s="382">
        <v>7.3</v>
      </c>
      <c r="G273" s="383">
        <v>3.6</v>
      </c>
      <c r="H273" s="382">
        <v>3.6999999999999997</v>
      </c>
      <c r="I273" s="376" t="s">
        <v>206</v>
      </c>
      <c r="J273" s="376" t="s">
        <v>206</v>
      </c>
      <c r="K273" s="377" t="s">
        <v>206</v>
      </c>
    </row>
    <row r="274" spans="2:11" ht="15.6">
      <c r="B274" s="380" t="s">
        <v>432</v>
      </c>
      <c r="C274" s="382">
        <v>5.0999999999999996</v>
      </c>
      <c r="D274" s="383">
        <v>2.6</v>
      </c>
      <c r="E274" s="382">
        <v>2.4999999999999996</v>
      </c>
      <c r="F274" s="382">
        <v>5.0999999999999996</v>
      </c>
      <c r="G274" s="383">
        <v>2.6</v>
      </c>
      <c r="H274" s="382">
        <v>2.4999999999999996</v>
      </c>
      <c r="I274" s="376" t="s">
        <v>206</v>
      </c>
      <c r="J274" s="376" t="s">
        <v>206</v>
      </c>
      <c r="K274" s="377" t="s">
        <v>206</v>
      </c>
    </row>
    <row r="275" spans="2:11" ht="15.6">
      <c r="B275" s="380" t="s">
        <v>433</v>
      </c>
      <c r="C275" s="382">
        <v>8.6</v>
      </c>
      <c r="D275" s="383">
        <v>4.4000000000000004</v>
      </c>
      <c r="E275" s="382">
        <v>4.1999999999999993</v>
      </c>
      <c r="F275" s="382">
        <v>8.6</v>
      </c>
      <c r="G275" s="383">
        <v>4.4000000000000004</v>
      </c>
      <c r="H275" s="382">
        <v>4.1999999999999993</v>
      </c>
      <c r="I275" s="376" t="s">
        <v>206</v>
      </c>
      <c r="J275" s="376" t="s">
        <v>206</v>
      </c>
      <c r="K275" s="377" t="s">
        <v>206</v>
      </c>
    </row>
    <row r="276" spans="2:11" ht="15.6">
      <c r="B276" s="380"/>
      <c r="C276" s="404"/>
      <c r="D276" s="404"/>
      <c r="E276" s="404"/>
      <c r="F276" s="404"/>
      <c r="G276" s="404"/>
      <c r="H276" s="404"/>
      <c r="I276" s="404"/>
      <c r="J276" s="404"/>
      <c r="K276" s="405"/>
    </row>
    <row r="277" spans="2:11" ht="15.6">
      <c r="B277" s="372" t="s">
        <v>434</v>
      </c>
      <c r="C277" s="381">
        <v>100.4</v>
      </c>
      <c r="D277" s="381">
        <v>50.7</v>
      </c>
      <c r="E277" s="381">
        <v>49.7</v>
      </c>
      <c r="F277" s="381">
        <v>11.7</v>
      </c>
      <c r="G277" s="390">
        <v>5.7</v>
      </c>
      <c r="H277" s="381">
        <v>5.9999999999999991</v>
      </c>
      <c r="I277" s="381">
        <v>88.7</v>
      </c>
      <c r="J277" s="381">
        <v>45</v>
      </c>
      <c r="K277" s="391">
        <v>43.7</v>
      </c>
    </row>
    <row r="278" spans="2:11" ht="15.6">
      <c r="B278" s="380" t="s">
        <v>435</v>
      </c>
      <c r="C278" s="382">
        <v>11.7</v>
      </c>
      <c r="D278" s="383">
        <v>5.7</v>
      </c>
      <c r="E278" s="382">
        <v>5.9999999999999991</v>
      </c>
      <c r="F278" s="382">
        <v>11.7</v>
      </c>
      <c r="G278" s="383">
        <v>5.7</v>
      </c>
      <c r="H278" s="382">
        <v>5.9999999999999991</v>
      </c>
      <c r="I278" s="376" t="s">
        <v>206</v>
      </c>
      <c r="J278" s="376" t="s">
        <v>206</v>
      </c>
      <c r="K278" s="377" t="s">
        <v>206</v>
      </c>
    </row>
    <row r="279" spans="2:11" ht="15.6">
      <c r="B279" s="380"/>
      <c r="C279" s="392"/>
      <c r="D279" s="392"/>
      <c r="E279" s="392"/>
      <c r="F279" s="392"/>
      <c r="G279" s="392"/>
      <c r="H279" s="392"/>
      <c r="I279" s="392"/>
      <c r="J279" s="392"/>
      <c r="K279" s="393"/>
    </row>
    <row r="280" spans="2:11" ht="15.6">
      <c r="B280" s="372" t="s">
        <v>436</v>
      </c>
      <c r="C280" s="381">
        <v>35.1</v>
      </c>
      <c r="D280" s="381">
        <v>17.899999999999999</v>
      </c>
      <c r="E280" s="381">
        <v>17.200000000000003</v>
      </c>
      <c r="F280" s="381">
        <v>15.3</v>
      </c>
      <c r="G280" s="390">
        <v>7.6</v>
      </c>
      <c r="H280" s="381">
        <v>7.7000000000000011</v>
      </c>
      <c r="I280" s="381">
        <v>19.8</v>
      </c>
      <c r="J280" s="381">
        <v>10.299999999999999</v>
      </c>
      <c r="K280" s="388">
        <v>9.5000000000000018</v>
      </c>
    </row>
    <row r="281" spans="2:11" ht="15.6">
      <c r="B281" s="380" t="s">
        <v>437</v>
      </c>
      <c r="C281" s="382">
        <v>11.1</v>
      </c>
      <c r="D281" s="383">
        <v>5.4</v>
      </c>
      <c r="E281" s="382">
        <v>5.6999999999999993</v>
      </c>
      <c r="F281" s="382">
        <v>11.1</v>
      </c>
      <c r="G281" s="383">
        <v>5.4</v>
      </c>
      <c r="H281" s="382">
        <v>5.6999999999999993</v>
      </c>
      <c r="I281" s="376" t="s">
        <v>206</v>
      </c>
      <c r="J281" s="376" t="s">
        <v>206</v>
      </c>
      <c r="K281" s="377" t="s">
        <v>206</v>
      </c>
    </row>
    <row r="282" spans="2:11" ht="15.6">
      <c r="B282" s="380" t="s">
        <v>438</v>
      </c>
      <c r="C282" s="382">
        <v>0.8</v>
      </c>
      <c r="D282" s="383">
        <v>0.4</v>
      </c>
      <c r="E282" s="382">
        <v>0.4</v>
      </c>
      <c r="F282" s="382">
        <v>0.8</v>
      </c>
      <c r="G282" s="383">
        <v>0.4</v>
      </c>
      <c r="H282" s="382">
        <v>0.4</v>
      </c>
      <c r="I282" s="376" t="s">
        <v>206</v>
      </c>
      <c r="J282" s="376" t="s">
        <v>206</v>
      </c>
      <c r="K282" s="377" t="s">
        <v>206</v>
      </c>
    </row>
    <row r="283" spans="2:11" ht="15.6">
      <c r="B283" s="380" t="s">
        <v>439</v>
      </c>
      <c r="C283" s="382">
        <v>0.4</v>
      </c>
      <c r="D283" s="383">
        <v>0.2</v>
      </c>
      <c r="E283" s="382">
        <v>0.2</v>
      </c>
      <c r="F283" s="382">
        <v>0.4</v>
      </c>
      <c r="G283" s="383">
        <v>0.2</v>
      </c>
      <c r="H283" s="382">
        <v>0.2</v>
      </c>
      <c r="I283" s="376" t="s">
        <v>206</v>
      </c>
      <c r="J283" s="376" t="s">
        <v>206</v>
      </c>
      <c r="K283" s="377" t="s">
        <v>206</v>
      </c>
    </row>
    <row r="284" spans="2:11" ht="15.6">
      <c r="B284" s="380" t="s">
        <v>440</v>
      </c>
      <c r="C284" s="382">
        <v>0.5</v>
      </c>
      <c r="D284" s="383">
        <v>0.3</v>
      </c>
      <c r="E284" s="382">
        <v>0.2</v>
      </c>
      <c r="F284" s="382">
        <v>0.5</v>
      </c>
      <c r="G284" s="383">
        <v>0.3</v>
      </c>
      <c r="H284" s="382">
        <v>0.2</v>
      </c>
      <c r="I284" s="376" t="s">
        <v>206</v>
      </c>
      <c r="J284" s="376" t="s">
        <v>206</v>
      </c>
      <c r="K284" s="377" t="s">
        <v>206</v>
      </c>
    </row>
    <row r="285" spans="2:11" ht="15.6">
      <c r="B285" s="380" t="s">
        <v>441</v>
      </c>
      <c r="C285" s="382">
        <v>0.5</v>
      </c>
      <c r="D285" s="383">
        <v>0.2</v>
      </c>
      <c r="E285" s="382">
        <v>0.3</v>
      </c>
      <c r="F285" s="382">
        <v>0.5</v>
      </c>
      <c r="G285" s="383">
        <v>0.2</v>
      </c>
      <c r="H285" s="382">
        <v>0.3</v>
      </c>
      <c r="I285" s="376" t="s">
        <v>206</v>
      </c>
      <c r="J285" s="376" t="s">
        <v>206</v>
      </c>
      <c r="K285" s="377" t="s">
        <v>206</v>
      </c>
    </row>
    <row r="286" spans="2:11" ht="15.6">
      <c r="B286" s="380" t="s">
        <v>442</v>
      </c>
      <c r="C286" s="382">
        <v>2</v>
      </c>
      <c r="D286" s="383">
        <v>1.1000000000000001</v>
      </c>
      <c r="E286" s="382">
        <v>0.89999999999999991</v>
      </c>
      <c r="F286" s="382">
        <v>2</v>
      </c>
      <c r="G286" s="383">
        <v>1.1000000000000001</v>
      </c>
      <c r="H286" s="382">
        <v>0.89999999999999991</v>
      </c>
      <c r="I286" s="376" t="s">
        <v>206</v>
      </c>
      <c r="J286" s="376" t="s">
        <v>206</v>
      </c>
      <c r="K286" s="377" t="s">
        <v>206</v>
      </c>
    </row>
    <row r="287" spans="2:11" ht="15.6">
      <c r="B287" s="380"/>
      <c r="C287" s="404"/>
      <c r="D287" s="404"/>
      <c r="E287" s="404"/>
      <c r="F287" s="404"/>
      <c r="G287" s="404"/>
      <c r="H287" s="404"/>
      <c r="I287" s="404"/>
      <c r="J287" s="404"/>
      <c r="K287" s="405"/>
    </row>
    <row r="288" spans="2:11" ht="15.6">
      <c r="B288" s="372" t="s">
        <v>443</v>
      </c>
      <c r="C288" s="381">
        <v>58.3</v>
      </c>
      <c r="D288" s="381">
        <v>29.2</v>
      </c>
      <c r="E288" s="381">
        <v>29.099999999999998</v>
      </c>
      <c r="F288" s="381">
        <v>21.9</v>
      </c>
      <c r="G288" s="390">
        <v>10.9</v>
      </c>
      <c r="H288" s="381">
        <v>10.999999999999998</v>
      </c>
      <c r="I288" s="381">
        <v>36.4</v>
      </c>
      <c r="J288" s="381">
        <v>18.299999999999997</v>
      </c>
      <c r="K288" s="388">
        <v>18.100000000000001</v>
      </c>
    </row>
    <row r="289" spans="2:11" ht="15.6">
      <c r="B289" s="380" t="s">
        <v>444</v>
      </c>
      <c r="C289" s="382">
        <v>10.199999999999999</v>
      </c>
      <c r="D289" s="383">
        <v>5.0999999999999996</v>
      </c>
      <c r="E289" s="382">
        <v>5.0999999999999996</v>
      </c>
      <c r="F289" s="382">
        <v>10.199999999999999</v>
      </c>
      <c r="G289" s="383">
        <v>5.0999999999999996</v>
      </c>
      <c r="H289" s="382">
        <v>5.0999999999999996</v>
      </c>
      <c r="I289" s="376" t="s">
        <v>206</v>
      </c>
      <c r="J289" s="376" t="s">
        <v>206</v>
      </c>
      <c r="K289" s="377" t="s">
        <v>206</v>
      </c>
    </row>
    <row r="290" spans="2:11" ht="15.6">
      <c r="B290" s="380" t="s">
        <v>445</v>
      </c>
      <c r="C290" s="382">
        <v>1.3</v>
      </c>
      <c r="D290" s="383">
        <v>0.6</v>
      </c>
      <c r="E290" s="382">
        <v>0.70000000000000007</v>
      </c>
      <c r="F290" s="382">
        <v>1.3</v>
      </c>
      <c r="G290" s="383">
        <v>0.6</v>
      </c>
      <c r="H290" s="382">
        <v>0.70000000000000007</v>
      </c>
      <c r="I290" s="376" t="s">
        <v>206</v>
      </c>
      <c r="J290" s="376" t="s">
        <v>206</v>
      </c>
      <c r="K290" s="377" t="s">
        <v>206</v>
      </c>
    </row>
    <row r="291" spans="2:11" ht="15.6">
      <c r="B291" s="380" t="s">
        <v>446</v>
      </c>
      <c r="C291" s="382">
        <v>6.3</v>
      </c>
      <c r="D291" s="383">
        <v>3.2</v>
      </c>
      <c r="E291" s="382">
        <v>3.0999999999999996</v>
      </c>
      <c r="F291" s="382">
        <v>6.3</v>
      </c>
      <c r="G291" s="383">
        <v>3.2</v>
      </c>
      <c r="H291" s="382">
        <v>3.0999999999999996</v>
      </c>
      <c r="I291" s="376" t="s">
        <v>206</v>
      </c>
      <c r="J291" s="376" t="s">
        <v>206</v>
      </c>
      <c r="K291" s="377" t="s">
        <v>206</v>
      </c>
    </row>
    <row r="292" spans="2:11" ht="15.6">
      <c r="B292" s="380" t="s">
        <v>447</v>
      </c>
      <c r="C292" s="382">
        <v>0</v>
      </c>
      <c r="D292" s="383">
        <v>0</v>
      </c>
      <c r="E292" s="382">
        <v>0</v>
      </c>
      <c r="F292" s="382">
        <v>0</v>
      </c>
      <c r="G292" s="383">
        <v>0</v>
      </c>
      <c r="H292" s="382">
        <v>0</v>
      </c>
      <c r="I292" s="376" t="s">
        <v>206</v>
      </c>
      <c r="J292" s="376" t="s">
        <v>206</v>
      </c>
      <c r="K292" s="377" t="s">
        <v>206</v>
      </c>
    </row>
    <row r="293" spans="2:11" ht="15.6">
      <c r="B293" s="380" t="s">
        <v>448</v>
      </c>
      <c r="C293" s="382">
        <v>2</v>
      </c>
      <c r="D293" s="383">
        <v>1</v>
      </c>
      <c r="E293" s="382">
        <v>1</v>
      </c>
      <c r="F293" s="382">
        <v>2</v>
      </c>
      <c r="G293" s="383">
        <v>1</v>
      </c>
      <c r="H293" s="382">
        <v>1</v>
      </c>
      <c r="I293" s="376" t="s">
        <v>206</v>
      </c>
      <c r="J293" s="376" t="s">
        <v>206</v>
      </c>
      <c r="K293" s="377" t="s">
        <v>206</v>
      </c>
    </row>
    <row r="294" spans="2:11" ht="15.6">
      <c r="B294" s="380" t="s">
        <v>449</v>
      </c>
      <c r="C294" s="382">
        <v>1.5</v>
      </c>
      <c r="D294" s="383">
        <v>0.7</v>
      </c>
      <c r="E294" s="382">
        <v>0.8</v>
      </c>
      <c r="F294" s="382">
        <v>1.5</v>
      </c>
      <c r="G294" s="383">
        <v>0.7</v>
      </c>
      <c r="H294" s="382">
        <v>0.8</v>
      </c>
      <c r="I294" s="376" t="s">
        <v>206</v>
      </c>
      <c r="J294" s="376" t="s">
        <v>206</v>
      </c>
      <c r="K294" s="377" t="s">
        <v>206</v>
      </c>
    </row>
    <row r="295" spans="2:11" ht="15.6">
      <c r="B295" s="380" t="s">
        <v>450</v>
      </c>
      <c r="C295" s="382">
        <v>0.6</v>
      </c>
      <c r="D295" s="383">
        <v>0.3</v>
      </c>
      <c r="E295" s="382">
        <v>0.3</v>
      </c>
      <c r="F295" s="382">
        <v>0.6</v>
      </c>
      <c r="G295" s="383">
        <v>0.3</v>
      </c>
      <c r="H295" s="382">
        <v>0.3</v>
      </c>
      <c r="I295" s="376" t="s">
        <v>206</v>
      </c>
      <c r="J295" s="376" t="s">
        <v>206</v>
      </c>
      <c r="K295" s="377" t="s">
        <v>206</v>
      </c>
    </row>
    <row r="296" spans="2:11" ht="15.6">
      <c r="B296" s="380"/>
      <c r="C296" s="385"/>
      <c r="D296" s="385"/>
      <c r="E296" s="385"/>
      <c r="F296" s="385"/>
      <c r="G296" s="385"/>
      <c r="H296" s="385"/>
      <c r="I296" s="385"/>
      <c r="J296" s="385"/>
      <c r="K296" s="394"/>
    </row>
    <row r="297" spans="2:11" ht="15.6">
      <c r="B297" s="372" t="s">
        <v>451</v>
      </c>
      <c r="C297" s="381">
        <v>63.9</v>
      </c>
      <c r="D297" s="381">
        <v>32.4</v>
      </c>
      <c r="E297" s="381">
        <v>31.5</v>
      </c>
      <c r="F297" s="381">
        <v>25.8</v>
      </c>
      <c r="G297" s="390">
        <v>13</v>
      </c>
      <c r="H297" s="381">
        <v>12.8</v>
      </c>
      <c r="I297" s="381">
        <v>38.099999999999994</v>
      </c>
      <c r="J297" s="381">
        <v>19.399999999999999</v>
      </c>
      <c r="K297" s="388">
        <v>18.699999999999996</v>
      </c>
    </row>
    <row r="298" spans="2:11" ht="15.6">
      <c r="B298" s="380" t="s">
        <v>452</v>
      </c>
      <c r="C298" s="382">
        <v>19.3</v>
      </c>
      <c r="D298" s="383">
        <v>9.6999999999999993</v>
      </c>
      <c r="E298" s="382">
        <v>9.6000000000000014</v>
      </c>
      <c r="F298" s="382">
        <v>19.3</v>
      </c>
      <c r="G298" s="383">
        <v>9.6999999999999993</v>
      </c>
      <c r="H298" s="382">
        <v>9.6000000000000014</v>
      </c>
      <c r="I298" s="376" t="s">
        <v>206</v>
      </c>
      <c r="J298" s="376" t="s">
        <v>206</v>
      </c>
      <c r="K298" s="377" t="s">
        <v>206</v>
      </c>
    </row>
    <row r="299" spans="2:11" ht="15.6">
      <c r="B299" s="380" t="s">
        <v>453</v>
      </c>
      <c r="C299" s="382">
        <v>0.3</v>
      </c>
      <c r="D299" s="383">
        <v>0.2</v>
      </c>
      <c r="E299" s="382">
        <v>9.9999999999999978E-2</v>
      </c>
      <c r="F299" s="382">
        <v>0.3</v>
      </c>
      <c r="G299" s="383">
        <v>0.2</v>
      </c>
      <c r="H299" s="382">
        <v>9.9999999999999978E-2</v>
      </c>
      <c r="I299" s="376" t="s">
        <v>206</v>
      </c>
      <c r="J299" s="376" t="s">
        <v>206</v>
      </c>
      <c r="K299" s="377" t="s">
        <v>206</v>
      </c>
    </row>
    <row r="300" spans="2:11" ht="15.6">
      <c r="B300" s="380" t="s">
        <v>454</v>
      </c>
      <c r="C300" s="382">
        <v>0.1</v>
      </c>
      <c r="D300" s="383">
        <v>0.1</v>
      </c>
      <c r="E300" s="382">
        <v>0</v>
      </c>
      <c r="F300" s="382">
        <v>0.1</v>
      </c>
      <c r="G300" s="383">
        <v>0.1</v>
      </c>
      <c r="H300" s="382">
        <v>0</v>
      </c>
      <c r="I300" s="376" t="s">
        <v>206</v>
      </c>
      <c r="J300" s="376" t="s">
        <v>206</v>
      </c>
      <c r="K300" s="377" t="s">
        <v>206</v>
      </c>
    </row>
    <row r="301" spans="2:11" ht="15.6">
      <c r="B301" s="380" t="s">
        <v>455</v>
      </c>
      <c r="C301" s="382">
        <v>0.4</v>
      </c>
      <c r="D301" s="383">
        <v>0.2</v>
      </c>
      <c r="E301" s="382">
        <v>0.2</v>
      </c>
      <c r="F301" s="382">
        <v>0.4</v>
      </c>
      <c r="G301" s="383">
        <v>0.2</v>
      </c>
      <c r="H301" s="382">
        <v>0.2</v>
      </c>
      <c r="I301" s="376" t="s">
        <v>206</v>
      </c>
      <c r="J301" s="376" t="s">
        <v>206</v>
      </c>
      <c r="K301" s="377" t="s">
        <v>206</v>
      </c>
    </row>
    <row r="302" spans="2:11" ht="15.6">
      <c r="B302" s="380" t="s">
        <v>456</v>
      </c>
      <c r="C302" s="382">
        <v>4.3</v>
      </c>
      <c r="D302" s="383">
        <v>2.1</v>
      </c>
      <c r="E302" s="382">
        <v>2.1999999999999997</v>
      </c>
      <c r="F302" s="382">
        <v>4.3</v>
      </c>
      <c r="G302" s="383">
        <v>2.1</v>
      </c>
      <c r="H302" s="382">
        <v>2.1999999999999997</v>
      </c>
      <c r="I302" s="376" t="s">
        <v>206</v>
      </c>
      <c r="J302" s="376" t="s">
        <v>206</v>
      </c>
      <c r="K302" s="377" t="s">
        <v>206</v>
      </c>
    </row>
    <row r="303" spans="2:11" ht="15.6">
      <c r="B303" s="380" t="s">
        <v>457</v>
      </c>
      <c r="C303" s="382">
        <v>0.4</v>
      </c>
      <c r="D303" s="383">
        <v>0.2</v>
      </c>
      <c r="E303" s="382">
        <v>0.2</v>
      </c>
      <c r="F303" s="382">
        <v>0.4</v>
      </c>
      <c r="G303" s="383">
        <v>0.2</v>
      </c>
      <c r="H303" s="382">
        <v>0.2</v>
      </c>
      <c r="I303" s="376" t="s">
        <v>206</v>
      </c>
      <c r="J303" s="376" t="s">
        <v>206</v>
      </c>
      <c r="K303" s="377" t="s">
        <v>206</v>
      </c>
    </row>
    <row r="304" spans="2:11" ht="15.6">
      <c r="B304" s="380" t="s">
        <v>458</v>
      </c>
      <c r="C304" s="382">
        <v>1</v>
      </c>
      <c r="D304" s="383">
        <v>0.5</v>
      </c>
      <c r="E304" s="382">
        <v>0.5</v>
      </c>
      <c r="F304" s="382">
        <v>1</v>
      </c>
      <c r="G304" s="383">
        <v>0.5</v>
      </c>
      <c r="H304" s="382">
        <v>0.5</v>
      </c>
      <c r="I304" s="376" t="s">
        <v>206</v>
      </c>
      <c r="J304" s="376" t="s">
        <v>206</v>
      </c>
      <c r="K304" s="377" t="s">
        <v>206</v>
      </c>
    </row>
    <row r="305" spans="1:11" ht="15.6">
      <c r="B305" s="380"/>
      <c r="C305" s="392"/>
      <c r="D305" s="392"/>
      <c r="E305" s="392"/>
      <c r="F305" s="392"/>
      <c r="G305" s="392"/>
      <c r="H305" s="392"/>
      <c r="I305" s="392"/>
      <c r="J305" s="392"/>
      <c r="K305" s="393"/>
    </row>
    <row r="306" spans="1:11" ht="15.6">
      <c r="B306" s="372" t="s">
        <v>459</v>
      </c>
      <c r="C306" s="381">
        <v>104.1</v>
      </c>
      <c r="D306" s="381">
        <v>52.5</v>
      </c>
      <c r="E306" s="381">
        <v>51.599999999999994</v>
      </c>
      <c r="F306" s="381">
        <v>22.2</v>
      </c>
      <c r="G306" s="390">
        <v>11.1</v>
      </c>
      <c r="H306" s="381">
        <v>11.1</v>
      </c>
      <c r="I306" s="381">
        <v>81.899999999999991</v>
      </c>
      <c r="J306" s="381">
        <v>41.4</v>
      </c>
      <c r="K306" s="388">
        <v>40.499999999999993</v>
      </c>
    </row>
    <row r="307" spans="1:11" ht="15.6">
      <c r="B307" s="380" t="s">
        <v>460</v>
      </c>
      <c r="C307" s="382">
        <v>7.4</v>
      </c>
      <c r="D307" s="383">
        <v>3.7</v>
      </c>
      <c r="E307" s="382">
        <v>3.7</v>
      </c>
      <c r="F307" s="382">
        <v>7.4</v>
      </c>
      <c r="G307" s="383">
        <v>3.7</v>
      </c>
      <c r="H307" s="382">
        <v>3.7</v>
      </c>
      <c r="I307" s="376" t="s">
        <v>206</v>
      </c>
      <c r="J307" s="376" t="s">
        <v>206</v>
      </c>
      <c r="K307" s="377" t="s">
        <v>206</v>
      </c>
    </row>
    <row r="308" spans="1:11" ht="15.6">
      <c r="B308" s="380" t="s">
        <v>461</v>
      </c>
      <c r="C308" s="382">
        <v>5.6</v>
      </c>
      <c r="D308" s="383">
        <v>2.8</v>
      </c>
      <c r="E308" s="382">
        <v>2.8</v>
      </c>
      <c r="F308" s="382">
        <v>5.6</v>
      </c>
      <c r="G308" s="383">
        <v>2.8</v>
      </c>
      <c r="H308" s="382">
        <v>2.8</v>
      </c>
      <c r="I308" s="376" t="s">
        <v>206</v>
      </c>
      <c r="J308" s="376" t="s">
        <v>206</v>
      </c>
      <c r="K308" s="377" t="s">
        <v>206</v>
      </c>
    </row>
    <row r="309" spans="1:11" ht="15.6">
      <c r="B309" s="380" t="s">
        <v>462</v>
      </c>
      <c r="C309" s="382">
        <v>0</v>
      </c>
      <c r="D309" s="383">
        <v>0</v>
      </c>
      <c r="E309" s="382">
        <v>0</v>
      </c>
      <c r="F309" s="382">
        <v>0</v>
      </c>
      <c r="G309" s="383">
        <v>0</v>
      </c>
      <c r="H309" s="382">
        <v>0</v>
      </c>
      <c r="I309" s="376" t="s">
        <v>206</v>
      </c>
      <c r="J309" s="376" t="s">
        <v>206</v>
      </c>
      <c r="K309" s="377" t="s">
        <v>206</v>
      </c>
    </row>
    <row r="310" spans="1:11" ht="15.6">
      <c r="B310" s="380" t="s">
        <v>463</v>
      </c>
      <c r="C310" s="382">
        <v>7.1</v>
      </c>
      <c r="D310" s="383">
        <v>3.6</v>
      </c>
      <c r="E310" s="382">
        <v>3.4999999999999996</v>
      </c>
      <c r="F310" s="382">
        <v>7.1</v>
      </c>
      <c r="G310" s="383">
        <v>3.6</v>
      </c>
      <c r="H310" s="382">
        <v>3.4999999999999996</v>
      </c>
      <c r="I310" s="376" t="s">
        <v>206</v>
      </c>
      <c r="J310" s="376" t="s">
        <v>206</v>
      </c>
      <c r="K310" s="377" t="s">
        <v>206</v>
      </c>
    </row>
    <row r="311" spans="1:11" ht="15.6">
      <c r="B311" s="380" t="s">
        <v>464</v>
      </c>
      <c r="C311" s="382">
        <v>0.3</v>
      </c>
      <c r="D311" s="383">
        <v>0.1</v>
      </c>
      <c r="E311" s="382">
        <v>0.19999999999999998</v>
      </c>
      <c r="F311" s="382">
        <v>0.3</v>
      </c>
      <c r="G311" s="383">
        <v>0.1</v>
      </c>
      <c r="H311" s="382">
        <v>0.19999999999999998</v>
      </c>
      <c r="I311" s="376" t="s">
        <v>206</v>
      </c>
      <c r="J311" s="376" t="s">
        <v>206</v>
      </c>
      <c r="K311" s="377" t="s">
        <v>206</v>
      </c>
    </row>
    <row r="312" spans="1:11" ht="15.6">
      <c r="B312" s="380" t="s">
        <v>465</v>
      </c>
      <c r="C312" s="382">
        <v>0.8</v>
      </c>
      <c r="D312" s="383">
        <v>0.4</v>
      </c>
      <c r="E312" s="382">
        <v>0.4</v>
      </c>
      <c r="F312" s="382">
        <v>0.8</v>
      </c>
      <c r="G312" s="383">
        <v>0.4</v>
      </c>
      <c r="H312" s="382">
        <v>0.4</v>
      </c>
      <c r="I312" s="376" t="s">
        <v>206</v>
      </c>
      <c r="J312" s="376" t="s">
        <v>206</v>
      </c>
      <c r="K312" s="377" t="s">
        <v>206</v>
      </c>
    </row>
    <row r="313" spans="1:11" ht="15.6">
      <c r="B313" s="380" t="s">
        <v>466</v>
      </c>
      <c r="C313" s="382">
        <v>0.8</v>
      </c>
      <c r="D313" s="383">
        <v>0.4</v>
      </c>
      <c r="E313" s="382">
        <v>0.4</v>
      </c>
      <c r="F313" s="382">
        <v>0.8</v>
      </c>
      <c r="G313" s="383">
        <v>0.4</v>
      </c>
      <c r="H313" s="382">
        <v>0.4</v>
      </c>
      <c r="I313" s="376" t="s">
        <v>206</v>
      </c>
      <c r="J313" s="376" t="s">
        <v>206</v>
      </c>
      <c r="K313" s="377" t="s">
        <v>206</v>
      </c>
    </row>
    <row r="314" spans="1:11" ht="15.6">
      <c r="B314" s="380" t="s">
        <v>467</v>
      </c>
      <c r="C314" s="382">
        <v>0.2</v>
      </c>
      <c r="D314" s="383">
        <v>0.1</v>
      </c>
      <c r="E314" s="382">
        <v>0.1</v>
      </c>
      <c r="F314" s="382">
        <v>0.2</v>
      </c>
      <c r="G314" s="383">
        <v>0.1</v>
      </c>
      <c r="H314" s="382">
        <v>0.1</v>
      </c>
      <c r="I314" s="376" t="s">
        <v>206</v>
      </c>
      <c r="J314" s="376" t="s">
        <v>206</v>
      </c>
      <c r="K314" s="377" t="s">
        <v>206</v>
      </c>
    </row>
    <row r="315" spans="1:11" ht="15.6">
      <c r="B315" s="380"/>
      <c r="C315" s="392"/>
      <c r="D315" s="392"/>
      <c r="E315" s="392"/>
      <c r="F315" s="392"/>
      <c r="G315" s="392"/>
      <c r="H315" s="392"/>
      <c r="I315" s="392"/>
      <c r="J315" s="392"/>
      <c r="K315" s="393"/>
    </row>
    <row r="316" spans="1:11" ht="15.6">
      <c r="B316" s="372" t="s">
        <v>468</v>
      </c>
      <c r="C316" s="381">
        <v>10.199999999999999</v>
      </c>
      <c r="D316" s="381">
        <v>5</v>
      </c>
      <c r="E316" s="381">
        <v>5.1999999999999993</v>
      </c>
      <c r="F316" s="381">
        <v>8.9</v>
      </c>
      <c r="G316" s="390">
        <v>4.3</v>
      </c>
      <c r="H316" s="381">
        <v>4.6000000000000005</v>
      </c>
      <c r="I316" s="381">
        <v>1.2999999999999989</v>
      </c>
      <c r="J316" s="381">
        <v>0.70000000000000018</v>
      </c>
      <c r="K316" s="388">
        <v>0.59999999999999876</v>
      </c>
    </row>
    <row r="317" spans="1:11" ht="15.6">
      <c r="B317" s="372"/>
      <c r="C317" s="406"/>
      <c r="D317" s="406"/>
      <c r="E317" s="406"/>
      <c r="F317" s="406"/>
      <c r="G317" s="406"/>
      <c r="H317" s="406"/>
      <c r="I317" s="406"/>
      <c r="J317" s="406"/>
      <c r="K317" s="407"/>
    </row>
    <row r="318" spans="1:11" ht="15.6">
      <c r="A318" t="s">
        <v>906</v>
      </c>
      <c r="B318" s="372" t="s">
        <v>469</v>
      </c>
      <c r="C318" s="399">
        <v>621.4</v>
      </c>
      <c r="D318" s="399">
        <v>310.2</v>
      </c>
      <c r="E318" s="399">
        <v>311.2</v>
      </c>
      <c r="F318" s="381">
        <v>173.60000000000002</v>
      </c>
      <c r="G318" s="381">
        <v>84.7</v>
      </c>
      <c r="H318" s="399">
        <v>88.90000000000002</v>
      </c>
      <c r="I318" s="381">
        <v>447.79999999999995</v>
      </c>
      <c r="J318" s="381">
        <v>225.5</v>
      </c>
      <c r="K318" s="391">
        <v>222.29999999999995</v>
      </c>
    </row>
    <row r="319" spans="1:11" ht="15.6">
      <c r="B319" s="378" t="s">
        <v>301</v>
      </c>
      <c r="C319" s="373"/>
      <c r="D319" s="373"/>
      <c r="E319" s="373"/>
      <c r="F319" s="373"/>
      <c r="G319" s="373"/>
      <c r="H319" s="373"/>
      <c r="I319" s="373"/>
      <c r="J319" s="373"/>
      <c r="K319" s="379"/>
    </row>
    <row r="320" spans="1:11" ht="15.6">
      <c r="B320" s="372" t="s">
        <v>470</v>
      </c>
      <c r="C320" s="381">
        <v>98.3</v>
      </c>
      <c r="D320" s="381">
        <v>48.8</v>
      </c>
      <c r="E320" s="381">
        <v>49.5</v>
      </c>
      <c r="F320" s="381">
        <v>15</v>
      </c>
      <c r="G320" s="381">
        <v>7</v>
      </c>
      <c r="H320" s="381">
        <v>8</v>
      </c>
      <c r="I320" s="381">
        <v>83.3</v>
      </c>
      <c r="J320" s="381">
        <v>41.8</v>
      </c>
      <c r="K320" s="388">
        <v>41.5</v>
      </c>
    </row>
    <row r="321" spans="2:11" ht="15.6">
      <c r="B321" s="380" t="s">
        <v>471</v>
      </c>
      <c r="C321" s="382">
        <v>14</v>
      </c>
      <c r="D321" s="383">
        <v>6.5</v>
      </c>
      <c r="E321" s="382">
        <v>7.5</v>
      </c>
      <c r="F321" s="382">
        <v>14</v>
      </c>
      <c r="G321" s="383">
        <v>6.5</v>
      </c>
      <c r="H321" s="382">
        <v>7.5</v>
      </c>
      <c r="I321" s="376" t="s">
        <v>206</v>
      </c>
      <c r="J321" s="376" t="s">
        <v>206</v>
      </c>
      <c r="K321" s="377" t="s">
        <v>206</v>
      </c>
    </row>
    <row r="322" spans="2:11" ht="15.6">
      <c r="B322" s="380" t="s">
        <v>472</v>
      </c>
      <c r="C322" s="382">
        <v>1</v>
      </c>
      <c r="D322" s="383">
        <v>0.5</v>
      </c>
      <c r="E322" s="382">
        <v>0.5</v>
      </c>
      <c r="F322" s="382">
        <v>1</v>
      </c>
      <c r="G322" s="383">
        <v>0.5</v>
      </c>
      <c r="H322" s="382">
        <v>0.5</v>
      </c>
      <c r="I322" s="376" t="s">
        <v>206</v>
      </c>
      <c r="J322" s="376" t="s">
        <v>206</v>
      </c>
      <c r="K322" s="377" t="s">
        <v>206</v>
      </c>
    </row>
    <row r="323" spans="2:11" ht="15.6">
      <c r="B323" s="380"/>
      <c r="C323" s="392"/>
      <c r="D323" s="392"/>
      <c r="E323" s="392"/>
      <c r="F323" s="392"/>
      <c r="G323" s="392"/>
      <c r="H323" s="392"/>
      <c r="I323" s="392"/>
      <c r="J323" s="392"/>
      <c r="K323" s="393"/>
    </row>
    <row r="324" spans="2:11" ht="15.6">
      <c r="B324" s="372" t="s">
        <v>473</v>
      </c>
      <c r="C324" s="381">
        <v>128.69999999999999</v>
      </c>
      <c r="D324" s="381">
        <v>63.6</v>
      </c>
      <c r="E324" s="381">
        <v>65.099999999999994</v>
      </c>
      <c r="F324" s="381">
        <v>32.799999999999997</v>
      </c>
      <c r="G324" s="381">
        <v>15.9</v>
      </c>
      <c r="H324" s="381">
        <v>16.899999999999999</v>
      </c>
      <c r="I324" s="381">
        <v>95.899999999999991</v>
      </c>
      <c r="J324" s="381">
        <v>47.7</v>
      </c>
      <c r="K324" s="388">
        <v>48.199999999999989</v>
      </c>
    </row>
    <row r="325" spans="2:11" ht="15.6">
      <c r="B325" s="380" t="s">
        <v>474</v>
      </c>
      <c r="C325" s="382">
        <v>21.7</v>
      </c>
      <c r="D325" s="383">
        <v>10.4</v>
      </c>
      <c r="E325" s="382">
        <v>11.299999999999999</v>
      </c>
      <c r="F325" s="382">
        <v>21.7</v>
      </c>
      <c r="G325" s="383">
        <v>10.4</v>
      </c>
      <c r="H325" s="382">
        <v>11.299999999999999</v>
      </c>
      <c r="I325" s="376" t="s">
        <v>206</v>
      </c>
      <c r="J325" s="376" t="s">
        <v>206</v>
      </c>
      <c r="K325" s="377" t="s">
        <v>206</v>
      </c>
    </row>
    <row r="326" spans="2:11" ht="15.6">
      <c r="B326" s="380" t="s">
        <v>475</v>
      </c>
      <c r="C326" s="382">
        <v>11.1</v>
      </c>
      <c r="D326" s="383">
        <v>5.5</v>
      </c>
      <c r="E326" s="382">
        <v>5.6</v>
      </c>
      <c r="F326" s="382">
        <v>11.1</v>
      </c>
      <c r="G326" s="383">
        <v>5.5</v>
      </c>
      <c r="H326" s="382">
        <v>5.6</v>
      </c>
      <c r="I326" s="376" t="s">
        <v>206</v>
      </c>
      <c r="J326" s="376" t="s">
        <v>206</v>
      </c>
      <c r="K326" s="377" t="s">
        <v>206</v>
      </c>
    </row>
    <row r="327" spans="2:11" ht="15.6">
      <c r="B327" s="380"/>
      <c r="C327" s="392"/>
      <c r="D327" s="392"/>
      <c r="E327" s="392"/>
      <c r="F327" s="392"/>
      <c r="G327" s="392"/>
      <c r="H327" s="392"/>
      <c r="I327" s="392"/>
      <c r="J327" s="392"/>
      <c r="K327" s="393"/>
    </row>
    <row r="328" spans="2:11" ht="15.6">
      <c r="B328" s="372" t="s">
        <v>476</v>
      </c>
      <c r="C328" s="381">
        <v>56.9</v>
      </c>
      <c r="D328" s="381">
        <v>27.7</v>
      </c>
      <c r="E328" s="381">
        <v>29.2</v>
      </c>
      <c r="F328" s="381">
        <v>14.4</v>
      </c>
      <c r="G328" s="381">
        <v>6.8</v>
      </c>
      <c r="H328" s="381">
        <v>7.6000000000000005</v>
      </c>
      <c r="I328" s="381">
        <v>42.5</v>
      </c>
      <c r="J328" s="381">
        <v>20.9</v>
      </c>
      <c r="K328" s="388">
        <v>21.6</v>
      </c>
    </row>
    <row r="329" spans="2:11" ht="15.6">
      <c r="B329" s="380" t="s">
        <v>477</v>
      </c>
      <c r="C329" s="382">
        <v>14.4</v>
      </c>
      <c r="D329" s="383">
        <v>6.8</v>
      </c>
      <c r="E329" s="382">
        <v>7.6000000000000005</v>
      </c>
      <c r="F329" s="382">
        <v>14.4</v>
      </c>
      <c r="G329" s="383">
        <v>6.8</v>
      </c>
      <c r="H329" s="382">
        <v>7.6000000000000005</v>
      </c>
      <c r="I329" s="376" t="s">
        <v>206</v>
      </c>
      <c r="J329" s="376" t="s">
        <v>206</v>
      </c>
      <c r="K329" s="377" t="s">
        <v>206</v>
      </c>
    </row>
    <row r="330" spans="2:11" ht="15.6">
      <c r="B330" s="380"/>
      <c r="C330" s="392"/>
      <c r="D330" s="392"/>
      <c r="E330" s="392"/>
      <c r="F330" s="392"/>
      <c r="G330" s="392"/>
      <c r="H330" s="392"/>
      <c r="I330" s="392"/>
      <c r="J330" s="392"/>
      <c r="K330" s="408" t="s">
        <v>206</v>
      </c>
    </row>
    <row r="331" spans="2:11" ht="15.6">
      <c r="B331" s="372" t="s">
        <v>478</v>
      </c>
      <c r="C331" s="381">
        <v>186.6</v>
      </c>
      <c r="D331" s="381">
        <v>93.4</v>
      </c>
      <c r="E331" s="381">
        <v>93.199999999999989</v>
      </c>
      <c r="F331" s="381">
        <v>67.8</v>
      </c>
      <c r="G331" s="381">
        <v>33.1</v>
      </c>
      <c r="H331" s="381">
        <v>34.699999999999996</v>
      </c>
      <c r="I331" s="381">
        <v>118.8</v>
      </c>
      <c r="J331" s="381">
        <v>60.300000000000004</v>
      </c>
      <c r="K331" s="388">
        <v>58.499999999999993</v>
      </c>
    </row>
    <row r="332" spans="2:11" ht="15.6">
      <c r="B332" s="380" t="s">
        <v>478</v>
      </c>
      <c r="C332" s="382">
        <v>65.3</v>
      </c>
      <c r="D332" s="383">
        <v>31.8</v>
      </c>
      <c r="E332" s="382">
        <v>33.5</v>
      </c>
      <c r="F332" s="382">
        <v>65.3</v>
      </c>
      <c r="G332" s="383">
        <v>31.8</v>
      </c>
      <c r="H332" s="382">
        <v>33.5</v>
      </c>
      <c r="I332" s="376" t="s">
        <v>206</v>
      </c>
      <c r="J332" s="376" t="s">
        <v>206</v>
      </c>
      <c r="K332" s="377" t="s">
        <v>206</v>
      </c>
    </row>
    <row r="333" spans="2:11" ht="15.6">
      <c r="B333" s="380" t="s">
        <v>479</v>
      </c>
      <c r="C333" s="382">
        <v>2.2000000000000002</v>
      </c>
      <c r="D333" s="383">
        <v>1.1000000000000001</v>
      </c>
      <c r="E333" s="382">
        <v>1.1000000000000001</v>
      </c>
      <c r="F333" s="382">
        <v>2.2000000000000002</v>
      </c>
      <c r="G333" s="383">
        <v>1.1000000000000001</v>
      </c>
      <c r="H333" s="382">
        <v>1.1000000000000001</v>
      </c>
      <c r="I333" s="376" t="s">
        <v>206</v>
      </c>
      <c r="J333" s="376" t="s">
        <v>206</v>
      </c>
      <c r="K333" s="377" t="s">
        <v>206</v>
      </c>
    </row>
    <row r="334" spans="2:11" ht="15.6">
      <c r="B334" s="380" t="s">
        <v>480</v>
      </c>
      <c r="C334" s="382">
        <v>0.3</v>
      </c>
      <c r="D334" s="383">
        <v>0.2</v>
      </c>
      <c r="E334" s="382">
        <v>9.9999999999999978E-2</v>
      </c>
      <c r="F334" s="382">
        <v>0.3</v>
      </c>
      <c r="G334" s="383">
        <v>0.2</v>
      </c>
      <c r="H334" s="382">
        <v>9.9999999999999978E-2</v>
      </c>
      <c r="I334" s="376" t="s">
        <v>206</v>
      </c>
      <c r="J334" s="376" t="s">
        <v>206</v>
      </c>
      <c r="K334" s="377" t="s">
        <v>206</v>
      </c>
    </row>
    <row r="335" spans="2:11" ht="15.6">
      <c r="B335" s="380"/>
      <c r="C335" s="385"/>
      <c r="D335" s="385"/>
      <c r="E335" s="385"/>
      <c r="F335" s="385"/>
      <c r="G335" s="385"/>
      <c r="H335" s="385"/>
      <c r="I335" s="385"/>
      <c r="J335" s="385"/>
      <c r="K335" s="394"/>
    </row>
    <row r="336" spans="2:11" ht="15.6">
      <c r="B336" s="372" t="s">
        <v>481</v>
      </c>
      <c r="C336" s="381">
        <v>44.3</v>
      </c>
      <c r="D336" s="381">
        <v>22.4</v>
      </c>
      <c r="E336" s="381">
        <v>21.9</v>
      </c>
      <c r="F336" s="381">
        <v>7.4</v>
      </c>
      <c r="G336" s="381">
        <v>3.7</v>
      </c>
      <c r="H336" s="381">
        <v>3.7</v>
      </c>
      <c r="I336" s="381">
        <v>36.9</v>
      </c>
      <c r="J336" s="381">
        <v>18.7</v>
      </c>
      <c r="K336" s="388">
        <v>18.2</v>
      </c>
    </row>
    <row r="337" spans="1:11" ht="15.6">
      <c r="B337" s="380" t="s">
        <v>482</v>
      </c>
      <c r="C337" s="382">
        <v>7.4</v>
      </c>
      <c r="D337" s="383">
        <v>3.7</v>
      </c>
      <c r="E337" s="382">
        <v>3.7</v>
      </c>
      <c r="F337" s="382">
        <v>7.4</v>
      </c>
      <c r="G337" s="383">
        <v>3.7</v>
      </c>
      <c r="H337" s="382">
        <v>3.7</v>
      </c>
      <c r="I337" s="376" t="s">
        <v>206</v>
      </c>
      <c r="J337" s="376" t="s">
        <v>206</v>
      </c>
      <c r="K337" s="377" t="s">
        <v>206</v>
      </c>
    </row>
    <row r="338" spans="1:11" ht="15.6">
      <c r="B338" s="380"/>
      <c r="C338" s="409"/>
      <c r="D338" s="409"/>
      <c r="E338" s="409"/>
      <c r="F338" s="409"/>
      <c r="G338" s="409"/>
      <c r="H338" s="409"/>
      <c r="I338" s="409"/>
      <c r="J338" s="409"/>
      <c r="K338" s="410"/>
    </row>
    <row r="339" spans="1:11" ht="15.6">
      <c r="B339" s="372" t="s">
        <v>483</v>
      </c>
      <c r="C339" s="381">
        <v>106.6</v>
      </c>
      <c r="D339" s="381">
        <v>54.3</v>
      </c>
      <c r="E339" s="381">
        <v>52.3</v>
      </c>
      <c r="F339" s="381">
        <v>36.200000000000003</v>
      </c>
      <c r="G339" s="381">
        <v>18.2</v>
      </c>
      <c r="H339" s="381">
        <v>18.000000000000004</v>
      </c>
      <c r="I339" s="381">
        <v>70.399999999999991</v>
      </c>
      <c r="J339" s="381">
        <v>36.099999999999994</v>
      </c>
      <c r="K339" s="388">
        <v>34.299999999999997</v>
      </c>
    </row>
    <row r="340" spans="1:11" ht="15.6">
      <c r="B340" s="380" t="s">
        <v>484</v>
      </c>
      <c r="C340" s="382">
        <v>14</v>
      </c>
      <c r="D340" s="383">
        <v>6.9</v>
      </c>
      <c r="E340" s="382">
        <v>7.1</v>
      </c>
      <c r="F340" s="382">
        <v>14</v>
      </c>
      <c r="G340" s="383">
        <v>6.9</v>
      </c>
      <c r="H340" s="382">
        <v>7.1</v>
      </c>
      <c r="I340" s="376" t="s">
        <v>206</v>
      </c>
      <c r="J340" s="376" t="s">
        <v>206</v>
      </c>
      <c r="K340" s="377" t="s">
        <v>206</v>
      </c>
    </row>
    <row r="341" spans="1:11" ht="15.6">
      <c r="B341" s="380" t="s">
        <v>485</v>
      </c>
      <c r="C341" s="382">
        <v>5.8</v>
      </c>
      <c r="D341" s="383">
        <v>3.1</v>
      </c>
      <c r="E341" s="382">
        <v>2.6999999999999997</v>
      </c>
      <c r="F341" s="382">
        <v>5.8</v>
      </c>
      <c r="G341" s="383">
        <v>3.1</v>
      </c>
      <c r="H341" s="382">
        <v>2.6999999999999997</v>
      </c>
      <c r="I341" s="376" t="s">
        <v>206</v>
      </c>
      <c r="J341" s="376" t="s">
        <v>206</v>
      </c>
      <c r="K341" s="377" t="s">
        <v>206</v>
      </c>
    </row>
    <row r="342" spans="1:11" ht="15.6">
      <c r="B342" s="380" t="s">
        <v>486</v>
      </c>
      <c r="C342" s="382">
        <v>6.2</v>
      </c>
      <c r="D342" s="383">
        <v>3.1</v>
      </c>
      <c r="E342" s="382">
        <v>3.1</v>
      </c>
      <c r="F342" s="382">
        <v>6.2</v>
      </c>
      <c r="G342" s="383">
        <v>3.1</v>
      </c>
      <c r="H342" s="382">
        <v>3.1</v>
      </c>
      <c r="I342" s="376" t="s">
        <v>206</v>
      </c>
      <c r="J342" s="376" t="s">
        <v>206</v>
      </c>
      <c r="K342" s="377" t="s">
        <v>206</v>
      </c>
    </row>
    <row r="343" spans="1:11" ht="15.6">
      <c r="B343" s="380" t="s">
        <v>487</v>
      </c>
      <c r="C343" s="382">
        <v>10.199999999999999</v>
      </c>
      <c r="D343" s="383">
        <v>5.0999999999999996</v>
      </c>
      <c r="E343" s="382">
        <v>5.0999999999999996</v>
      </c>
      <c r="F343" s="382">
        <v>10.199999999999999</v>
      </c>
      <c r="G343" s="383">
        <v>5.0999999999999996</v>
      </c>
      <c r="H343" s="382">
        <v>5.0999999999999996</v>
      </c>
      <c r="I343" s="376" t="s">
        <v>206</v>
      </c>
      <c r="J343" s="376" t="s">
        <v>206</v>
      </c>
      <c r="K343" s="377" t="s">
        <v>206</v>
      </c>
    </row>
    <row r="344" spans="1:11" ht="15.6">
      <c r="B344" s="380"/>
      <c r="C344" s="385"/>
      <c r="D344" s="385"/>
      <c r="E344" s="385"/>
      <c r="F344" s="385"/>
      <c r="G344" s="385"/>
      <c r="H344" s="385"/>
      <c r="I344" s="385"/>
      <c r="J344" s="385"/>
      <c r="K344" s="394"/>
    </row>
    <row r="345" spans="1:11" ht="15.6">
      <c r="A345" t="s">
        <v>906</v>
      </c>
      <c r="B345" s="372" t="s">
        <v>488</v>
      </c>
      <c r="C345" s="399">
        <v>937.19999999999993</v>
      </c>
      <c r="D345" s="399">
        <v>473.7</v>
      </c>
      <c r="E345" s="399">
        <v>463.49999999999994</v>
      </c>
      <c r="F345" s="381">
        <v>251.29999999999998</v>
      </c>
      <c r="G345" s="381">
        <v>125.80000000000001</v>
      </c>
      <c r="H345" s="399">
        <v>125.49999999999997</v>
      </c>
      <c r="I345" s="381">
        <v>685.9</v>
      </c>
      <c r="J345" s="381">
        <v>347.90000000000003</v>
      </c>
      <c r="K345" s="388">
        <v>337.99999999999994</v>
      </c>
    </row>
    <row r="346" spans="1:11" ht="15.6">
      <c r="B346" s="378" t="s">
        <v>301</v>
      </c>
      <c r="C346" s="382"/>
      <c r="D346" s="382"/>
      <c r="E346" s="382"/>
      <c r="F346" s="382"/>
      <c r="G346" s="382"/>
      <c r="H346" s="382"/>
      <c r="I346" s="382"/>
      <c r="J346" s="382"/>
      <c r="K346" s="389"/>
    </row>
    <row r="347" spans="1:11" ht="15.6">
      <c r="B347" s="372" t="s">
        <v>489</v>
      </c>
      <c r="C347" s="381">
        <v>108.6</v>
      </c>
      <c r="D347" s="381">
        <v>54.6</v>
      </c>
      <c r="E347" s="381">
        <v>53.999999999999993</v>
      </c>
      <c r="F347" s="381">
        <v>33.6</v>
      </c>
      <c r="G347" s="381">
        <v>16.600000000000001</v>
      </c>
      <c r="H347" s="381">
        <v>17</v>
      </c>
      <c r="I347" s="381">
        <v>75</v>
      </c>
      <c r="J347" s="381">
        <v>38</v>
      </c>
      <c r="K347" s="388">
        <v>37</v>
      </c>
    </row>
    <row r="348" spans="1:11" ht="15.6">
      <c r="B348" s="380" t="s">
        <v>490</v>
      </c>
      <c r="C348" s="382">
        <v>17.5</v>
      </c>
      <c r="D348" s="383">
        <v>8.6</v>
      </c>
      <c r="E348" s="382">
        <v>8.9</v>
      </c>
      <c r="F348" s="382">
        <v>17.5</v>
      </c>
      <c r="G348" s="383">
        <v>8.6</v>
      </c>
      <c r="H348" s="382">
        <v>8.9</v>
      </c>
      <c r="I348" s="376" t="s">
        <v>206</v>
      </c>
      <c r="J348" s="376" t="s">
        <v>206</v>
      </c>
      <c r="K348" s="377" t="s">
        <v>206</v>
      </c>
    </row>
    <row r="349" spans="1:11" ht="15.6">
      <c r="B349" s="380" t="s">
        <v>491</v>
      </c>
      <c r="C349" s="382">
        <v>6.4</v>
      </c>
      <c r="D349" s="383">
        <v>3.1</v>
      </c>
      <c r="E349" s="382">
        <v>3.3000000000000003</v>
      </c>
      <c r="F349" s="382">
        <v>6.4</v>
      </c>
      <c r="G349" s="383">
        <v>3.1</v>
      </c>
      <c r="H349" s="382">
        <v>3.3000000000000003</v>
      </c>
      <c r="I349" s="376" t="s">
        <v>206</v>
      </c>
      <c r="J349" s="376" t="s">
        <v>206</v>
      </c>
      <c r="K349" s="377" t="s">
        <v>206</v>
      </c>
    </row>
    <row r="350" spans="1:11" ht="15.6">
      <c r="B350" s="380" t="s">
        <v>492</v>
      </c>
      <c r="C350" s="382">
        <v>9.6999999999999993</v>
      </c>
      <c r="D350" s="383">
        <v>4.9000000000000004</v>
      </c>
      <c r="E350" s="382">
        <v>4.7999999999999989</v>
      </c>
      <c r="F350" s="382">
        <v>9.6999999999999993</v>
      </c>
      <c r="G350" s="383">
        <v>4.9000000000000004</v>
      </c>
      <c r="H350" s="382">
        <v>4.7999999999999989</v>
      </c>
      <c r="I350" s="376" t="s">
        <v>206</v>
      </c>
      <c r="J350" s="376" t="s">
        <v>206</v>
      </c>
      <c r="K350" s="377" t="s">
        <v>206</v>
      </c>
    </row>
    <row r="351" spans="1:11" ht="15.6">
      <c r="B351" s="380"/>
      <c r="C351" s="404"/>
      <c r="D351" s="404"/>
      <c r="E351" s="404"/>
      <c r="F351" s="404"/>
      <c r="G351" s="404"/>
      <c r="H351" s="404"/>
      <c r="I351" s="404"/>
      <c r="J351" s="404"/>
      <c r="K351" s="405"/>
    </row>
    <row r="352" spans="1:11" ht="15.6">
      <c r="B352" s="372" t="s">
        <v>493</v>
      </c>
      <c r="C352" s="381">
        <v>228.7</v>
      </c>
      <c r="D352" s="381">
        <v>114.9</v>
      </c>
      <c r="E352" s="381">
        <v>113.79999999999998</v>
      </c>
      <c r="F352" s="381">
        <v>88.6</v>
      </c>
      <c r="G352" s="381">
        <v>43.6</v>
      </c>
      <c r="H352" s="381">
        <v>44.999999999999993</v>
      </c>
      <c r="I352" s="381">
        <v>140.1</v>
      </c>
      <c r="J352" s="381">
        <v>71.300000000000011</v>
      </c>
      <c r="K352" s="388">
        <v>68.799999999999983</v>
      </c>
    </row>
    <row r="353" spans="2:11" ht="15.6">
      <c r="B353" s="380" t="s">
        <v>493</v>
      </c>
      <c r="C353" s="382">
        <v>52.6</v>
      </c>
      <c r="D353" s="383">
        <v>25.7</v>
      </c>
      <c r="E353" s="382">
        <v>26.900000000000002</v>
      </c>
      <c r="F353" s="382">
        <v>52.6</v>
      </c>
      <c r="G353" s="383">
        <v>25.7</v>
      </c>
      <c r="H353" s="382">
        <v>26.900000000000002</v>
      </c>
      <c r="I353" s="376" t="s">
        <v>206</v>
      </c>
      <c r="J353" s="376" t="s">
        <v>206</v>
      </c>
      <c r="K353" s="377" t="s">
        <v>206</v>
      </c>
    </row>
    <row r="354" spans="2:11" ht="15.6">
      <c r="B354" s="380" t="s">
        <v>494</v>
      </c>
      <c r="C354" s="382">
        <v>11.5</v>
      </c>
      <c r="D354" s="383">
        <v>5.7</v>
      </c>
      <c r="E354" s="382">
        <v>5.8</v>
      </c>
      <c r="F354" s="382">
        <v>11.5</v>
      </c>
      <c r="G354" s="383">
        <v>5.7</v>
      </c>
      <c r="H354" s="382">
        <v>5.8</v>
      </c>
      <c r="I354" s="376" t="s">
        <v>206</v>
      </c>
      <c r="J354" s="376" t="s">
        <v>206</v>
      </c>
      <c r="K354" s="377" t="s">
        <v>206</v>
      </c>
    </row>
    <row r="355" spans="2:11" ht="15.6">
      <c r="B355" s="380" t="s">
        <v>495</v>
      </c>
      <c r="C355" s="382">
        <v>1.9</v>
      </c>
      <c r="D355" s="383">
        <v>0.9</v>
      </c>
      <c r="E355" s="382">
        <v>0.99999999999999989</v>
      </c>
      <c r="F355" s="382">
        <v>1.9</v>
      </c>
      <c r="G355" s="383">
        <v>0.9</v>
      </c>
      <c r="H355" s="382">
        <v>0.99999999999999989</v>
      </c>
      <c r="I355" s="376" t="s">
        <v>206</v>
      </c>
      <c r="J355" s="376" t="s">
        <v>206</v>
      </c>
      <c r="K355" s="377" t="s">
        <v>206</v>
      </c>
    </row>
    <row r="356" spans="2:11" ht="15.6">
      <c r="B356" s="380" t="s">
        <v>496</v>
      </c>
      <c r="C356" s="382">
        <v>3.2</v>
      </c>
      <c r="D356" s="383">
        <v>1.6</v>
      </c>
      <c r="E356" s="382">
        <v>1.6</v>
      </c>
      <c r="F356" s="382">
        <v>3.2</v>
      </c>
      <c r="G356" s="383">
        <v>1.6</v>
      </c>
      <c r="H356" s="382">
        <v>1.6</v>
      </c>
      <c r="I356" s="376" t="s">
        <v>206</v>
      </c>
      <c r="J356" s="376" t="s">
        <v>206</v>
      </c>
      <c r="K356" s="377" t="s">
        <v>206</v>
      </c>
    </row>
    <row r="357" spans="2:11" ht="15.6">
      <c r="B357" s="380" t="s">
        <v>497</v>
      </c>
      <c r="C357" s="382">
        <v>2.2999999999999998</v>
      </c>
      <c r="D357" s="383">
        <v>1.1000000000000001</v>
      </c>
      <c r="E357" s="382">
        <v>1.1999999999999997</v>
      </c>
      <c r="F357" s="382">
        <v>2.2999999999999998</v>
      </c>
      <c r="G357" s="383">
        <v>1.1000000000000001</v>
      </c>
      <c r="H357" s="382">
        <v>1.1999999999999997</v>
      </c>
      <c r="I357" s="376" t="s">
        <v>206</v>
      </c>
      <c r="J357" s="376" t="s">
        <v>206</v>
      </c>
      <c r="K357" s="377" t="s">
        <v>206</v>
      </c>
    </row>
    <row r="358" spans="2:11" ht="15.6">
      <c r="B358" s="380" t="s">
        <v>498</v>
      </c>
      <c r="C358" s="382">
        <v>4.5</v>
      </c>
      <c r="D358" s="383">
        <v>2.2999999999999998</v>
      </c>
      <c r="E358" s="382">
        <v>2.2000000000000002</v>
      </c>
      <c r="F358" s="382">
        <v>4.5</v>
      </c>
      <c r="G358" s="383">
        <v>2.2999999999999998</v>
      </c>
      <c r="H358" s="382">
        <v>2.2000000000000002</v>
      </c>
      <c r="I358" s="376" t="s">
        <v>206</v>
      </c>
      <c r="J358" s="376" t="s">
        <v>206</v>
      </c>
      <c r="K358" s="377" t="s">
        <v>206</v>
      </c>
    </row>
    <row r="359" spans="2:11" ht="15.6">
      <c r="B359" s="380" t="s">
        <v>499</v>
      </c>
      <c r="C359" s="382">
        <v>5.0999999999999996</v>
      </c>
      <c r="D359" s="383">
        <v>2.5</v>
      </c>
      <c r="E359" s="382">
        <v>2.5999999999999996</v>
      </c>
      <c r="F359" s="382">
        <v>5.0999999999999996</v>
      </c>
      <c r="G359" s="383">
        <v>2.5</v>
      </c>
      <c r="H359" s="382">
        <v>2.5999999999999996</v>
      </c>
      <c r="I359" s="376" t="s">
        <v>206</v>
      </c>
      <c r="J359" s="376" t="s">
        <v>206</v>
      </c>
      <c r="K359" s="377" t="s">
        <v>206</v>
      </c>
    </row>
    <row r="360" spans="2:11" ht="15.6">
      <c r="B360" s="380" t="s">
        <v>500</v>
      </c>
      <c r="C360" s="382">
        <v>2.5</v>
      </c>
      <c r="D360" s="383">
        <v>1.3</v>
      </c>
      <c r="E360" s="382">
        <v>1.2</v>
      </c>
      <c r="F360" s="382">
        <v>2.5</v>
      </c>
      <c r="G360" s="383">
        <v>1.3</v>
      </c>
      <c r="H360" s="382">
        <v>1.2</v>
      </c>
      <c r="I360" s="376" t="s">
        <v>206</v>
      </c>
      <c r="J360" s="376" t="s">
        <v>206</v>
      </c>
      <c r="K360" s="377" t="s">
        <v>206</v>
      </c>
    </row>
    <row r="361" spans="2:11" ht="15.6">
      <c r="B361" s="380" t="s">
        <v>501</v>
      </c>
      <c r="C361" s="382">
        <v>1.3</v>
      </c>
      <c r="D361" s="383">
        <v>0.7</v>
      </c>
      <c r="E361" s="382">
        <v>0.60000000000000009</v>
      </c>
      <c r="F361" s="382">
        <v>1.3</v>
      </c>
      <c r="G361" s="383">
        <v>0.7</v>
      </c>
      <c r="H361" s="382">
        <v>0.60000000000000009</v>
      </c>
      <c r="I361" s="376" t="s">
        <v>206</v>
      </c>
      <c r="J361" s="376" t="s">
        <v>206</v>
      </c>
      <c r="K361" s="377" t="s">
        <v>206</v>
      </c>
    </row>
    <row r="362" spans="2:11" ht="15.6">
      <c r="B362" s="380" t="s">
        <v>502</v>
      </c>
      <c r="C362" s="382">
        <v>3.7</v>
      </c>
      <c r="D362" s="383">
        <v>1.8</v>
      </c>
      <c r="E362" s="382">
        <v>1.9000000000000001</v>
      </c>
      <c r="F362" s="382">
        <v>3.7</v>
      </c>
      <c r="G362" s="383">
        <v>1.8</v>
      </c>
      <c r="H362" s="382">
        <v>1.9000000000000001</v>
      </c>
      <c r="I362" s="376" t="s">
        <v>206</v>
      </c>
      <c r="J362" s="376" t="s">
        <v>206</v>
      </c>
      <c r="K362" s="377" t="s">
        <v>206</v>
      </c>
    </row>
    <row r="363" spans="2:11" ht="15.6">
      <c r="B363" s="380"/>
      <c r="C363" s="404"/>
      <c r="D363" s="404"/>
      <c r="E363" s="404"/>
      <c r="F363" s="404"/>
      <c r="G363" s="404"/>
      <c r="H363" s="404"/>
      <c r="I363" s="404"/>
      <c r="J363" s="404"/>
      <c r="K363" s="405"/>
    </row>
    <row r="364" spans="2:11" ht="15.6">
      <c r="B364" s="372" t="s">
        <v>503</v>
      </c>
      <c r="C364" s="381">
        <v>84.7</v>
      </c>
      <c r="D364" s="381">
        <v>42.9</v>
      </c>
      <c r="E364" s="381">
        <v>41.800000000000004</v>
      </c>
      <c r="F364" s="381">
        <v>8.5</v>
      </c>
      <c r="G364" s="381">
        <v>4.3</v>
      </c>
      <c r="H364" s="381">
        <v>4.2</v>
      </c>
      <c r="I364" s="381">
        <v>76.2</v>
      </c>
      <c r="J364" s="381">
        <v>38.6</v>
      </c>
      <c r="K364" s="388">
        <v>37.6</v>
      </c>
    </row>
    <row r="365" spans="2:11" ht="15.6">
      <c r="B365" s="380" t="s">
        <v>504</v>
      </c>
      <c r="C365" s="382">
        <v>8.5</v>
      </c>
      <c r="D365" s="383">
        <v>4.3</v>
      </c>
      <c r="E365" s="382">
        <v>4.2</v>
      </c>
      <c r="F365" s="382">
        <v>8.5</v>
      </c>
      <c r="G365" s="383">
        <v>4.3</v>
      </c>
      <c r="H365" s="382">
        <v>4.2</v>
      </c>
      <c r="I365" s="376" t="s">
        <v>206</v>
      </c>
      <c r="J365" s="376" t="s">
        <v>206</v>
      </c>
      <c r="K365" s="377" t="s">
        <v>206</v>
      </c>
    </row>
    <row r="366" spans="2:11" ht="15.6">
      <c r="B366" s="380"/>
      <c r="C366" s="392"/>
      <c r="D366" s="392"/>
      <c r="E366" s="392"/>
      <c r="F366" s="392"/>
      <c r="G366" s="392"/>
      <c r="H366" s="392"/>
      <c r="I366" s="392"/>
      <c r="J366" s="392"/>
      <c r="K366" s="393"/>
    </row>
    <row r="367" spans="2:11" ht="15.6">
      <c r="B367" s="372" t="s">
        <v>505</v>
      </c>
      <c r="C367" s="381">
        <v>67</v>
      </c>
      <c r="D367" s="381">
        <v>34.299999999999997</v>
      </c>
      <c r="E367" s="381">
        <v>32.700000000000003</v>
      </c>
      <c r="F367" s="381">
        <v>7.5</v>
      </c>
      <c r="G367" s="381">
        <v>3.9</v>
      </c>
      <c r="H367" s="381">
        <v>3.6</v>
      </c>
      <c r="I367" s="381">
        <v>59.5</v>
      </c>
      <c r="J367" s="381">
        <v>30.4</v>
      </c>
      <c r="K367" s="388">
        <v>29.1</v>
      </c>
    </row>
    <row r="368" spans="2:11" ht="15.6">
      <c r="B368" s="380" t="s">
        <v>506</v>
      </c>
      <c r="C368" s="382">
        <v>7.5</v>
      </c>
      <c r="D368" s="383">
        <v>3.9</v>
      </c>
      <c r="E368" s="382">
        <v>3.6</v>
      </c>
      <c r="F368" s="382">
        <v>7.5</v>
      </c>
      <c r="G368" s="383">
        <v>3.9</v>
      </c>
      <c r="H368" s="382">
        <v>3.6</v>
      </c>
      <c r="I368" s="376" t="s">
        <v>206</v>
      </c>
      <c r="J368" s="376" t="s">
        <v>206</v>
      </c>
      <c r="K368" s="377" t="s">
        <v>206</v>
      </c>
    </row>
    <row r="369" spans="1:11" ht="15.6">
      <c r="B369" s="380"/>
      <c r="C369" s="392"/>
      <c r="D369" s="392"/>
      <c r="E369" s="392"/>
      <c r="F369" s="392"/>
      <c r="G369" s="392"/>
      <c r="H369" s="392"/>
      <c r="I369" s="392"/>
      <c r="J369" s="392"/>
      <c r="K369" s="393"/>
    </row>
    <row r="370" spans="1:11" ht="15.6">
      <c r="B370" s="372" t="s">
        <v>507</v>
      </c>
      <c r="C370" s="381">
        <v>225.8</v>
      </c>
      <c r="D370" s="381">
        <v>114.7</v>
      </c>
      <c r="E370" s="381">
        <v>111.10000000000001</v>
      </c>
      <c r="F370" s="381">
        <v>51.1</v>
      </c>
      <c r="G370" s="381">
        <v>26.3</v>
      </c>
      <c r="H370" s="381">
        <v>24.8</v>
      </c>
      <c r="I370" s="381">
        <v>174.70000000000002</v>
      </c>
      <c r="J370" s="381">
        <v>88.4</v>
      </c>
      <c r="K370" s="388">
        <v>86.300000000000011</v>
      </c>
    </row>
    <row r="371" spans="1:11" ht="15.6">
      <c r="B371" s="380" t="s">
        <v>508</v>
      </c>
      <c r="C371" s="382">
        <v>26.3</v>
      </c>
      <c r="D371" s="383">
        <v>13.4</v>
      </c>
      <c r="E371" s="382">
        <v>12.9</v>
      </c>
      <c r="F371" s="382">
        <v>26.3</v>
      </c>
      <c r="G371" s="383">
        <v>13.4</v>
      </c>
      <c r="H371" s="382">
        <v>12.9</v>
      </c>
      <c r="I371" s="376" t="s">
        <v>206</v>
      </c>
      <c r="J371" s="376" t="s">
        <v>206</v>
      </c>
      <c r="K371" s="377" t="s">
        <v>206</v>
      </c>
    </row>
    <row r="372" spans="1:11" ht="15.6">
      <c r="B372" s="380" t="s">
        <v>509</v>
      </c>
      <c r="C372" s="382">
        <v>7</v>
      </c>
      <c r="D372" s="383">
        <v>3.6</v>
      </c>
      <c r="E372" s="382">
        <v>3.4</v>
      </c>
      <c r="F372" s="382">
        <v>7</v>
      </c>
      <c r="G372" s="383">
        <v>3.6</v>
      </c>
      <c r="H372" s="382">
        <v>3.4</v>
      </c>
      <c r="I372" s="376" t="s">
        <v>206</v>
      </c>
      <c r="J372" s="376" t="s">
        <v>206</v>
      </c>
      <c r="K372" s="377" t="s">
        <v>206</v>
      </c>
    </row>
    <row r="373" spans="1:11" ht="15.6">
      <c r="B373" s="380" t="s">
        <v>510</v>
      </c>
      <c r="C373" s="382">
        <v>17.8</v>
      </c>
      <c r="D373" s="383">
        <v>9.3000000000000007</v>
      </c>
      <c r="E373" s="382">
        <v>8.5</v>
      </c>
      <c r="F373" s="382">
        <v>17.8</v>
      </c>
      <c r="G373" s="383">
        <v>9.3000000000000007</v>
      </c>
      <c r="H373" s="382">
        <v>8.5</v>
      </c>
      <c r="I373" s="376" t="s">
        <v>206</v>
      </c>
      <c r="J373" s="376" t="s">
        <v>206</v>
      </c>
      <c r="K373" s="377" t="s">
        <v>206</v>
      </c>
    </row>
    <row r="374" spans="1:11" ht="15.6">
      <c r="B374" s="380"/>
      <c r="C374" s="385"/>
      <c r="D374" s="385"/>
      <c r="E374" s="385"/>
      <c r="F374" s="385"/>
      <c r="G374" s="385"/>
      <c r="H374" s="385"/>
      <c r="I374" s="385"/>
      <c r="J374" s="385"/>
      <c r="K374" s="394"/>
    </row>
    <row r="375" spans="1:11" ht="15.6">
      <c r="B375" s="372" t="s">
        <v>511</v>
      </c>
      <c r="C375" s="381">
        <v>222.4</v>
      </c>
      <c r="D375" s="381">
        <v>112.3</v>
      </c>
      <c r="E375" s="381">
        <v>110.10000000000001</v>
      </c>
      <c r="F375" s="381">
        <v>62</v>
      </c>
      <c r="G375" s="381">
        <v>31.1</v>
      </c>
      <c r="H375" s="381">
        <v>30.9</v>
      </c>
      <c r="I375" s="381">
        <v>160.4</v>
      </c>
      <c r="J375" s="381">
        <v>81.199999999999989</v>
      </c>
      <c r="K375" s="388">
        <v>79.200000000000017</v>
      </c>
    </row>
    <row r="376" spans="1:11" ht="15.6">
      <c r="B376" s="380" t="s">
        <v>512</v>
      </c>
      <c r="C376" s="382">
        <v>46.7</v>
      </c>
      <c r="D376" s="383">
        <v>23.4</v>
      </c>
      <c r="E376" s="382">
        <v>23.300000000000004</v>
      </c>
      <c r="F376" s="382">
        <v>46.7</v>
      </c>
      <c r="G376" s="383">
        <v>23.4</v>
      </c>
      <c r="H376" s="382">
        <v>23.300000000000004</v>
      </c>
      <c r="I376" s="376" t="s">
        <v>206</v>
      </c>
      <c r="J376" s="376" t="s">
        <v>206</v>
      </c>
      <c r="K376" s="377" t="s">
        <v>206</v>
      </c>
    </row>
    <row r="377" spans="1:11" ht="15.6">
      <c r="B377" s="380" t="s">
        <v>513</v>
      </c>
      <c r="C377" s="382">
        <v>15.3</v>
      </c>
      <c r="D377" s="383">
        <v>7.7</v>
      </c>
      <c r="E377" s="382">
        <v>7.6000000000000005</v>
      </c>
      <c r="F377" s="382">
        <v>15.3</v>
      </c>
      <c r="G377" s="383">
        <v>7.7</v>
      </c>
      <c r="H377" s="382">
        <v>7.6000000000000005</v>
      </c>
      <c r="I377" s="376" t="s">
        <v>206</v>
      </c>
      <c r="J377" s="376" t="s">
        <v>206</v>
      </c>
      <c r="K377" s="377" t="s">
        <v>206</v>
      </c>
    </row>
    <row r="378" spans="1:11" ht="15.6">
      <c r="B378" s="380" t="s">
        <v>514</v>
      </c>
      <c r="C378" s="382" t="s">
        <v>206</v>
      </c>
      <c r="D378" s="382" t="s">
        <v>206</v>
      </c>
      <c r="E378" s="382" t="s">
        <v>206</v>
      </c>
      <c r="F378" s="382" t="s">
        <v>206</v>
      </c>
      <c r="G378" s="382" t="s">
        <v>206</v>
      </c>
      <c r="H378" s="382" t="s">
        <v>206</v>
      </c>
      <c r="I378" s="376" t="s">
        <v>206</v>
      </c>
      <c r="J378" s="376" t="s">
        <v>206</v>
      </c>
      <c r="K378" s="377" t="s">
        <v>206</v>
      </c>
    </row>
    <row r="379" spans="1:11" ht="15.6">
      <c r="B379" s="380"/>
      <c r="C379" s="385"/>
      <c r="D379" s="385"/>
      <c r="E379" s="385"/>
      <c r="F379" s="385"/>
      <c r="G379" s="385"/>
      <c r="H379" s="385"/>
      <c r="I379" s="385"/>
      <c r="J379" s="385"/>
      <c r="K379" s="394"/>
    </row>
    <row r="380" spans="1:11" ht="15.6">
      <c r="A380" t="s">
        <v>906</v>
      </c>
      <c r="B380" s="372" t="s">
        <v>515</v>
      </c>
      <c r="C380" s="399">
        <v>549.4</v>
      </c>
      <c r="D380" s="399">
        <v>276.89999999999998</v>
      </c>
      <c r="E380" s="399">
        <v>272.5</v>
      </c>
      <c r="F380" s="381">
        <v>181.8</v>
      </c>
      <c r="G380" s="381">
        <v>90.5</v>
      </c>
      <c r="H380" s="399">
        <v>91.300000000000011</v>
      </c>
      <c r="I380" s="381">
        <v>367.59999999999997</v>
      </c>
      <c r="J380" s="381">
        <v>186.4</v>
      </c>
      <c r="K380" s="388">
        <v>181.19999999999996</v>
      </c>
    </row>
    <row r="381" spans="1:11" ht="15.6">
      <c r="B381" s="378" t="s">
        <v>301</v>
      </c>
      <c r="C381" s="406"/>
      <c r="D381" s="406"/>
      <c r="E381" s="406"/>
      <c r="F381" s="406"/>
      <c r="G381" s="406"/>
      <c r="H381" s="406"/>
      <c r="I381" s="406"/>
      <c r="J381" s="406"/>
      <c r="K381" s="407"/>
    </row>
    <row r="382" spans="1:11" ht="15.6">
      <c r="B382" s="372" t="s">
        <v>516</v>
      </c>
      <c r="C382" s="381">
        <v>98.1</v>
      </c>
      <c r="D382" s="381">
        <v>49.1</v>
      </c>
      <c r="E382" s="381">
        <v>48.999999999999993</v>
      </c>
      <c r="F382" s="381">
        <v>20.7</v>
      </c>
      <c r="G382" s="381">
        <v>10.199999999999999</v>
      </c>
      <c r="H382" s="381">
        <v>10.5</v>
      </c>
      <c r="I382" s="381">
        <v>77.399999999999991</v>
      </c>
      <c r="J382" s="381">
        <v>38.900000000000006</v>
      </c>
      <c r="K382" s="388">
        <v>38.499999999999986</v>
      </c>
    </row>
    <row r="383" spans="1:11" ht="15.6">
      <c r="B383" s="380" t="s">
        <v>517</v>
      </c>
      <c r="C383" s="382">
        <v>18.399999999999999</v>
      </c>
      <c r="D383" s="383">
        <v>9</v>
      </c>
      <c r="E383" s="382">
        <v>9.3999999999999986</v>
      </c>
      <c r="F383" s="382">
        <v>18.399999999999999</v>
      </c>
      <c r="G383" s="383">
        <v>9</v>
      </c>
      <c r="H383" s="382">
        <v>9.3999999999999986</v>
      </c>
      <c r="I383" s="376" t="s">
        <v>206</v>
      </c>
      <c r="J383" s="376" t="s">
        <v>206</v>
      </c>
      <c r="K383" s="377" t="s">
        <v>206</v>
      </c>
    </row>
    <row r="384" spans="1:11" ht="15.6">
      <c r="B384" s="380" t="s">
        <v>518</v>
      </c>
      <c r="C384" s="382">
        <v>2.2999999999999998</v>
      </c>
      <c r="D384" s="383">
        <v>1.2</v>
      </c>
      <c r="E384" s="382">
        <v>1.0999999999999999</v>
      </c>
      <c r="F384" s="382">
        <v>2.2999999999999998</v>
      </c>
      <c r="G384" s="383">
        <v>1.2</v>
      </c>
      <c r="H384" s="382">
        <v>1.0999999999999999</v>
      </c>
      <c r="I384" s="376" t="s">
        <v>206</v>
      </c>
      <c r="J384" s="376" t="s">
        <v>206</v>
      </c>
      <c r="K384" s="377" t="s">
        <v>206</v>
      </c>
    </row>
    <row r="385" spans="2:11" ht="15.6">
      <c r="B385" s="380"/>
      <c r="C385" s="404"/>
      <c r="D385" s="404"/>
      <c r="E385" s="404"/>
      <c r="F385" s="404"/>
      <c r="G385" s="404"/>
      <c r="H385" s="404"/>
      <c r="I385" s="404"/>
      <c r="J385" s="404"/>
      <c r="K385" s="405"/>
    </row>
    <row r="386" spans="2:11" ht="15.6">
      <c r="B386" s="372" t="s">
        <v>519</v>
      </c>
      <c r="C386" s="381">
        <v>178.1</v>
      </c>
      <c r="D386" s="381">
        <v>89.3</v>
      </c>
      <c r="E386" s="381">
        <v>88.8</v>
      </c>
      <c r="F386" s="381">
        <v>68.2</v>
      </c>
      <c r="G386" s="381">
        <v>33.5</v>
      </c>
      <c r="H386" s="381">
        <v>34.700000000000003</v>
      </c>
      <c r="I386" s="381">
        <v>109.89999999999999</v>
      </c>
      <c r="J386" s="381">
        <v>55.8</v>
      </c>
      <c r="K386" s="388">
        <v>54.099999999999994</v>
      </c>
    </row>
    <row r="387" spans="2:11" ht="15.6">
      <c r="B387" s="380" t="s">
        <v>520</v>
      </c>
      <c r="C387" s="382">
        <v>42.4</v>
      </c>
      <c r="D387" s="383">
        <v>20.8</v>
      </c>
      <c r="E387" s="382">
        <v>21.599999999999998</v>
      </c>
      <c r="F387" s="382">
        <v>42.4</v>
      </c>
      <c r="G387" s="383">
        <v>20.8</v>
      </c>
      <c r="H387" s="382">
        <v>21.599999999999998</v>
      </c>
      <c r="I387" s="376" t="s">
        <v>206</v>
      </c>
      <c r="J387" s="376" t="s">
        <v>206</v>
      </c>
      <c r="K387" s="377" t="s">
        <v>206</v>
      </c>
    </row>
    <row r="388" spans="2:11" ht="15.6">
      <c r="B388" s="380" t="s">
        <v>521</v>
      </c>
      <c r="C388" s="382">
        <v>16.8</v>
      </c>
      <c r="D388" s="383">
        <v>8.3000000000000007</v>
      </c>
      <c r="E388" s="382">
        <v>8.5</v>
      </c>
      <c r="F388" s="382">
        <v>16.8</v>
      </c>
      <c r="G388" s="383">
        <v>8.3000000000000007</v>
      </c>
      <c r="H388" s="382">
        <v>8.5</v>
      </c>
      <c r="I388" s="376" t="s">
        <v>206</v>
      </c>
      <c r="J388" s="376" t="s">
        <v>206</v>
      </c>
      <c r="K388" s="377" t="s">
        <v>206</v>
      </c>
    </row>
    <row r="389" spans="2:11" ht="15.6">
      <c r="B389" s="380" t="s">
        <v>522</v>
      </c>
      <c r="C389" s="382">
        <v>0.2</v>
      </c>
      <c r="D389" s="383">
        <v>0.1</v>
      </c>
      <c r="E389" s="382">
        <v>0.1</v>
      </c>
      <c r="F389" s="382">
        <v>0.2</v>
      </c>
      <c r="G389" s="383">
        <v>0.1</v>
      </c>
      <c r="H389" s="382">
        <v>0.1</v>
      </c>
      <c r="I389" s="376" t="s">
        <v>206</v>
      </c>
      <c r="J389" s="376" t="s">
        <v>206</v>
      </c>
      <c r="K389" s="377" t="s">
        <v>206</v>
      </c>
    </row>
    <row r="390" spans="2:11" ht="15.6">
      <c r="B390" s="380" t="s">
        <v>523</v>
      </c>
      <c r="C390" s="382">
        <v>2.2000000000000002</v>
      </c>
      <c r="D390" s="383">
        <v>1</v>
      </c>
      <c r="E390" s="382">
        <v>1.2000000000000002</v>
      </c>
      <c r="F390" s="382">
        <v>2.2000000000000002</v>
      </c>
      <c r="G390" s="383">
        <v>1</v>
      </c>
      <c r="H390" s="382">
        <v>1.2000000000000002</v>
      </c>
      <c r="I390" s="376" t="s">
        <v>206</v>
      </c>
      <c r="J390" s="376" t="s">
        <v>206</v>
      </c>
      <c r="K390" s="377" t="s">
        <v>206</v>
      </c>
    </row>
    <row r="391" spans="2:11" ht="15.6">
      <c r="B391" s="380" t="s">
        <v>524</v>
      </c>
      <c r="C391" s="382">
        <v>0.4</v>
      </c>
      <c r="D391" s="383">
        <v>0.2</v>
      </c>
      <c r="E391" s="382">
        <v>0.2</v>
      </c>
      <c r="F391" s="382">
        <v>0.4</v>
      </c>
      <c r="G391" s="383">
        <v>0.2</v>
      </c>
      <c r="H391" s="382">
        <v>0.2</v>
      </c>
      <c r="I391" s="376" t="s">
        <v>206</v>
      </c>
      <c r="J391" s="376" t="s">
        <v>206</v>
      </c>
      <c r="K391" s="377" t="s">
        <v>206</v>
      </c>
    </row>
    <row r="392" spans="2:11" ht="15.6">
      <c r="B392" s="380" t="s">
        <v>525</v>
      </c>
      <c r="C392" s="382">
        <v>0.4</v>
      </c>
      <c r="D392" s="383">
        <v>0.2</v>
      </c>
      <c r="E392" s="382">
        <v>0.2</v>
      </c>
      <c r="F392" s="382">
        <v>0.4</v>
      </c>
      <c r="G392" s="383">
        <v>0.2</v>
      </c>
      <c r="H392" s="382">
        <v>0.2</v>
      </c>
      <c r="I392" s="376" t="s">
        <v>206</v>
      </c>
      <c r="J392" s="376" t="s">
        <v>206</v>
      </c>
      <c r="K392" s="377" t="s">
        <v>206</v>
      </c>
    </row>
    <row r="393" spans="2:11" ht="15.6">
      <c r="B393" s="380" t="s">
        <v>526</v>
      </c>
      <c r="C393" s="382">
        <v>0.2</v>
      </c>
      <c r="D393" s="383">
        <v>0.1</v>
      </c>
      <c r="E393" s="382">
        <v>0.1</v>
      </c>
      <c r="F393" s="382">
        <v>0.2</v>
      </c>
      <c r="G393" s="383">
        <v>0.1</v>
      </c>
      <c r="H393" s="382">
        <v>0.1</v>
      </c>
      <c r="I393" s="376" t="s">
        <v>206</v>
      </c>
      <c r="J393" s="376" t="s">
        <v>206</v>
      </c>
      <c r="K393" s="377" t="s">
        <v>206</v>
      </c>
    </row>
    <row r="394" spans="2:11" ht="15.6">
      <c r="B394" s="380" t="s">
        <v>527</v>
      </c>
      <c r="C394" s="382">
        <v>0.1</v>
      </c>
      <c r="D394" s="383">
        <v>0.1</v>
      </c>
      <c r="E394" s="382">
        <v>0</v>
      </c>
      <c r="F394" s="382">
        <v>0.1</v>
      </c>
      <c r="G394" s="383">
        <v>0.1</v>
      </c>
      <c r="H394" s="382">
        <v>0</v>
      </c>
      <c r="I394" s="376" t="s">
        <v>206</v>
      </c>
      <c r="J394" s="376" t="s">
        <v>206</v>
      </c>
      <c r="K394" s="377" t="s">
        <v>206</v>
      </c>
    </row>
    <row r="395" spans="2:11" ht="15.6">
      <c r="B395" s="380" t="s">
        <v>528</v>
      </c>
      <c r="C395" s="382">
        <v>0.1</v>
      </c>
      <c r="D395" s="383">
        <v>0</v>
      </c>
      <c r="E395" s="382">
        <v>0.1</v>
      </c>
      <c r="F395" s="382">
        <v>0.1</v>
      </c>
      <c r="G395" s="383">
        <v>0</v>
      </c>
      <c r="H395" s="382">
        <v>0.1</v>
      </c>
      <c r="I395" s="376" t="s">
        <v>206</v>
      </c>
      <c r="J395" s="376" t="s">
        <v>206</v>
      </c>
      <c r="K395" s="377" t="s">
        <v>206</v>
      </c>
    </row>
    <row r="396" spans="2:11" ht="15.6">
      <c r="B396" s="380" t="s">
        <v>529</v>
      </c>
      <c r="C396" s="382">
        <v>0</v>
      </c>
      <c r="D396" s="383">
        <v>0</v>
      </c>
      <c r="E396" s="382">
        <v>0</v>
      </c>
      <c r="F396" s="382">
        <v>0</v>
      </c>
      <c r="G396" s="383">
        <v>0</v>
      </c>
      <c r="H396" s="382">
        <v>0</v>
      </c>
      <c r="I396" s="376" t="s">
        <v>206</v>
      </c>
      <c r="J396" s="376" t="s">
        <v>206</v>
      </c>
      <c r="K396" s="377" t="s">
        <v>206</v>
      </c>
    </row>
    <row r="397" spans="2:11" ht="15.6">
      <c r="B397" s="380" t="s">
        <v>530</v>
      </c>
      <c r="C397" s="382">
        <v>0</v>
      </c>
      <c r="D397" s="383">
        <v>0</v>
      </c>
      <c r="E397" s="382">
        <v>0</v>
      </c>
      <c r="F397" s="382">
        <v>0</v>
      </c>
      <c r="G397" s="383">
        <v>0</v>
      </c>
      <c r="H397" s="382">
        <v>0</v>
      </c>
      <c r="I397" s="376" t="s">
        <v>206</v>
      </c>
      <c r="J397" s="376" t="s">
        <v>206</v>
      </c>
      <c r="K397" s="377" t="s">
        <v>206</v>
      </c>
    </row>
    <row r="398" spans="2:11" ht="15.6">
      <c r="B398" s="380" t="s">
        <v>531</v>
      </c>
      <c r="C398" s="382">
        <v>0.1</v>
      </c>
      <c r="D398" s="383">
        <v>0.1</v>
      </c>
      <c r="E398" s="382">
        <v>0</v>
      </c>
      <c r="F398" s="382">
        <v>0.1</v>
      </c>
      <c r="G398" s="383">
        <v>0.1</v>
      </c>
      <c r="H398" s="382">
        <v>0</v>
      </c>
      <c r="I398" s="376" t="s">
        <v>206</v>
      </c>
      <c r="J398" s="376" t="s">
        <v>206</v>
      </c>
      <c r="K398" s="377" t="s">
        <v>206</v>
      </c>
    </row>
    <row r="399" spans="2:11" ht="15.6">
      <c r="B399" s="380" t="s">
        <v>532</v>
      </c>
      <c r="C399" s="382">
        <v>1.4</v>
      </c>
      <c r="D399" s="383">
        <v>0.7</v>
      </c>
      <c r="E399" s="382">
        <v>0.7</v>
      </c>
      <c r="F399" s="382">
        <v>1.4</v>
      </c>
      <c r="G399" s="383">
        <v>0.7</v>
      </c>
      <c r="H399" s="382">
        <v>0.7</v>
      </c>
      <c r="I399" s="376" t="s">
        <v>206</v>
      </c>
      <c r="J399" s="376" t="s">
        <v>206</v>
      </c>
      <c r="K399" s="377" t="s">
        <v>206</v>
      </c>
    </row>
    <row r="400" spans="2:11" ht="15.6">
      <c r="B400" s="380" t="s">
        <v>533</v>
      </c>
      <c r="C400" s="382">
        <v>3.9</v>
      </c>
      <c r="D400" s="383">
        <v>1.9</v>
      </c>
      <c r="E400" s="382">
        <v>2</v>
      </c>
      <c r="F400" s="382">
        <v>3.9</v>
      </c>
      <c r="G400" s="383">
        <v>1.9</v>
      </c>
      <c r="H400" s="382">
        <v>2</v>
      </c>
      <c r="I400" s="376" t="s">
        <v>206</v>
      </c>
      <c r="J400" s="376" t="s">
        <v>206</v>
      </c>
      <c r="K400" s="377" t="s">
        <v>206</v>
      </c>
    </row>
    <row r="401" spans="2:11" ht="15.6">
      <c r="B401" s="380"/>
      <c r="C401" s="404"/>
      <c r="D401" s="404"/>
      <c r="E401" s="404"/>
      <c r="F401" s="404"/>
      <c r="G401" s="404"/>
      <c r="H401" s="404"/>
      <c r="I401" s="404"/>
      <c r="J401" s="404"/>
      <c r="K401" s="405"/>
    </row>
    <row r="402" spans="2:11" ht="15.6">
      <c r="B402" s="372" t="s">
        <v>534</v>
      </c>
      <c r="C402" s="381">
        <v>171.7</v>
      </c>
      <c r="D402" s="381">
        <v>87.3</v>
      </c>
      <c r="E402" s="381">
        <v>84.399999999999991</v>
      </c>
      <c r="F402" s="381">
        <v>40.6</v>
      </c>
      <c r="G402" s="381">
        <v>20.399999999999999</v>
      </c>
      <c r="H402" s="411">
        <v>20.200000000000003</v>
      </c>
      <c r="I402" s="381">
        <v>131.1</v>
      </c>
      <c r="J402" s="381">
        <v>66.900000000000006</v>
      </c>
      <c r="K402" s="412">
        <v>64.199999999999989</v>
      </c>
    </row>
    <row r="403" spans="2:11" ht="15.6">
      <c r="B403" s="380" t="s">
        <v>535</v>
      </c>
      <c r="C403" s="382">
        <v>25</v>
      </c>
      <c r="D403" s="383">
        <v>12.4</v>
      </c>
      <c r="E403" s="382">
        <v>12.6</v>
      </c>
      <c r="F403" s="382">
        <v>25</v>
      </c>
      <c r="G403" s="383">
        <v>12.4</v>
      </c>
      <c r="H403" s="382">
        <v>12.6</v>
      </c>
      <c r="I403" s="376" t="s">
        <v>206</v>
      </c>
      <c r="J403" s="376" t="s">
        <v>206</v>
      </c>
      <c r="K403" s="377" t="s">
        <v>206</v>
      </c>
    </row>
    <row r="404" spans="2:11" ht="15.6">
      <c r="B404" s="380" t="s">
        <v>536</v>
      </c>
      <c r="C404" s="382">
        <v>1.8</v>
      </c>
      <c r="D404" s="383">
        <v>0.9</v>
      </c>
      <c r="E404" s="382">
        <v>0.9</v>
      </c>
      <c r="F404" s="382">
        <v>1.8</v>
      </c>
      <c r="G404" s="383">
        <v>0.9</v>
      </c>
      <c r="H404" s="382">
        <v>0.9</v>
      </c>
      <c r="I404" s="376" t="s">
        <v>206</v>
      </c>
      <c r="J404" s="376" t="s">
        <v>206</v>
      </c>
      <c r="K404" s="377" t="s">
        <v>206</v>
      </c>
    </row>
    <row r="405" spans="2:11" ht="15.6">
      <c r="B405" s="380" t="s">
        <v>537</v>
      </c>
      <c r="C405" s="382">
        <v>3.2</v>
      </c>
      <c r="D405" s="383">
        <v>1.7</v>
      </c>
      <c r="E405" s="382">
        <v>1.5000000000000002</v>
      </c>
      <c r="F405" s="382">
        <v>3.2</v>
      </c>
      <c r="G405" s="383">
        <v>1.7</v>
      </c>
      <c r="H405" s="382">
        <v>1.5000000000000002</v>
      </c>
      <c r="I405" s="376" t="s">
        <v>206</v>
      </c>
      <c r="J405" s="376" t="s">
        <v>206</v>
      </c>
      <c r="K405" s="377" t="s">
        <v>206</v>
      </c>
    </row>
    <row r="406" spans="2:11" ht="15.6">
      <c r="B406" s="380" t="s">
        <v>538</v>
      </c>
      <c r="C406" s="382">
        <v>0.5</v>
      </c>
      <c r="D406" s="383">
        <v>0.2</v>
      </c>
      <c r="E406" s="382">
        <v>0.3</v>
      </c>
      <c r="F406" s="382">
        <v>0.5</v>
      </c>
      <c r="G406" s="383">
        <v>0.2</v>
      </c>
      <c r="H406" s="382">
        <v>0.3</v>
      </c>
      <c r="I406" s="376" t="s">
        <v>206</v>
      </c>
      <c r="J406" s="376" t="s">
        <v>206</v>
      </c>
      <c r="K406" s="377" t="s">
        <v>206</v>
      </c>
    </row>
    <row r="407" spans="2:11" ht="15.6">
      <c r="B407" s="380" t="s">
        <v>539</v>
      </c>
      <c r="C407" s="382">
        <v>4.5</v>
      </c>
      <c r="D407" s="383">
        <v>2.2999999999999998</v>
      </c>
      <c r="E407" s="382">
        <v>2.2000000000000002</v>
      </c>
      <c r="F407" s="382">
        <v>4.5</v>
      </c>
      <c r="G407" s="383">
        <v>2.2999999999999998</v>
      </c>
      <c r="H407" s="382">
        <v>2.2000000000000002</v>
      </c>
      <c r="I407" s="376" t="s">
        <v>206</v>
      </c>
      <c r="J407" s="376" t="s">
        <v>206</v>
      </c>
      <c r="K407" s="377" t="s">
        <v>206</v>
      </c>
    </row>
    <row r="408" spans="2:11" ht="15.6">
      <c r="B408" s="380" t="s">
        <v>540</v>
      </c>
      <c r="C408" s="382">
        <v>1.9</v>
      </c>
      <c r="D408" s="383">
        <v>1</v>
      </c>
      <c r="E408" s="382">
        <v>0.89999999999999991</v>
      </c>
      <c r="F408" s="382">
        <v>1.9</v>
      </c>
      <c r="G408" s="383">
        <v>1</v>
      </c>
      <c r="H408" s="382">
        <v>0.89999999999999991</v>
      </c>
      <c r="I408" s="376" t="s">
        <v>206</v>
      </c>
      <c r="J408" s="376" t="s">
        <v>206</v>
      </c>
      <c r="K408" s="377" t="s">
        <v>206</v>
      </c>
    </row>
    <row r="409" spans="2:11" ht="15.6">
      <c r="B409" s="380" t="s">
        <v>541</v>
      </c>
      <c r="C409" s="382">
        <v>2</v>
      </c>
      <c r="D409" s="383">
        <v>1</v>
      </c>
      <c r="E409" s="382">
        <v>1</v>
      </c>
      <c r="F409" s="382">
        <v>2</v>
      </c>
      <c r="G409" s="383">
        <v>1</v>
      </c>
      <c r="H409" s="382">
        <v>1</v>
      </c>
      <c r="I409" s="376" t="s">
        <v>206</v>
      </c>
      <c r="J409" s="376" t="s">
        <v>206</v>
      </c>
      <c r="K409" s="377" t="s">
        <v>206</v>
      </c>
    </row>
    <row r="410" spans="2:11" ht="15.6">
      <c r="B410" s="380" t="s">
        <v>542</v>
      </c>
      <c r="C410" s="382">
        <v>1.7</v>
      </c>
      <c r="D410" s="383">
        <v>0.9</v>
      </c>
      <c r="E410" s="382">
        <v>0.79999999999999993</v>
      </c>
      <c r="F410" s="382">
        <v>1.7</v>
      </c>
      <c r="G410" s="383">
        <v>0.9</v>
      </c>
      <c r="H410" s="382">
        <v>0.79999999999999993</v>
      </c>
      <c r="I410" s="376" t="s">
        <v>206</v>
      </c>
      <c r="J410" s="376" t="s">
        <v>206</v>
      </c>
      <c r="K410" s="377" t="s">
        <v>206</v>
      </c>
    </row>
    <row r="411" spans="2:11" ht="15.6">
      <c r="B411" s="380"/>
      <c r="C411" s="404"/>
      <c r="D411" s="404"/>
      <c r="E411" s="404"/>
      <c r="F411" s="404"/>
      <c r="G411" s="404"/>
      <c r="H411" s="404"/>
      <c r="I411" s="404"/>
      <c r="J411" s="404"/>
      <c r="K411" s="405"/>
    </row>
    <row r="412" spans="2:11" ht="15.6">
      <c r="B412" s="372" t="s">
        <v>543</v>
      </c>
      <c r="C412" s="381">
        <v>59.3</v>
      </c>
      <c r="D412" s="381">
        <v>30.2</v>
      </c>
      <c r="E412" s="381">
        <v>29.099999999999998</v>
      </c>
      <c r="F412" s="381">
        <v>25.3</v>
      </c>
      <c r="G412" s="381">
        <v>13</v>
      </c>
      <c r="H412" s="381">
        <v>12.3</v>
      </c>
      <c r="I412" s="381">
        <v>34</v>
      </c>
      <c r="J412" s="381">
        <v>17.2</v>
      </c>
      <c r="K412" s="388">
        <v>16.8</v>
      </c>
    </row>
    <row r="413" spans="2:11" ht="15.6">
      <c r="B413" s="380" t="s">
        <v>544</v>
      </c>
      <c r="C413" s="382">
        <v>25.3</v>
      </c>
      <c r="D413" s="383">
        <v>13</v>
      </c>
      <c r="E413" s="382">
        <v>12.3</v>
      </c>
      <c r="F413" s="382">
        <v>25.3</v>
      </c>
      <c r="G413" s="383">
        <v>13</v>
      </c>
      <c r="H413" s="382">
        <v>12.3</v>
      </c>
      <c r="I413" s="376" t="s">
        <v>206</v>
      </c>
      <c r="J413" s="376" t="s">
        <v>206</v>
      </c>
      <c r="K413" s="377" t="s">
        <v>206</v>
      </c>
    </row>
    <row r="414" spans="2:11" ht="15.6">
      <c r="B414" s="380"/>
      <c r="C414" s="392"/>
      <c r="D414" s="392"/>
      <c r="E414" s="392"/>
      <c r="F414" s="392"/>
      <c r="G414" s="392"/>
      <c r="H414" s="392"/>
      <c r="I414" s="392"/>
      <c r="J414" s="392"/>
      <c r="K414" s="393"/>
    </row>
    <row r="415" spans="2:11" ht="15.6">
      <c r="B415" s="372" t="s">
        <v>545</v>
      </c>
      <c r="C415" s="381">
        <v>42.2</v>
      </c>
      <c r="D415" s="381">
        <v>21</v>
      </c>
      <c r="E415" s="381">
        <v>21.200000000000003</v>
      </c>
      <c r="F415" s="381">
        <v>27</v>
      </c>
      <c r="G415" s="381">
        <v>13.4</v>
      </c>
      <c r="H415" s="381">
        <v>13.6</v>
      </c>
      <c r="I415" s="381">
        <v>15.200000000000003</v>
      </c>
      <c r="J415" s="381">
        <v>7.6</v>
      </c>
      <c r="K415" s="388">
        <v>7.6000000000000032</v>
      </c>
    </row>
    <row r="416" spans="2:11" ht="15.6">
      <c r="B416" s="380" t="s">
        <v>546</v>
      </c>
      <c r="C416" s="382">
        <v>25.9</v>
      </c>
      <c r="D416" s="383">
        <v>12.8</v>
      </c>
      <c r="E416" s="382">
        <v>13.099999999999998</v>
      </c>
      <c r="F416" s="382">
        <v>25.9</v>
      </c>
      <c r="G416" s="383">
        <v>12.8</v>
      </c>
      <c r="H416" s="382">
        <v>13.099999999999998</v>
      </c>
      <c r="I416" s="376" t="s">
        <v>206</v>
      </c>
      <c r="J416" s="376" t="s">
        <v>206</v>
      </c>
      <c r="K416" s="377" t="s">
        <v>206</v>
      </c>
    </row>
    <row r="417" spans="1:11" ht="15.6">
      <c r="B417" s="380" t="s">
        <v>547</v>
      </c>
      <c r="C417" s="382">
        <v>1.1000000000000001</v>
      </c>
      <c r="D417" s="383">
        <v>0.6</v>
      </c>
      <c r="E417" s="382">
        <v>0.50000000000000011</v>
      </c>
      <c r="F417" s="382">
        <v>1.1000000000000001</v>
      </c>
      <c r="G417" s="383">
        <v>0.6</v>
      </c>
      <c r="H417" s="382">
        <v>0.50000000000000011</v>
      </c>
      <c r="I417" s="376" t="s">
        <v>206</v>
      </c>
      <c r="J417" s="376" t="s">
        <v>206</v>
      </c>
      <c r="K417" s="377" t="s">
        <v>206</v>
      </c>
    </row>
    <row r="418" spans="1:11" ht="15.6">
      <c r="B418" s="380"/>
      <c r="C418" s="385"/>
      <c r="D418" s="385"/>
      <c r="E418" s="385"/>
      <c r="F418" s="385"/>
      <c r="G418" s="385"/>
      <c r="H418" s="385"/>
      <c r="I418" s="385"/>
      <c r="J418" s="385"/>
      <c r="K418" s="394"/>
    </row>
    <row r="419" spans="1:11" ht="15.6">
      <c r="A419" t="s">
        <v>906</v>
      </c>
      <c r="B419" s="372" t="s">
        <v>548</v>
      </c>
      <c r="C419" s="381">
        <v>2025.7999999999997</v>
      </c>
      <c r="D419" s="381">
        <v>1013.8</v>
      </c>
      <c r="E419" s="381">
        <v>1011.9999999999998</v>
      </c>
      <c r="F419" s="381">
        <v>755.1</v>
      </c>
      <c r="G419" s="381">
        <v>369.9</v>
      </c>
      <c r="H419" s="381">
        <v>385.20000000000005</v>
      </c>
      <c r="I419" s="381">
        <v>1270.7000000000003</v>
      </c>
      <c r="J419" s="381">
        <v>643.90000000000009</v>
      </c>
      <c r="K419" s="388">
        <v>626.80000000000018</v>
      </c>
    </row>
    <row r="420" spans="1:11" ht="15.6">
      <c r="B420" s="378" t="s">
        <v>301</v>
      </c>
      <c r="C420" s="382"/>
      <c r="D420" s="382"/>
      <c r="E420" s="382"/>
      <c r="F420" s="382"/>
      <c r="G420" s="382"/>
      <c r="H420" s="382"/>
      <c r="I420" s="382"/>
      <c r="J420" s="382"/>
      <c r="K420" s="389"/>
    </row>
    <row r="421" spans="1:11" ht="15.6">
      <c r="B421" s="372" t="s">
        <v>549</v>
      </c>
      <c r="C421" s="381">
        <v>120.6</v>
      </c>
      <c r="D421" s="381">
        <v>60.4</v>
      </c>
      <c r="E421" s="381">
        <v>60.199999999999996</v>
      </c>
      <c r="F421" s="381">
        <v>37.1</v>
      </c>
      <c r="G421" s="381">
        <v>18.2</v>
      </c>
      <c r="H421" s="381">
        <v>18.900000000000002</v>
      </c>
      <c r="I421" s="381">
        <v>83.5</v>
      </c>
      <c r="J421" s="381">
        <v>42.2</v>
      </c>
      <c r="K421" s="388">
        <v>41.3</v>
      </c>
    </row>
    <row r="422" spans="1:11" ht="15.6">
      <c r="B422" s="380" t="s">
        <v>550</v>
      </c>
      <c r="C422" s="382">
        <v>37.1</v>
      </c>
      <c r="D422" s="383">
        <v>18.2</v>
      </c>
      <c r="E422" s="382">
        <v>18.900000000000002</v>
      </c>
      <c r="F422" s="382">
        <v>37.1</v>
      </c>
      <c r="G422" s="383">
        <v>18.2</v>
      </c>
      <c r="H422" s="382">
        <v>18.900000000000002</v>
      </c>
      <c r="I422" s="376" t="s">
        <v>206</v>
      </c>
      <c r="J422" s="376" t="s">
        <v>206</v>
      </c>
      <c r="K422" s="377" t="s">
        <v>206</v>
      </c>
    </row>
    <row r="423" spans="1:11" ht="15.6">
      <c r="B423" s="380"/>
      <c r="C423" s="392"/>
      <c r="D423" s="392"/>
      <c r="E423" s="392"/>
      <c r="F423" s="392"/>
      <c r="G423" s="392"/>
      <c r="H423" s="392"/>
      <c r="I423" s="392"/>
      <c r="J423" s="392"/>
      <c r="K423" s="393"/>
    </row>
    <row r="424" spans="1:11" ht="15.6">
      <c r="B424" s="372" t="s">
        <v>551</v>
      </c>
      <c r="C424" s="381">
        <v>98.6</v>
      </c>
      <c r="D424" s="381">
        <v>50.1</v>
      </c>
      <c r="E424" s="381">
        <v>48.499999999999993</v>
      </c>
      <c r="F424" s="381">
        <v>40.6</v>
      </c>
      <c r="G424" s="381">
        <v>20.7</v>
      </c>
      <c r="H424" s="381">
        <v>19.900000000000002</v>
      </c>
      <c r="I424" s="381">
        <v>57.999999999999993</v>
      </c>
      <c r="J424" s="381">
        <v>29.400000000000002</v>
      </c>
      <c r="K424" s="391">
        <v>28.599999999999991</v>
      </c>
    </row>
    <row r="425" spans="1:11" ht="15.6">
      <c r="B425" s="380" t="s">
        <v>552</v>
      </c>
      <c r="C425" s="382">
        <v>16.7</v>
      </c>
      <c r="D425" s="383">
        <v>8.5</v>
      </c>
      <c r="E425" s="382">
        <v>8.1999999999999993</v>
      </c>
      <c r="F425" s="382">
        <v>16.7</v>
      </c>
      <c r="G425" s="383">
        <v>8.5</v>
      </c>
      <c r="H425" s="382">
        <v>8.1999999999999993</v>
      </c>
      <c r="I425" s="376" t="s">
        <v>206</v>
      </c>
      <c r="J425" s="376" t="s">
        <v>206</v>
      </c>
      <c r="K425" s="377" t="s">
        <v>206</v>
      </c>
    </row>
    <row r="426" spans="1:11" ht="15.6">
      <c r="B426" s="380" t="s">
        <v>553</v>
      </c>
      <c r="C426" s="382">
        <v>2</v>
      </c>
      <c r="D426" s="383">
        <v>1</v>
      </c>
      <c r="E426" s="382">
        <v>1</v>
      </c>
      <c r="F426" s="382">
        <v>2</v>
      </c>
      <c r="G426" s="383">
        <v>1</v>
      </c>
      <c r="H426" s="382">
        <v>1</v>
      </c>
      <c r="I426" s="376" t="s">
        <v>206</v>
      </c>
      <c r="J426" s="376" t="s">
        <v>206</v>
      </c>
      <c r="K426" s="377" t="s">
        <v>206</v>
      </c>
    </row>
    <row r="427" spans="1:11" ht="15.6">
      <c r="B427" s="380" t="s">
        <v>554</v>
      </c>
      <c r="C427" s="382">
        <v>1.9</v>
      </c>
      <c r="D427" s="383">
        <v>1</v>
      </c>
      <c r="E427" s="382">
        <v>0.89999999999999991</v>
      </c>
      <c r="F427" s="382">
        <v>1.9</v>
      </c>
      <c r="G427" s="383">
        <v>1</v>
      </c>
      <c r="H427" s="382">
        <v>0.89999999999999991</v>
      </c>
      <c r="I427" s="376" t="s">
        <v>206</v>
      </c>
      <c r="J427" s="376" t="s">
        <v>206</v>
      </c>
      <c r="K427" s="377" t="s">
        <v>206</v>
      </c>
    </row>
    <row r="428" spans="1:11" ht="15.6">
      <c r="B428" s="380" t="s">
        <v>555</v>
      </c>
      <c r="C428" s="382">
        <v>0.8</v>
      </c>
      <c r="D428" s="383">
        <v>0.4</v>
      </c>
      <c r="E428" s="382">
        <v>0.4</v>
      </c>
      <c r="F428" s="382">
        <v>0.8</v>
      </c>
      <c r="G428" s="383">
        <v>0.4</v>
      </c>
      <c r="H428" s="382">
        <v>0.4</v>
      </c>
      <c r="I428" s="376" t="s">
        <v>206</v>
      </c>
      <c r="J428" s="376" t="s">
        <v>206</v>
      </c>
      <c r="K428" s="377" t="s">
        <v>206</v>
      </c>
    </row>
    <row r="429" spans="1:11" ht="15.6">
      <c r="B429" s="380" t="s">
        <v>556</v>
      </c>
      <c r="C429" s="382">
        <v>2.4</v>
      </c>
      <c r="D429" s="383">
        <v>1.2</v>
      </c>
      <c r="E429" s="382">
        <v>1.2</v>
      </c>
      <c r="F429" s="382">
        <v>2.4</v>
      </c>
      <c r="G429" s="383">
        <v>1.2</v>
      </c>
      <c r="H429" s="382">
        <v>1.2</v>
      </c>
      <c r="I429" s="376" t="s">
        <v>206</v>
      </c>
      <c r="J429" s="376" t="s">
        <v>206</v>
      </c>
      <c r="K429" s="377" t="s">
        <v>206</v>
      </c>
    </row>
    <row r="430" spans="1:11" ht="15.6">
      <c r="B430" s="380" t="s">
        <v>557</v>
      </c>
      <c r="C430" s="382">
        <v>2.1</v>
      </c>
      <c r="D430" s="383">
        <v>1</v>
      </c>
      <c r="E430" s="382">
        <v>1.1000000000000001</v>
      </c>
      <c r="F430" s="382">
        <v>2.1</v>
      </c>
      <c r="G430" s="383">
        <v>1</v>
      </c>
      <c r="H430" s="382">
        <v>1.1000000000000001</v>
      </c>
      <c r="I430" s="376" t="s">
        <v>206</v>
      </c>
      <c r="J430" s="376" t="s">
        <v>206</v>
      </c>
      <c r="K430" s="377" t="s">
        <v>206</v>
      </c>
    </row>
    <row r="431" spans="1:11" ht="15.6">
      <c r="B431" s="380" t="s">
        <v>558</v>
      </c>
      <c r="C431" s="382">
        <v>1</v>
      </c>
      <c r="D431" s="383">
        <v>0.5</v>
      </c>
      <c r="E431" s="382">
        <v>0.5</v>
      </c>
      <c r="F431" s="382">
        <v>1</v>
      </c>
      <c r="G431" s="383">
        <v>0.5</v>
      </c>
      <c r="H431" s="382">
        <v>0.5</v>
      </c>
      <c r="I431" s="376" t="s">
        <v>206</v>
      </c>
      <c r="J431" s="376" t="s">
        <v>206</v>
      </c>
      <c r="K431" s="377" t="s">
        <v>206</v>
      </c>
    </row>
    <row r="432" spans="1:11" ht="15.6">
      <c r="B432" s="380" t="s">
        <v>559</v>
      </c>
      <c r="C432" s="382">
        <v>0.9</v>
      </c>
      <c r="D432" s="383">
        <v>0.5</v>
      </c>
      <c r="E432" s="382">
        <v>0.4</v>
      </c>
      <c r="F432" s="382">
        <v>0.9</v>
      </c>
      <c r="G432" s="383">
        <v>0.5</v>
      </c>
      <c r="H432" s="382">
        <v>0.4</v>
      </c>
      <c r="I432" s="376" t="s">
        <v>206</v>
      </c>
      <c r="J432" s="376" t="s">
        <v>206</v>
      </c>
      <c r="K432" s="377" t="s">
        <v>206</v>
      </c>
    </row>
    <row r="433" spans="2:11" ht="15.6">
      <c r="B433" s="380" t="s">
        <v>560</v>
      </c>
      <c r="C433" s="382">
        <v>0.9</v>
      </c>
      <c r="D433" s="383">
        <v>0.5</v>
      </c>
      <c r="E433" s="382">
        <v>0.4</v>
      </c>
      <c r="F433" s="382">
        <v>0.9</v>
      </c>
      <c r="G433" s="383">
        <v>0.5</v>
      </c>
      <c r="H433" s="382">
        <v>0.4</v>
      </c>
      <c r="I433" s="376" t="s">
        <v>206</v>
      </c>
      <c r="J433" s="376" t="s">
        <v>206</v>
      </c>
      <c r="K433" s="377" t="s">
        <v>206</v>
      </c>
    </row>
    <row r="434" spans="2:11" ht="15.6">
      <c r="B434" s="380" t="s">
        <v>561</v>
      </c>
      <c r="C434" s="382">
        <v>0.2</v>
      </c>
      <c r="D434" s="383">
        <v>0.1</v>
      </c>
      <c r="E434" s="382">
        <v>0.1</v>
      </c>
      <c r="F434" s="382">
        <v>0.2</v>
      </c>
      <c r="G434" s="383">
        <v>0.1</v>
      </c>
      <c r="H434" s="382">
        <v>0.1</v>
      </c>
      <c r="I434" s="376" t="s">
        <v>206</v>
      </c>
      <c r="J434" s="376" t="s">
        <v>206</v>
      </c>
      <c r="K434" s="377" t="s">
        <v>206</v>
      </c>
    </row>
    <row r="435" spans="2:11" ht="15.6">
      <c r="B435" s="380" t="s">
        <v>562</v>
      </c>
      <c r="C435" s="382">
        <v>1.9</v>
      </c>
      <c r="D435" s="383">
        <v>1</v>
      </c>
      <c r="E435" s="382">
        <v>0.89999999999999991</v>
      </c>
      <c r="F435" s="382">
        <v>1.9</v>
      </c>
      <c r="G435" s="383">
        <v>1</v>
      </c>
      <c r="H435" s="382">
        <v>0.89999999999999991</v>
      </c>
      <c r="I435" s="376" t="s">
        <v>206</v>
      </c>
      <c r="J435" s="376" t="s">
        <v>206</v>
      </c>
      <c r="K435" s="377" t="s">
        <v>206</v>
      </c>
    </row>
    <row r="436" spans="2:11" ht="15.6">
      <c r="B436" s="380" t="s">
        <v>563</v>
      </c>
      <c r="C436" s="382">
        <v>0.7</v>
      </c>
      <c r="D436" s="383">
        <v>0.4</v>
      </c>
      <c r="E436" s="382">
        <v>0.29999999999999993</v>
      </c>
      <c r="F436" s="382">
        <v>0.7</v>
      </c>
      <c r="G436" s="383">
        <v>0.4</v>
      </c>
      <c r="H436" s="382">
        <v>0.29999999999999993</v>
      </c>
      <c r="I436" s="376" t="s">
        <v>206</v>
      </c>
      <c r="J436" s="376" t="s">
        <v>206</v>
      </c>
      <c r="K436" s="377" t="s">
        <v>206</v>
      </c>
    </row>
    <row r="437" spans="2:11" ht="15.6">
      <c r="B437" s="380" t="s">
        <v>564</v>
      </c>
      <c r="C437" s="382">
        <v>2.4</v>
      </c>
      <c r="D437" s="383">
        <v>1.3</v>
      </c>
      <c r="E437" s="382">
        <v>1.0999999999999999</v>
      </c>
      <c r="F437" s="382">
        <v>2.4</v>
      </c>
      <c r="G437" s="383">
        <v>1.3</v>
      </c>
      <c r="H437" s="382">
        <v>1.0999999999999999</v>
      </c>
      <c r="I437" s="376" t="s">
        <v>206</v>
      </c>
      <c r="J437" s="376" t="s">
        <v>206</v>
      </c>
      <c r="K437" s="377" t="s">
        <v>206</v>
      </c>
    </row>
    <row r="438" spans="2:11" ht="15.6">
      <c r="B438" s="380" t="s">
        <v>565</v>
      </c>
      <c r="C438" s="382">
        <v>1.8</v>
      </c>
      <c r="D438" s="383">
        <v>0.9</v>
      </c>
      <c r="E438" s="382">
        <v>0.9</v>
      </c>
      <c r="F438" s="382">
        <v>1.8</v>
      </c>
      <c r="G438" s="383">
        <v>0.9</v>
      </c>
      <c r="H438" s="382">
        <v>0.9</v>
      </c>
      <c r="I438" s="376" t="s">
        <v>206</v>
      </c>
      <c r="J438" s="376" t="s">
        <v>206</v>
      </c>
      <c r="K438" s="377" t="s">
        <v>206</v>
      </c>
    </row>
    <row r="439" spans="2:11" ht="15.6">
      <c r="B439" s="380" t="s">
        <v>566</v>
      </c>
      <c r="C439" s="382">
        <v>1.3</v>
      </c>
      <c r="D439" s="383">
        <v>0.6</v>
      </c>
      <c r="E439" s="382">
        <v>0.70000000000000007</v>
      </c>
      <c r="F439" s="382">
        <v>1.3</v>
      </c>
      <c r="G439" s="383">
        <v>0.6</v>
      </c>
      <c r="H439" s="382">
        <v>0.70000000000000007</v>
      </c>
      <c r="I439" s="376" t="s">
        <v>206</v>
      </c>
      <c r="J439" s="376" t="s">
        <v>206</v>
      </c>
      <c r="K439" s="377" t="s">
        <v>206</v>
      </c>
    </row>
    <row r="440" spans="2:11" ht="15.6">
      <c r="B440" s="380" t="s">
        <v>567</v>
      </c>
      <c r="C440" s="382">
        <v>1.3</v>
      </c>
      <c r="D440" s="383">
        <v>0.6</v>
      </c>
      <c r="E440" s="382">
        <v>0.70000000000000007</v>
      </c>
      <c r="F440" s="382">
        <v>1.3</v>
      </c>
      <c r="G440" s="383">
        <v>0.6</v>
      </c>
      <c r="H440" s="382">
        <v>0.70000000000000007</v>
      </c>
      <c r="I440" s="376" t="s">
        <v>206</v>
      </c>
      <c r="J440" s="376" t="s">
        <v>206</v>
      </c>
      <c r="K440" s="377" t="s">
        <v>206</v>
      </c>
    </row>
    <row r="441" spans="2:11" ht="15.6">
      <c r="B441" s="380" t="s">
        <v>568</v>
      </c>
      <c r="C441" s="382">
        <v>2.2999999999999998</v>
      </c>
      <c r="D441" s="383">
        <v>1.2</v>
      </c>
      <c r="E441" s="382">
        <v>1.0999999999999999</v>
      </c>
      <c r="F441" s="382">
        <v>2.2999999999999998</v>
      </c>
      <c r="G441" s="383">
        <v>1.2</v>
      </c>
      <c r="H441" s="382">
        <v>1.0999999999999999</v>
      </c>
      <c r="I441" s="376" t="s">
        <v>206</v>
      </c>
      <c r="J441" s="376" t="s">
        <v>206</v>
      </c>
      <c r="K441" s="377" t="s">
        <v>206</v>
      </c>
    </row>
    <row r="442" spans="2:11" ht="15.6">
      <c r="B442" s="380"/>
      <c r="C442" s="404"/>
      <c r="D442" s="404"/>
      <c r="E442" s="404"/>
      <c r="F442" s="404"/>
      <c r="G442" s="404"/>
      <c r="H442" s="404"/>
      <c r="I442" s="404"/>
      <c r="J442" s="404"/>
      <c r="K442" s="405"/>
    </row>
    <row r="443" spans="2:11" ht="15.6">
      <c r="B443" s="372" t="s">
        <v>569</v>
      </c>
      <c r="C443" s="381">
        <v>135.5</v>
      </c>
      <c r="D443" s="381">
        <v>70.599999999999994</v>
      </c>
      <c r="E443" s="381">
        <v>64.900000000000006</v>
      </c>
      <c r="F443" s="381">
        <v>50.1</v>
      </c>
      <c r="G443" s="381">
        <v>25.6</v>
      </c>
      <c r="H443" s="381">
        <v>24.5</v>
      </c>
      <c r="I443" s="381">
        <v>85.4</v>
      </c>
      <c r="J443" s="381">
        <v>44.999999999999993</v>
      </c>
      <c r="K443" s="391">
        <v>40.400000000000013</v>
      </c>
    </row>
    <row r="444" spans="2:11" ht="15.6">
      <c r="B444" s="380" t="s">
        <v>570</v>
      </c>
      <c r="C444" s="382">
        <v>41.2</v>
      </c>
      <c r="D444" s="383">
        <v>21</v>
      </c>
      <c r="E444" s="382">
        <v>20.200000000000003</v>
      </c>
      <c r="F444" s="382">
        <v>41.2</v>
      </c>
      <c r="G444" s="383">
        <v>21</v>
      </c>
      <c r="H444" s="382">
        <v>20.200000000000003</v>
      </c>
      <c r="I444" s="376" t="s">
        <v>206</v>
      </c>
      <c r="J444" s="376" t="s">
        <v>206</v>
      </c>
      <c r="K444" s="377" t="s">
        <v>206</v>
      </c>
    </row>
    <row r="445" spans="2:11" ht="15.6">
      <c r="B445" s="380" t="s">
        <v>571</v>
      </c>
      <c r="C445" s="382">
        <v>8.9</v>
      </c>
      <c r="D445" s="383">
        <v>4.5999999999999996</v>
      </c>
      <c r="E445" s="382">
        <v>4.3000000000000007</v>
      </c>
      <c r="F445" s="382">
        <v>8.9</v>
      </c>
      <c r="G445" s="383">
        <v>4.5999999999999996</v>
      </c>
      <c r="H445" s="382">
        <v>4.3000000000000007</v>
      </c>
      <c r="I445" s="376" t="s">
        <v>206</v>
      </c>
      <c r="J445" s="376" t="s">
        <v>206</v>
      </c>
      <c r="K445" s="377" t="s">
        <v>206</v>
      </c>
    </row>
    <row r="446" spans="2:11" ht="15.6">
      <c r="B446" s="380"/>
      <c r="C446" s="392"/>
      <c r="D446" s="392"/>
      <c r="E446" s="392"/>
      <c r="F446" s="392"/>
      <c r="G446" s="392"/>
      <c r="H446" s="392"/>
      <c r="I446" s="392"/>
      <c r="J446" s="392"/>
      <c r="K446" s="393"/>
    </row>
    <row r="447" spans="2:11" ht="15.6">
      <c r="B447" s="372" t="s">
        <v>572</v>
      </c>
      <c r="C447" s="381">
        <v>156.30000000000001</v>
      </c>
      <c r="D447" s="381">
        <v>79.5</v>
      </c>
      <c r="E447" s="381">
        <v>76.800000000000011</v>
      </c>
      <c r="F447" s="381">
        <v>40</v>
      </c>
      <c r="G447" s="381">
        <v>19.8</v>
      </c>
      <c r="H447" s="381">
        <v>20.2</v>
      </c>
      <c r="I447" s="381">
        <v>116.30000000000001</v>
      </c>
      <c r="J447" s="381">
        <v>59.7</v>
      </c>
      <c r="K447" s="391">
        <v>56.600000000000009</v>
      </c>
    </row>
    <row r="448" spans="2:11" ht="15.6">
      <c r="B448" s="380" t="s">
        <v>573</v>
      </c>
      <c r="C448" s="382">
        <v>40</v>
      </c>
      <c r="D448" s="383">
        <v>19.8</v>
      </c>
      <c r="E448" s="382">
        <v>20.2</v>
      </c>
      <c r="F448" s="382">
        <v>40</v>
      </c>
      <c r="G448" s="383">
        <v>19.8</v>
      </c>
      <c r="H448" s="382">
        <v>20.2</v>
      </c>
      <c r="I448" s="376" t="s">
        <v>206</v>
      </c>
      <c r="J448" s="376" t="s">
        <v>206</v>
      </c>
      <c r="K448" s="377" t="s">
        <v>206</v>
      </c>
    </row>
    <row r="449" spans="2:11" ht="15.6">
      <c r="B449" s="380"/>
      <c r="C449" s="409"/>
      <c r="D449" s="409"/>
      <c r="E449" s="409"/>
      <c r="F449" s="409"/>
      <c r="G449" s="409"/>
      <c r="H449" s="409"/>
      <c r="I449" s="409"/>
      <c r="J449" s="409"/>
      <c r="K449" s="410"/>
    </row>
    <row r="450" spans="2:11" ht="15.6">
      <c r="B450" s="372" t="s">
        <v>574</v>
      </c>
      <c r="C450" s="381">
        <v>88</v>
      </c>
      <c r="D450" s="381">
        <v>43.6</v>
      </c>
      <c r="E450" s="381">
        <v>44.4</v>
      </c>
      <c r="F450" s="381">
        <v>41</v>
      </c>
      <c r="G450" s="381">
        <v>20.3</v>
      </c>
      <c r="H450" s="381">
        <v>20.7</v>
      </c>
      <c r="I450" s="381">
        <v>47</v>
      </c>
      <c r="J450" s="381">
        <v>23.3</v>
      </c>
      <c r="K450" s="391">
        <v>23.7</v>
      </c>
    </row>
    <row r="451" spans="2:11" ht="15.6">
      <c r="B451" s="380" t="s">
        <v>575</v>
      </c>
      <c r="C451" s="382">
        <v>21.9</v>
      </c>
      <c r="D451" s="383">
        <v>10.9</v>
      </c>
      <c r="E451" s="382">
        <v>10.999999999999998</v>
      </c>
      <c r="F451" s="382">
        <v>21.9</v>
      </c>
      <c r="G451" s="383">
        <v>10.9</v>
      </c>
      <c r="H451" s="382">
        <v>10.999999999999998</v>
      </c>
      <c r="I451" s="376" t="s">
        <v>206</v>
      </c>
      <c r="J451" s="376" t="s">
        <v>206</v>
      </c>
      <c r="K451" s="377" t="s">
        <v>206</v>
      </c>
    </row>
    <row r="452" spans="2:11" ht="15.6">
      <c r="B452" s="380" t="s">
        <v>576</v>
      </c>
      <c r="C452" s="382">
        <v>7.9</v>
      </c>
      <c r="D452" s="383">
        <v>3.9</v>
      </c>
      <c r="E452" s="382">
        <v>4</v>
      </c>
      <c r="F452" s="382">
        <v>7.9</v>
      </c>
      <c r="G452" s="383">
        <v>3.9</v>
      </c>
      <c r="H452" s="382">
        <v>4</v>
      </c>
      <c r="I452" s="376" t="s">
        <v>206</v>
      </c>
      <c r="J452" s="376" t="s">
        <v>206</v>
      </c>
      <c r="K452" s="377" t="s">
        <v>206</v>
      </c>
    </row>
    <row r="453" spans="2:11" ht="15.6">
      <c r="B453" s="380" t="s">
        <v>577</v>
      </c>
      <c r="C453" s="382">
        <v>6.9</v>
      </c>
      <c r="D453" s="383">
        <v>3.4</v>
      </c>
      <c r="E453" s="382">
        <v>3.5000000000000004</v>
      </c>
      <c r="F453" s="382">
        <v>6.9</v>
      </c>
      <c r="G453" s="383">
        <v>3.4</v>
      </c>
      <c r="H453" s="382">
        <v>3.5000000000000004</v>
      </c>
      <c r="I453" s="376" t="s">
        <v>206</v>
      </c>
      <c r="J453" s="376" t="s">
        <v>206</v>
      </c>
      <c r="K453" s="377" t="s">
        <v>206</v>
      </c>
    </row>
    <row r="454" spans="2:11" ht="15.6">
      <c r="B454" s="380" t="s">
        <v>578</v>
      </c>
      <c r="C454" s="382">
        <v>4.3</v>
      </c>
      <c r="D454" s="383">
        <v>2.1</v>
      </c>
      <c r="E454" s="382">
        <v>2.1999999999999997</v>
      </c>
      <c r="F454" s="382">
        <v>4.3</v>
      </c>
      <c r="G454" s="383">
        <v>2.1</v>
      </c>
      <c r="H454" s="382">
        <v>2.1999999999999997</v>
      </c>
      <c r="I454" s="376" t="s">
        <v>206</v>
      </c>
      <c r="J454" s="376" t="s">
        <v>206</v>
      </c>
      <c r="K454" s="377" t="s">
        <v>206</v>
      </c>
    </row>
    <row r="455" spans="2:11" ht="15.6">
      <c r="B455" s="380"/>
      <c r="C455" s="385"/>
      <c r="D455" s="385"/>
      <c r="E455" s="385"/>
      <c r="F455" s="385"/>
      <c r="G455" s="385"/>
      <c r="H455" s="385"/>
      <c r="I455" s="385"/>
      <c r="J455" s="385"/>
      <c r="K455" s="394"/>
    </row>
    <row r="456" spans="2:11" ht="15.6">
      <c r="B456" s="372" t="s">
        <v>579</v>
      </c>
      <c r="C456" s="381">
        <v>103.8</v>
      </c>
      <c r="D456" s="381">
        <v>52.4</v>
      </c>
      <c r="E456" s="381">
        <v>51.4</v>
      </c>
      <c r="F456" s="381">
        <v>23.1</v>
      </c>
      <c r="G456" s="381">
        <v>11.6</v>
      </c>
      <c r="H456" s="381">
        <v>11.500000000000002</v>
      </c>
      <c r="I456" s="381">
        <v>80.699999999999989</v>
      </c>
      <c r="J456" s="381">
        <v>40.799999999999997</v>
      </c>
      <c r="K456" s="391">
        <v>39.899999999999991</v>
      </c>
    </row>
    <row r="457" spans="2:11" ht="15.6">
      <c r="B457" s="380" t="s">
        <v>580</v>
      </c>
      <c r="C457" s="382">
        <v>23.1</v>
      </c>
      <c r="D457" s="383">
        <v>11.6</v>
      </c>
      <c r="E457" s="382">
        <v>11.500000000000002</v>
      </c>
      <c r="F457" s="382">
        <v>23.1</v>
      </c>
      <c r="G457" s="383">
        <v>11.6</v>
      </c>
      <c r="H457" s="382">
        <v>11.500000000000002</v>
      </c>
      <c r="I457" s="376" t="s">
        <v>206</v>
      </c>
      <c r="J457" s="376" t="s">
        <v>206</v>
      </c>
      <c r="K457" s="377" t="s">
        <v>206</v>
      </c>
    </row>
    <row r="458" spans="2:11" ht="15.6">
      <c r="B458" s="380"/>
      <c r="C458" s="392"/>
      <c r="D458" s="392"/>
      <c r="E458" s="392"/>
      <c r="F458" s="392"/>
      <c r="G458" s="392"/>
      <c r="H458" s="392"/>
      <c r="I458" s="392"/>
      <c r="J458" s="392"/>
      <c r="K458" s="393"/>
    </row>
    <row r="459" spans="2:11" ht="15.6">
      <c r="B459" s="372" t="s">
        <v>581</v>
      </c>
      <c r="C459" s="381">
        <v>138.6</v>
      </c>
      <c r="D459" s="381">
        <v>69.3</v>
      </c>
      <c r="E459" s="381">
        <v>69.3</v>
      </c>
      <c r="F459" s="381">
        <v>43.9</v>
      </c>
      <c r="G459" s="381">
        <v>21.3</v>
      </c>
      <c r="H459" s="399">
        <v>22.599999999999998</v>
      </c>
      <c r="I459" s="381">
        <v>94.699999999999989</v>
      </c>
      <c r="J459" s="381">
        <v>48</v>
      </c>
      <c r="K459" s="391">
        <v>46.699999999999989</v>
      </c>
    </row>
    <row r="460" spans="2:11" ht="15.6">
      <c r="B460" s="380" t="s">
        <v>582</v>
      </c>
      <c r="C460" s="382">
        <v>38.700000000000003</v>
      </c>
      <c r="D460" s="383">
        <v>18.7</v>
      </c>
      <c r="E460" s="382">
        <v>20.000000000000004</v>
      </c>
      <c r="F460" s="382">
        <v>38.700000000000003</v>
      </c>
      <c r="G460" s="383">
        <v>18.7</v>
      </c>
      <c r="H460" s="382">
        <v>20.000000000000004</v>
      </c>
      <c r="I460" s="376" t="s">
        <v>206</v>
      </c>
      <c r="J460" s="376" t="s">
        <v>206</v>
      </c>
      <c r="K460" s="377" t="s">
        <v>206</v>
      </c>
    </row>
    <row r="461" spans="2:11" ht="15.6">
      <c r="B461" s="380" t="s">
        <v>583</v>
      </c>
      <c r="C461" s="382">
        <v>4.9000000000000004</v>
      </c>
      <c r="D461" s="383">
        <v>2.4</v>
      </c>
      <c r="E461" s="382">
        <v>2.5000000000000004</v>
      </c>
      <c r="F461" s="382">
        <v>4.9000000000000004</v>
      </c>
      <c r="G461" s="383">
        <v>2.4</v>
      </c>
      <c r="H461" s="382">
        <v>2.5000000000000004</v>
      </c>
      <c r="I461" s="376" t="s">
        <v>206</v>
      </c>
      <c r="J461" s="376" t="s">
        <v>206</v>
      </c>
      <c r="K461" s="377" t="s">
        <v>206</v>
      </c>
    </row>
    <row r="462" spans="2:11" ht="15.6">
      <c r="B462" s="380" t="s">
        <v>584</v>
      </c>
      <c r="C462" s="382">
        <v>0.3</v>
      </c>
      <c r="D462" s="383">
        <v>0.2</v>
      </c>
      <c r="E462" s="382">
        <v>9.9999999999999978E-2</v>
      </c>
      <c r="F462" s="382">
        <v>0.3</v>
      </c>
      <c r="G462" s="383">
        <v>0.2</v>
      </c>
      <c r="H462" s="382">
        <v>9.9999999999999978E-2</v>
      </c>
      <c r="I462" s="376" t="s">
        <v>206</v>
      </c>
      <c r="J462" s="376" t="s">
        <v>206</v>
      </c>
      <c r="K462" s="377" t="s">
        <v>206</v>
      </c>
    </row>
    <row r="463" spans="2:11" ht="15.6">
      <c r="B463" s="380"/>
      <c r="C463" s="404"/>
      <c r="D463" s="404"/>
      <c r="E463" s="404"/>
      <c r="F463" s="404"/>
      <c r="G463" s="404"/>
      <c r="H463" s="404"/>
      <c r="I463" s="404"/>
      <c r="J463" s="404"/>
      <c r="K463" s="405"/>
    </row>
    <row r="464" spans="2:11" ht="15.6">
      <c r="B464" s="372" t="s">
        <v>585</v>
      </c>
      <c r="C464" s="381">
        <v>128.5</v>
      </c>
      <c r="D464" s="381">
        <v>61.3</v>
      </c>
      <c r="E464" s="381">
        <v>67.2</v>
      </c>
      <c r="F464" s="381">
        <v>69.400000000000006</v>
      </c>
      <c r="G464" s="381">
        <v>32</v>
      </c>
      <c r="H464" s="411">
        <v>37.400000000000006</v>
      </c>
      <c r="I464" s="381">
        <v>59.099999999999994</v>
      </c>
      <c r="J464" s="381">
        <v>29.299999999999997</v>
      </c>
      <c r="K464" s="412">
        <v>29.799999999999997</v>
      </c>
    </row>
    <row r="465" spans="2:11" ht="15.6">
      <c r="B465" s="380" t="s">
        <v>586</v>
      </c>
      <c r="C465" s="382">
        <v>61.7</v>
      </c>
      <c r="D465" s="383">
        <v>28.2</v>
      </c>
      <c r="E465" s="382">
        <v>33.5</v>
      </c>
      <c r="F465" s="382">
        <v>61.7</v>
      </c>
      <c r="G465" s="383">
        <v>28.2</v>
      </c>
      <c r="H465" s="382">
        <v>33.5</v>
      </c>
      <c r="I465" s="376" t="s">
        <v>206</v>
      </c>
      <c r="J465" s="376" t="s">
        <v>206</v>
      </c>
      <c r="K465" s="377" t="s">
        <v>206</v>
      </c>
    </row>
    <row r="466" spans="2:11" ht="15.6">
      <c r="B466" s="380" t="s">
        <v>587</v>
      </c>
      <c r="C466" s="382">
        <v>0.5</v>
      </c>
      <c r="D466" s="383">
        <v>0.2</v>
      </c>
      <c r="E466" s="382">
        <v>0.3</v>
      </c>
      <c r="F466" s="382">
        <v>0.5</v>
      </c>
      <c r="G466" s="383">
        <v>0.2</v>
      </c>
      <c r="H466" s="382">
        <v>0.3</v>
      </c>
      <c r="I466" s="376" t="s">
        <v>206</v>
      </c>
      <c r="J466" s="376" t="s">
        <v>206</v>
      </c>
      <c r="K466" s="377" t="s">
        <v>206</v>
      </c>
    </row>
    <row r="467" spans="2:11" ht="15.6">
      <c r="B467" s="380" t="s">
        <v>588</v>
      </c>
      <c r="C467" s="382">
        <v>0.3</v>
      </c>
      <c r="D467" s="383">
        <v>0.2</v>
      </c>
      <c r="E467" s="382">
        <v>9.9999999999999978E-2</v>
      </c>
      <c r="F467" s="382">
        <v>0.3</v>
      </c>
      <c r="G467" s="383">
        <v>0.2</v>
      </c>
      <c r="H467" s="382">
        <v>9.9999999999999978E-2</v>
      </c>
      <c r="I467" s="376" t="s">
        <v>206</v>
      </c>
      <c r="J467" s="376" t="s">
        <v>206</v>
      </c>
      <c r="K467" s="377" t="s">
        <v>206</v>
      </c>
    </row>
    <row r="468" spans="2:11" ht="15.6">
      <c r="B468" s="380" t="s">
        <v>589</v>
      </c>
      <c r="C468" s="382">
        <v>6.9</v>
      </c>
      <c r="D468" s="383">
        <v>3.4</v>
      </c>
      <c r="E468" s="382">
        <v>3.5000000000000004</v>
      </c>
      <c r="F468" s="382">
        <v>6.9</v>
      </c>
      <c r="G468" s="383">
        <v>3.4</v>
      </c>
      <c r="H468" s="382">
        <v>3.5000000000000004</v>
      </c>
      <c r="I468" s="376" t="s">
        <v>206</v>
      </c>
      <c r="J468" s="376" t="s">
        <v>206</v>
      </c>
      <c r="K468" s="377" t="s">
        <v>206</v>
      </c>
    </row>
    <row r="469" spans="2:11" ht="15.6">
      <c r="B469" s="380"/>
      <c r="C469" s="392"/>
      <c r="D469" s="392"/>
      <c r="E469" s="392"/>
      <c r="F469" s="392"/>
      <c r="G469" s="392"/>
      <c r="H469" s="392"/>
      <c r="I469" s="392"/>
      <c r="J469" s="392"/>
      <c r="K469" s="393"/>
    </row>
    <row r="470" spans="2:11" ht="15.6">
      <c r="B470" s="372" t="s">
        <v>590</v>
      </c>
      <c r="C470" s="381">
        <v>105.4</v>
      </c>
      <c r="D470" s="381">
        <v>50.7</v>
      </c>
      <c r="E470" s="381">
        <v>54.7</v>
      </c>
      <c r="F470" s="381">
        <v>105.4</v>
      </c>
      <c r="G470" s="381">
        <v>50.7</v>
      </c>
      <c r="H470" s="381">
        <v>54.7</v>
      </c>
      <c r="I470" s="376" t="s">
        <v>206</v>
      </c>
      <c r="J470" s="376" t="s">
        <v>206</v>
      </c>
      <c r="K470" s="377" t="s">
        <v>206</v>
      </c>
    </row>
    <row r="471" spans="2:11" ht="15.6">
      <c r="B471" s="372"/>
      <c r="C471" s="409"/>
      <c r="D471" s="409"/>
      <c r="E471" s="409"/>
      <c r="F471" s="409"/>
      <c r="G471" s="409"/>
      <c r="H471" s="409"/>
      <c r="I471" s="409"/>
      <c r="J471" s="409"/>
      <c r="K471" s="410"/>
    </row>
    <row r="472" spans="2:11" ht="15.6">
      <c r="B472" s="372" t="s">
        <v>591</v>
      </c>
      <c r="C472" s="381">
        <v>109.9</v>
      </c>
      <c r="D472" s="381">
        <v>54.8</v>
      </c>
      <c r="E472" s="381">
        <v>55.100000000000009</v>
      </c>
      <c r="F472" s="381">
        <v>36.4</v>
      </c>
      <c r="G472" s="390">
        <v>17.8</v>
      </c>
      <c r="H472" s="381">
        <v>18.599999999999998</v>
      </c>
      <c r="I472" s="381">
        <v>73.5</v>
      </c>
      <c r="J472" s="381">
        <v>37</v>
      </c>
      <c r="K472" s="388">
        <v>36.5</v>
      </c>
    </row>
    <row r="473" spans="2:11" ht="15.6">
      <c r="B473" s="380" t="s">
        <v>592</v>
      </c>
      <c r="C473" s="382">
        <v>32.299999999999997</v>
      </c>
      <c r="D473" s="383">
        <v>15.7</v>
      </c>
      <c r="E473" s="382">
        <v>16.599999999999998</v>
      </c>
      <c r="F473" s="382">
        <v>32.299999999999997</v>
      </c>
      <c r="G473" s="383">
        <v>15.7</v>
      </c>
      <c r="H473" s="382">
        <v>16.599999999999998</v>
      </c>
      <c r="I473" s="376" t="s">
        <v>206</v>
      </c>
      <c r="J473" s="376" t="s">
        <v>206</v>
      </c>
      <c r="K473" s="377" t="s">
        <v>206</v>
      </c>
    </row>
    <row r="474" spans="2:11" ht="15.6">
      <c r="B474" s="380" t="s">
        <v>593</v>
      </c>
      <c r="C474" s="382">
        <v>0.3</v>
      </c>
      <c r="D474" s="383">
        <v>0.2</v>
      </c>
      <c r="E474" s="382">
        <v>9.9999999999999978E-2</v>
      </c>
      <c r="F474" s="382">
        <v>0.3</v>
      </c>
      <c r="G474" s="383">
        <v>0.2</v>
      </c>
      <c r="H474" s="382">
        <v>9.9999999999999978E-2</v>
      </c>
      <c r="I474" s="376" t="s">
        <v>206</v>
      </c>
      <c r="J474" s="376" t="s">
        <v>206</v>
      </c>
      <c r="K474" s="377" t="s">
        <v>206</v>
      </c>
    </row>
    <row r="475" spans="2:11" ht="15.6">
      <c r="B475" s="380" t="s">
        <v>594</v>
      </c>
      <c r="C475" s="382">
        <v>3.8</v>
      </c>
      <c r="D475" s="383">
        <v>1.9</v>
      </c>
      <c r="E475" s="382">
        <v>1.9</v>
      </c>
      <c r="F475" s="382">
        <v>3.8</v>
      </c>
      <c r="G475" s="383">
        <v>1.9</v>
      </c>
      <c r="H475" s="382">
        <v>1.9</v>
      </c>
      <c r="I475" s="376" t="s">
        <v>206</v>
      </c>
      <c r="J475" s="376" t="s">
        <v>206</v>
      </c>
      <c r="K475" s="377" t="s">
        <v>206</v>
      </c>
    </row>
    <row r="476" spans="2:11" ht="15.6">
      <c r="B476" s="380"/>
      <c r="C476" s="404"/>
      <c r="D476" s="404"/>
      <c r="E476" s="404"/>
      <c r="F476" s="404"/>
      <c r="G476" s="404"/>
      <c r="H476" s="404"/>
      <c r="I476" s="404"/>
      <c r="J476" s="404"/>
      <c r="K476" s="405"/>
    </row>
    <row r="477" spans="2:11" ht="15.6">
      <c r="B477" s="372" t="s">
        <v>595</v>
      </c>
      <c r="C477" s="381">
        <v>88.6</v>
      </c>
      <c r="D477" s="381">
        <v>44.2</v>
      </c>
      <c r="E477" s="381">
        <v>44.399999999999991</v>
      </c>
      <c r="F477" s="381">
        <v>18.100000000000001</v>
      </c>
      <c r="G477" s="390">
        <v>8.8000000000000007</v>
      </c>
      <c r="H477" s="381">
        <v>9.3000000000000007</v>
      </c>
      <c r="I477" s="381">
        <v>70.5</v>
      </c>
      <c r="J477" s="381">
        <v>35.400000000000006</v>
      </c>
      <c r="K477" s="388">
        <v>35.099999999999994</v>
      </c>
    </row>
    <row r="478" spans="2:11" ht="15.6">
      <c r="B478" s="380" t="s">
        <v>596</v>
      </c>
      <c r="C478" s="382">
        <v>18.100000000000001</v>
      </c>
      <c r="D478" s="383">
        <v>8.8000000000000007</v>
      </c>
      <c r="E478" s="382">
        <v>9.3000000000000007</v>
      </c>
      <c r="F478" s="382">
        <v>18.100000000000001</v>
      </c>
      <c r="G478" s="383">
        <v>8.8000000000000007</v>
      </c>
      <c r="H478" s="382">
        <v>9.3000000000000007</v>
      </c>
      <c r="I478" s="376" t="s">
        <v>206</v>
      </c>
      <c r="J478" s="376" t="s">
        <v>206</v>
      </c>
      <c r="K478" s="377" t="s">
        <v>206</v>
      </c>
    </row>
    <row r="479" spans="2:11" ht="15.6">
      <c r="B479" s="380"/>
      <c r="C479" s="392"/>
      <c r="D479" s="392"/>
      <c r="E479" s="392"/>
      <c r="F479" s="392"/>
      <c r="G479" s="392"/>
      <c r="H479" s="392"/>
      <c r="I479" s="392"/>
      <c r="J479" s="392"/>
      <c r="K479" s="393"/>
    </row>
    <row r="480" spans="2:11" ht="15.6">
      <c r="B480" s="372" t="s">
        <v>597</v>
      </c>
      <c r="C480" s="381">
        <v>58.8</v>
      </c>
      <c r="D480" s="381">
        <v>29.5</v>
      </c>
      <c r="E480" s="381">
        <v>29.299999999999997</v>
      </c>
      <c r="F480" s="381">
        <v>11.9</v>
      </c>
      <c r="G480" s="390">
        <v>5.9</v>
      </c>
      <c r="H480" s="381">
        <v>6</v>
      </c>
      <c r="I480" s="381">
        <v>46.9</v>
      </c>
      <c r="J480" s="381">
        <v>23.6</v>
      </c>
      <c r="K480" s="388">
        <v>23.299999999999997</v>
      </c>
    </row>
    <row r="481" spans="2:11" ht="15.6">
      <c r="B481" s="380" t="s">
        <v>598</v>
      </c>
      <c r="C481" s="382">
        <v>10.9</v>
      </c>
      <c r="D481" s="383">
        <v>5.4</v>
      </c>
      <c r="E481" s="382">
        <v>5.5</v>
      </c>
      <c r="F481" s="382">
        <v>10.9</v>
      </c>
      <c r="G481" s="383">
        <v>5.4</v>
      </c>
      <c r="H481" s="382">
        <v>5.5</v>
      </c>
      <c r="I481" s="376" t="s">
        <v>206</v>
      </c>
      <c r="J481" s="376" t="s">
        <v>206</v>
      </c>
      <c r="K481" s="377" t="s">
        <v>206</v>
      </c>
    </row>
    <row r="482" spans="2:11" ht="15.6">
      <c r="B482" s="380" t="s">
        <v>599</v>
      </c>
      <c r="C482" s="382">
        <v>1</v>
      </c>
      <c r="D482" s="383">
        <v>0.5</v>
      </c>
      <c r="E482" s="382">
        <v>0.5</v>
      </c>
      <c r="F482" s="382">
        <v>1</v>
      </c>
      <c r="G482" s="383">
        <v>0.5</v>
      </c>
      <c r="H482" s="382">
        <v>0.5</v>
      </c>
      <c r="I482" s="376" t="s">
        <v>206</v>
      </c>
      <c r="J482" s="376" t="s">
        <v>206</v>
      </c>
      <c r="K482" s="377" t="s">
        <v>206</v>
      </c>
    </row>
    <row r="483" spans="2:11" ht="15.6">
      <c r="B483" s="380"/>
      <c r="C483" s="392"/>
      <c r="D483" s="392"/>
      <c r="E483" s="392"/>
      <c r="F483" s="392"/>
      <c r="G483" s="392"/>
      <c r="H483" s="392"/>
      <c r="I483" s="392"/>
      <c r="J483" s="392"/>
      <c r="K483" s="393"/>
    </row>
    <row r="484" spans="2:11" ht="15.6">
      <c r="B484" s="372" t="s">
        <v>600</v>
      </c>
      <c r="C484" s="381">
        <v>116.7</v>
      </c>
      <c r="D484" s="381">
        <v>58.8</v>
      </c>
      <c r="E484" s="381">
        <v>57.900000000000006</v>
      </c>
      <c r="F484" s="381">
        <v>22.4</v>
      </c>
      <c r="G484" s="390">
        <v>11.2</v>
      </c>
      <c r="H484" s="381">
        <v>11.2</v>
      </c>
      <c r="I484" s="381">
        <v>94.300000000000011</v>
      </c>
      <c r="J484" s="381">
        <v>47.599999999999994</v>
      </c>
      <c r="K484" s="388">
        <v>46.700000000000017</v>
      </c>
    </row>
    <row r="485" spans="2:11" ht="15.6">
      <c r="B485" s="380" t="s">
        <v>601</v>
      </c>
      <c r="C485" s="382">
        <v>19.100000000000001</v>
      </c>
      <c r="D485" s="383">
        <v>9.5</v>
      </c>
      <c r="E485" s="382">
        <v>9.6000000000000014</v>
      </c>
      <c r="F485" s="382">
        <v>19.100000000000001</v>
      </c>
      <c r="G485" s="383">
        <v>9.5</v>
      </c>
      <c r="H485" s="382">
        <v>9.6000000000000014</v>
      </c>
      <c r="I485" s="376" t="s">
        <v>206</v>
      </c>
      <c r="J485" s="376" t="s">
        <v>206</v>
      </c>
      <c r="K485" s="377" t="s">
        <v>206</v>
      </c>
    </row>
    <row r="486" spans="2:11" ht="15.6">
      <c r="B486" s="380" t="s">
        <v>602</v>
      </c>
      <c r="C486" s="382">
        <v>1.7</v>
      </c>
      <c r="D486" s="383">
        <v>0.9</v>
      </c>
      <c r="E486" s="382">
        <v>0.79999999999999993</v>
      </c>
      <c r="F486" s="382">
        <v>1.7</v>
      </c>
      <c r="G486" s="383">
        <v>0.9</v>
      </c>
      <c r="H486" s="382">
        <v>0.79999999999999993</v>
      </c>
      <c r="I486" s="376" t="s">
        <v>206</v>
      </c>
      <c r="J486" s="376" t="s">
        <v>206</v>
      </c>
      <c r="K486" s="377" t="s">
        <v>206</v>
      </c>
    </row>
    <row r="487" spans="2:11" ht="15.6">
      <c r="B487" s="380" t="s">
        <v>603</v>
      </c>
      <c r="C487" s="382">
        <v>1.6</v>
      </c>
      <c r="D487" s="383">
        <v>0.8</v>
      </c>
      <c r="E487" s="382">
        <v>0.8</v>
      </c>
      <c r="F487" s="382">
        <v>1.6</v>
      </c>
      <c r="G487" s="383">
        <v>0.8</v>
      </c>
      <c r="H487" s="382">
        <v>0.8</v>
      </c>
      <c r="I487" s="376" t="s">
        <v>206</v>
      </c>
      <c r="J487" s="376" t="s">
        <v>206</v>
      </c>
      <c r="K487" s="377" t="s">
        <v>206</v>
      </c>
    </row>
    <row r="488" spans="2:11" ht="15.6">
      <c r="B488" s="380"/>
      <c r="C488" s="404"/>
      <c r="D488" s="404"/>
      <c r="E488" s="404"/>
      <c r="F488" s="404"/>
      <c r="G488" s="404"/>
      <c r="H488" s="404"/>
      <c r="I488" s="404"/>
      <c r="J488" s="404"/>
      <c r="K488" s="405"/>
    </row>
    <row r="489" spans="2:11" ht="15.6">
      <c r="B489" s="372" t="s">
        <v>604</v>
      </c>
      <c r="C489" s="381">
        <v>129.80000000000001</v>
      </c>
      <c r="D489" s="381">
        <v>65.3</v>
      </c>
      <c r="E489" s="381">
        <v>64.500000000000014</v>
      </c>
      <c r="F489" s="381">
        <v>40.700000000000003</v>
      </c>
      <c r="G489" s="390">
        <v>20.2</v>
      </c>
      <c r="H489" s="381">
        <v>20.500000000000004</v>
      </c>
      <c r="I489" s="381">
        <v>89.100000000000009</v>
      </c>
      <c r="J489" s="381">
        <v>45.099999999999994</v>
      </c>
      <c r="K489" s="388">
        <v>44.000000000000014</v>
      </c>
    </row>
    <row r="490" spans="2:11" ht="15.6">
      <c r="B490" s="380" t="s">
        <v>605</v>
      </c>
      <c r="C490" s="382">
        <v>35.799999999999997</v>
      </c>
      <c r="D490" s="383">
        <v>17.8</v>
      </c>
      <c r="E490" s="382">
        <v>17.999999999999996</v>
      </c>
      <c r="F490" s="382">
        <v>35.799999999999997</v>
      </c>
      <c r="G490" s="383">
        <v>17.8</v>
      </c>
      <c r="H490" s="382">
        <v>17.999999999999996</v>
      </c>
      <c r="I490" s="376" t="s">
        <v>206</v>
      </c>
      <c r="J490" s="376" t="s">
        <v>206</v>
      </c>
      <c r="K490" s="377" t="s">
        <v>206</v>
      </c>
    </row>
    <row r="491" spans="2:11" ht="15.6">
      <c r="B491" s="380" t="s">
        <v>606</v>
      </c>
      <c r="C491" s="382">
        <v>4.9000000000000004</v>
      </c>
      <c r="D491" s="383">
        <v>2.4</v>
      </c>
      <c r="E491" s="382">
        <v>2.5000000000000004</v>
      </c>
      <c r="F491" s="382">
        <v>4.9000000000000004</v>
      </c>
      <c r="G491" s="383">
        <v>2.4</v>
      </c>
      <c r="H491" s="382">
        <v>2.5000000000000004</v>
      </c>
      <c r="I491" s="376" t="s">
        <v>206</v>
      </c>
      <c r="J491" s="376" t="s">
        <v>206</v>
      </c>
      <c r="K491" s="377" t="s">
        <v>206</v>
      </c>
    </row>
    <row r="492" spans="2:11" ht="15.6">
      <c r="B492" s="380" t="s">
        <v>607</v>
      </c>
      <c r="C492" s="382" t="s">
        <v>206</v>
      </c>
      <c r="D492" s="382" t="s">
        <v>206</v>
      </c>
      <c r="E492" s="382" t="s">
        <v>206</v>
      </c>
      <c r="F492" s="382" t="s">
        <v>206</v>
      </c>
      <c r="G492" s="382" t="s">
        <v>206</v>
      </c>
      <c r="H492" s="382" t="s">
        <v>206</v>
      </c>
      <c r="I492" s="376" t="s">
        <v>206</v>
      </c>
      <c r="J492" s="376" t="s">
        <v>206</v>
      </c>
      <c r="K492" s="377" t="s">
        <v>206</v>
      </c>
    </row>
    <row r="493" spans="2:11" ht="15.6">
      <c r="B493" s="380"/>
      <c r="C493" s="385"/>
      <c r="D493" s="385"/>
      <c r="E493" s="385"/>
      <c r="F493" s="385"/>
      <c r="G493" s="385"/>
      <c r="H493" s="385"/>
      <c r="I493" s="385"/>
      <c r="J493" s="385"/>
      <c r="K493" s="394"/>
    </row>
    <row r="494" spans="2:11" ht="15.6">
      <c r="B494" s="372" t="s">
        <v>608</v>
      </c>
      <c r="C494" s="381">
        <v>107.8</v>
      </c>
      <c r="D494" s="381">
        <v>54.6</v>
      </c>
      <c r="E494" s="381">
        <v>53.199999999999996</v>
      </c>
      <c r="F494" s="381">
        <v>19.899999999999999</v>
      </c>
      <c r="G494" s="390">
        <v>9.6999999999999993</v>
      </c>
      <c r="H494" s="381">
        <v>10.199999999999999</v>
      </c>
      <c r="I494" s="381">
        <v>87.9</v>
      </c>
      <c r="J494" s="381">
        <v>44.900000000000006</v>
      </c>
      <c r="K494" s="388">
        <v>43</v>
      </c>
    </row>
    <row r="495" spans="2:11" ht="15.6">
      <c r="B495" s="380" t="s">
        <v>609</v>
      </c>
      <c r="C495" s="382">
        <v>19.899999999999999</v>
      </c>
      <c r="D495" s="383">
        <v>9.6999999999999993</v>
      </c>
      <c r="E495" s="382">
        <v>10.199999999999999</v>
      </c>
      <c r="F495" s="382">
        <v>19.899999999999999</v>
      </c>
      <c r="G495" s="383">
        <v>9.6999999999999993</v>
      </c>
      <c r="H495" s="382">
        <v>10.199999999999999</v>
      </c>
      <c r="I495" s="376" t="s">
        <v>206</v>
      </c>
      <c r="J495" s="376" t="s">
        <v>206</v>
      </c>
      <c r="K495" s="377" t="s">
        <v>206</v>
      </c>
    </row>
    <row r="496" spans="2:11" ht="15.6">
      <c r="B496" s="380"/>
      <c r="C496" s="392"/>
      <c r="D496" s="392"/>
      <c r="E496" s="392"/>
      <c r="F496" s="392"/>
      <c r="G496" s="392"/>
      <c r="H496" s="392"/>
      <c r="I496" s="392"/>
      <c r="J496" s="392"/>
      <c r="K496" s="393"/>
    </row>
    <row r="497" spans="2:11" ht="15.6">
      <c r="B497" s="372" t="s">
        <v>610</v>
      </c>
      <c r="C497" s="381">
        <v>176.7</v>
      </c>
      <c r="D497" s="381">
        <v>88.9</v>
      </c>
      <c r="E497" s="381">
        <v>87.799999999999983</v>
      </c>
      <c r="F497" s="381">
        <v>30.8</v>
      </c>
      <c r="G497" s="390">
        <v>15.2</v>
      </c>
      <c r="H497" s="381">
        <v>15.600000000000001</v>
      </c>
      <c r="I497" s="381">
        <v>145.89999999999998</v>
      </c>
      <c r="J497" s="381">
        <v>73.7</v>
      </c>
      <c r="K497" s="388">
        <v>72.199999999999974</v>
      </c>
    </row>
    <row r="498" spans="2:11" ht="15.6">
      <c r="B498" s="380" t="s">
        <v>611</v>
      </c>
      <c r="C498" s="382">
        <v>30.8</v>
      </c>
      <c r="D498" s="383">
        <v>15.2</v>
      </c>
      <c r="E498" s="382">
        <v>15.600000000000001</v>
      </c>
      <c r="F498" s="382">
        <v>30.8</v>
      </c>
      <c r="G498" s="383">
        <v>15.2</v>
      </c>
      <c r="H498" s="382">
        <v>15.600000000000001</v>
      </c>
      <c r="I498" s="376" t="s">
        <v>206</v>
      </c>
      <c r="J498" s="376" t="s">
        <v>206</v>
      </c>
      <c r="K498" s="377" t="s">
        <v>206</v>
      </c>
    </row>
    <row r="499" spans="2:11" ht="15.6">
      <c r="B499" s="380"/>
      <c r="C499" s="392"/>
      <c r="D499" s="392"/>
      <c r="E499" s="392"/>
      <c r="F499" s="392"/>
      <c r="G499" s="392"/>
      <c r="H499" s="392"/>
      <c r="I499" s="392"/>
      <c r="J499" s="392"/>
      <c r="K499" s="393"/>
    </row>
    <row r="500" spans="2:11" ht="15.6">
      <c r="B500" s="372" t="s">
        <v>612</v>
      </c>
      <c r="C500" s="381">
        <v>75.599999999999994</v>
      </c>
      <c r="D500" s="381">
        <v>37.299999999999997</v>
      </c>
      <c r="E500" s="381">
        <v>38.299999999999997</v>
      </c>
      <c r="F500" s="381">
        <v>37.700000000000003</v>
      </c>
      <c r="G500" s="390">
        <v>18.399999999999999</v>
      </c>
      <c r="H500" s="381">
        <v>19.300000000000004</v>
      </c>
      <c r="I500" s="381">
        <v>37.899999999999991</v>
      </c>
      <c r="J500" s="381">
        <v>18.899999999999999</v>
      </c>
      <c r="K500" s="388">
        <v>18.999999999999993</v>
      </c>
    </row>
    <row r="501" spans="2:11" ht="15.6">
      <c r="B501" s="380" t="s">
        <v>613</v>
      </c>
      <c r="C501" s="382">
        <v>27.2</v>
      </c>
      <c r="D501" s="383">
        <v>13.4</v>
      </c>
      <c r="E501" s="382">
        <v>13.799999999999999</v>
      </c>
      <c r="F501" s="382">
        <v>27.2</v>
      </c>
      <c r="G501" s="383">
        <v>13.4</v>
      </c>
      <c r="H501" s="382">
        <v>13.799999999999999</v>
      </c>
      <c r="I501" s="376" t="s">
        <v>206</v>
      </c>
      <c r="J501" s="376" t="s">
        <v>206</v>
      </c>
      <c r="K501" s="377" t="s">
        <v>206</v>
      </c>
    </row>
    <row r="502" spans="2:11" ht="15.6">
      <c r="B502" s="380" t="s">
        <v>614</v>
      </c>
      <c r="C502" s="382">
        <v>0</v>
      </c>
      <c r="D502" s="383">
        <v>0</v>
      </c>
      <c r="E502" s="382">
        <v>0</v>
      </c>
      <c r="F502" s="382">
        <v>0</v>
      </c>
      <c r="G502" s="383">
        <v>0</v>
      </c>
      <c r="H502" s="382">
        <v>0</v>
      </c>
      <c r="I502" s="376" t="s">
        <v>206</v>
      </c>
      <c r="J502" s="376" t="s">
        <v>206</v>
      </c>
      <c r="K502" s="377" t="s">
        <v>206</v>
      </c>
    </row>
    <row r="503" spans="2:11" ht="15.6">
      <c r="B503" s="380" t="s">
        <v>615</v>
      </c>
      <c r="C503" s="382">
        <v>2.5</v>
      </c>
      <c r="D503" s="383">
        <v>1.2</v>
      </c>
      <c r="E503" s="382">
        <v>1.3</v>
      </c>
      <c r="F503" s="382">
        <v>2.5</v>
      </c>
      <c r="G503" s="383">
        <v>1.2</v>
      </c>
      <c r="H503" s="382">
        <v>1.3</v>
      </c>
      <c r="I503" s="376" t="s">
        <v>206</v>
      </c>
      <c r="J503" s="376" t="s">
        <v>206</v>
      </c>
      <c r="K503" s="377" t="s">
        <v>206</v>
      </c>
    </row>
    <row r="504" spans="2:11" ht="15.6">
      <c r="B504" s="380" t="s">
        <v>320</v>
      </c>
      <c r="C504" s="382">
        <v>1.2</v>
      </c>
      <c r="D504" s="383">
        <v>0.6</v>
      </c>
      <c r="E504" s="382">
        <v>0.6</v>
      </c>
      <c r="F504" s="382">
        <v>1.2</v>
      </c>
      <c r="G504" s="383">
        <v>0.6</v>
      </c>
      <c r="H504" s="382">
        <v>0.6</v>
      </c>
      <c r="I504" s="376" t="s">
        <v>206</v>
      </c>
      <c r="J504" s="376" t="s">
        <v>206</v>
      </c>
      <c r="K504" s="377" t="s">
        <v>206</v>
      </c>
    </row>
    <row r="505" spans="2:11" ht="15.6">
      <c r="B505" s="380" t="s">
        <v>616</v>
      </c>
      <c r="C505" s="382">
        <v>5.7</v>
      </c>
      <c r="D505" s="383">
        <v>2.6</v>
      </c>
      <c r="E505" s="382">
        <v>3.1</v>
      </c>
      <c r="F505" s="382">
        <v>5.7</v>
      </c>
      <c r="G505" s="383">
        <v>2.6</v>
      </c>
      <c r="H505" s="382">
        <v>3.1</v>
      </c>
      <c r="I505" s="376" t="s">
        <v>206</v>
      </c>
      <c r="J505" s="376" t="s">
        <v>206</v>
      </c>
      <c r="K505" s="377" t="s">
        <v>206</v>
      </c>
    </row>
    <row r="506" spans="2:11" ht="15.6">
      <c r="B506" s="380" t="s">
        <v>617</v>
      </c>
      <c r="C506" s="382">
        <v>1.1000000000000001</v>
      </c>
      <c r="D506" s="383">
        <v>0.6</v>
      </c>
      <c r="E506" s="382">
        <v>0.50000000000000011</v>
      </c>
      <c r="F506" s="382">
        <v>1.1000000000000001</v>
      </c>
      <c r="G506" s="383">
        <v>0.6</v>
      </c>
      <c r="H506" s="382">
        <v>0.50000000000000011</v>
      </c>
      <c r="I506" s="376" t="s">
        <v>206</v>
      </c>
      <c r="J506" s="376" t="s">
        <v>206</v>
      </c>
      <c r="K506" s="377" t="s">
        <v>206</v>
      </c>
    </row>
    <row r="507" spans="2:11" ht="15.6">
      <c r="B507" s="380"/>
      <c r="C507" s="404"/>
      <c r="D507" s="404"/>
      <c r="E507" s="404"/>
      <c r="F507" s="404"/>
      <c r="G507" s="404"/>
      <c r="H507" s="404"/>
      <c r="I507" s="404"/>
      <c r="J507" s="404"/>
      <c r="K507" s="405"/>
    </row>
    <row r="508" spans="2:11" ht="15.6">
      <c r="B508" s="372" t="s">
        <v>618</v>
      </c>
      <c r="C508" s="381">
        <v>86.6</v>
      </c>
      <c r="D508" s="381">
        <v>42.5</v>
      </c>
      <c r="E508" s="381">
        <v>44.099999999999994</v>
      </c>
      <c r="F508" s="381">
        <v>86.6</v>
      </c>
      <c r="G508" s="381">
        <v>42.5</v>
      </c>
      <c r="H508" s="381">
        <v>44.099999999999994</v>
      </c>
      <c r="I508" s="376" t="s">
        <v>206</v>
      </c>
      <c r="J508" s="376" t="s">
        <v>206</v>
      </c>
      <c r="K508" s="377" t="s">
        <v>206</v>
      </c>
    </row>
    <row r="509" spans="2:11" ht="15.6">
      <c r="B509" s="380" t="s">
        <v>619</v>
      </c>
      <c r="C509" s="382">
        <v>81.599999999999994</v>
      </c>
      <c r="D509" s="383">
        <v>40</v>
      </c>
      <c r="E509" s="382">
        <v>41.599999999999994</v>
      </c>
      <c r="F509" s="382">
        <v>81.599999999999994</v>
      </c>
      <c r="G509" s="383">
        <v>40</v>
      </c>
      <c r="H509" s="382">
        <v>41.599999999999994</v>
      </c>
      <c r="I509" s="376" t="s">
        <v>206</v>
      </c>
      <c r="J509" s="376" t="s">
        <v>206</v>
      </c>
      <c r="K509" s="377" t="s">
        <v>206</v>
      </c>
    </row>
    <row r="510" spans="2:11" ht="15.6">
      <c r="B510" s="380" t="s">
        <v>620</v>
      </c>
      <c r="C510" s="382">
        <v>2.5</v>
      </c>
      <c r="D510" s="383">
        <v>1.3</v>
      </c>
      <c r="E510" s="382">
        <v>1.2</v>
      </c>
      <c r="F510" s="382">
        <v>2.5</v>
      </c>
      <c r="G510" s="383">
        <v>1.3</v>
      </c>
      <c r="H510" s="382">
        <v>1.2</v>
      </c>
      <c r="I510" s="376" t="s">
        <v>206</v>
      </c>
      <c r="J510" s="376" t="s">
        <v>206</v>
      </c>
      <c r="K510" s="377" t="s">
        <v>206</v>
      </c>
    </row>
    <row r="511" spans="2:11" ht="15.6">
      <c r="B511" s="380" t="s">
        <v>621</v>
      </c>
      <c r="C511" s="382">
        <v>2.5</v>
      </c>
      <c r="D511" s="383">
        <v>1.2</v>
      </c>
      <c r="E511" s="382">
        <v>1.3</v>
      </c>
      <c r="F511" s="382">
        <v>2.5</v>
      </c>
      <c r="G511" s="383">
        <v>1.2</v>
      </c>
      <c r="H511" s="382">
        <v>1.3</v>
      </c>
      <c r="I511" s="376" t="s">
        <v>206</v>
      </c>
      <c r="J511" s="376" t="s">
        <v>206</v>
      </c>
      <c r="K511" s="377" t="s">
        <v>206</v>
      </c>
    </row>
    <row r="512" spans="2:11" ht="15.6">
      <c r="B512" s="380"/>
      <c r="C512" s="385"/>
      <c r="D512" s="385"/>
      <c r="E512" s="385"/>
      <c r="F512" s="385"/>
      <c r="G512" s="385"/>
      <c r="H512" s="385"/>
      <c r="I512" s="385"/>
      <c r="J512" s="385"/>
      <c r="K512" s="394"/>
    </row>
    <row r="513" spans="1:11" ht="15.6">
      <c r="A513" s="106" t="s">
        <v>933</v>
      </c>
      <c r="B513" s="372" t="s">
        <v>622</v>
      </c>
      <c r="C513" s="381">
        <v>682</v>
      </c>
      <c r="D513" s="381">
        <v>333.40000000000003</v>
      </c>
      <c r="E513" s="381">
        <v>348.59999999999997</v>
      </c>
      <c r="F513" s="381">
        <v>220.7</v>
      </c>
      <c r="G513" s="381">
        <v>107.10000000000001</v>
      </c>
      <c r="H513" s="381">
        <v>113.59999999999998</v>
      </c>
      <c r="I513" s="381">
        <v>461.29999999999995</v>
      </c>
      <c r="J513" s="381">
        <v>226.3</v>
      </c>
      <c r="K513" s="388">
        <v>234.99999999999994</v>
      </c>
    </row>
    <row r="514" spans="1:11" ht="15.6">
      <c r="B514" s="378" t="s">
        <v>301</v>
      </c>
      <c r="C514" s="373"/>
      <c r="D514" s="373"/>
      <c r="E514" s="373"/>
      <c r="F514" s="373"/>
      <c r="G514" s="373"/>
      <c r="H514" s="373"/>
      <c r="I514" s="373"/>
      <c r="J514" s="373"/>
      <c r="K514" s="379"/>
    </row>
    <row r="515" spans="1:11" ht="15.6">
      <c r="B515" s="372" t="s">
        <v>623</v>
      </c>
      <c r="C515" s="381">
        <v>80.8</v>
      </c>
      <c r="D515" s="381">
        <v>39.700000000000003</v>
      </c>
      <c r="E515" s="381">
        <v>41.099999999999994</v>
      </c>
      <c r="F515" s="381">
        <v>13.3</v>
      </c>
      <c r="G515" s="390">
        <v>6.6</v>
      </c>
      <c r="H515" s="381">
        <v>6.7000000000000011</v>
      </c>
      <c r="I515" s="381">
        <v>67.5</v>
      </c>
      <c r="J515" s="381">
        <v>33.1</v>
      </c>
      <c r="K515" s="388">
        <v>34.4</v>
      </c>
    </row>
    <row r="516" spans="1:11" ht="15.6">
      <c r="B516" s="380" t="s">
        <v>624</v>
      </c>
      <c r="C516" s="382">
        <v>10.8</v>
      </c>
      <c r="D516" s="383">
        <v>5.3</v>
      </c>
      <c r="E516" s="382">
        <v>5.5000000000000009</v>
      </c>
      <c r="F516" s="382">
        <v>10.8</v>
      </c>
      <c r="G516" s="383">
        <v>5.3</v>
      </c>
      <c r="H516" s="382">
        <v>5.5000000000000009</v>
      </c>
      <c r="I516" s="376" t="s">
        <v>206</v>
      </c>
      <c r="J516" s="376" t="s">
        <v>206</v>
      </c>
      <c r="K516" s="377" t="s">
        <v>206</v>
      </c>
    </row>
    <row r="517" spans="1:11" ht="15.6">
      <c r="B517" s="380" t="s">
        <v>625</v>
      </c>
      <c r="C517" s="382">
        <v>0.3</v>
      </c>
      <c r="D517" s="383">
        <v>0.2</v>
      </c>
      <c r="E517" s="382">
        <v>9.9999999999999978E-2</v>
      </c>
      <c r="F517" s="382">
        <v>0.3</v>
      </c>
      <c r="G517" s="383">
        <v>0.2</v>
      </c>
      <c r="H517" s="382">
        <v>9.9999999999999978E-2</v>
      </c>
      <c r="I517" s="376" t="s">
        <v>206</v>
      </c>
      <c r="J517" s="376" t="s">
        <v>206</v>
      </c>
      <c r="K517" s="377" t="s">
        <v>206</v>
      </c>
    </row>
    <row r="518" spans="1:11" ht="15.6">
      <c r="B518" s="380" t="s">
        <v>626</v>
      </c>
      <c r="C518" s="382">
        <v>0.5</v>
      </c>
      <c r="D518" s="383">
        <v>0.3</v>
      </c>
      <c r="E518" s="382">
        <v>0.2</v>
      </c>
      <c r="F518" s="382">
        <v>0.5</v>
      </c>
      <c r="G518" s="383">
        <v>0.3</v>
      </c>
      <c r="H518" s="382">
        <v>0.2</v>
      </c>
      <c r="I518" s="376" t="s">
        <v>206</v>
      </c>
      <c r="J518" s="376" t="s">
        <v>206</v>
      </c>
      <c r="K518" s="377" t="s">
        <v>206</v>
      </c>
    </row>
    <row r="519" spans="1:11" ht="15.6">
      <c r="B519" s="380" t="s">
        <v>627</v>
      </c>
      <c r="C519" s="382">
        <v>0.4</v>
      </c>
      <c r="D519" s="383">
        <v>0.2</v>
      </c>
      <c r="E519" s="382">
        <v>0.2</v>
      </c>
      <c r="F519" s="382">
        <v>0.4</v>
      </c>
      <c r="G519" s="383">
        <v>0.2</v>
      </c>
      <c r="H519" s="382">
        <v>0.2</v>
      </c>
      <c r="I519" s="376" t="s">
        <v>206</v>
      </c>
      <c r="J519" s="376" t="s">
        <v>206</v>
      </c>
      <c r="K519" s="377" t="s">
        <v>206</v>
      </c>
    </row>
    <row r="520" spans="1:11" ht="15.6">
      <c r="B520" s="380" t="s">
        <v>628</v>
      </c>
      <c r="C520" s="382">
        <v>1.3</v>
      </c>
      <c r="D520" s="383">
        <v>0.6</v>
      </c>
      <c r="E520" s="382">
        <v>0.70000000000000007</v>
      </c>
      <c r="F520" s="382">
        <v>1.3</v>
      </c>
      <c r="G520" s="383">
        <v>0.6</v>
      </c>
      <c r="H520" s="382">
        <v>0.70000000000000007</v>
      </c>
      <c r="I520" s="376" t="s">
        <v>206</v>
      </c>
      <c r="J520" s="376" t="s">
        <v>206</v>
      </c>
      <c r="K520" s="377" t="s">
        <v>206</v>
      </c>
    </row>
    <row r="521" spans="1:11" ht="15.6">
      <c r="B521" s="380"/>
      <c r="C521" s="374"/>
      <c r="D521" s="374"/>
      <c r="E521" s="374"/>
      <c r="F521" s="374"/>
      <c r="G521" s="374"/>
      <c r="H521" s="374"/>
      <c r="I521" s="374"/>
      <c r="J521" s="374"/>
      <c r="K521" s="375"/>
    </row>
    <row r="522" spans="1:11" ht="15.6">
      <c r="B522" s="372" t="s">
        <v>629</v>
      </c>
      <c r="C522" s="381">
        <v>132.4</v>
      </c>
      <c r="D522" s="381">
        <v>64.8</v>
      </c>
      <c r="E522" s="381">
        <v>67.600000000000009</v>
      </c>
      <c r="F522" s="381">
        <v>31.9</v>
      </c>
      <c r="G522" s="390">
        <v>15.4</v>
      </c>
      <c r="H522" s="381">
        <v>16.5</v>
      </c>
      <c r="I522" s="381">
        <v>100.5</v>
      </c>
      <c r="J522" s="381">
        <v>49.4</v>
      </c>
      <c r="K522" s="388">
        <v>51.1</v>
      </c>
    </row>
    <row r="523" spans="1:11" ht="15.6">
      <c r="B523" s="380" t="s">
        <v>630</v>
      </c>
      <c r="C523" s="382">
        <v>24.3</v>
      </c>
      <c r="D523" s="383">
        <v>11.8</v>
      </c>
      <c r="E523" s="382">
        <v>12.5</v>
      </c>
      <c r="F523" s="382">
        <v>24.3</v>
      </c>
      <c r="G523" s="383">
        <v>11.8</v>
      </c>
      <c r="H523" s="382">
        <v>12.5</v>
      </c>
      <c r="I523" s="376" t="s">
        <v>206</v>
      </c>
      <c r="J523" s="376" t="s">
        <v>206</v>
      </c>
      <c r="K523" s="377" t="s">
        <v>206</v>
      </c>
    </row>
    <row r="524" spans="1:11" ht="15.6">
      <c r="B524" s="380" t="s">
        <v>631</v>
      </c>
      <c r="C524" s="382">
        <v>7.6</v>
      </c>
      <c r="D524" s="383">
        <v>3.6</v>
      </c>
      <c r="E524" s="382">
        <v>3.9999999999999996</v>
      </c>
      <c r="F524" s="382">
        <v>7.6</v>
      </c>
      <c r="G524" s="383">
        <v>3.6</v>
      </c>
      <c r="H524" s="382">
        <v>3.9999999999999996</v>
      </c>
      <c r="I524" s="376" t="s">
        <v>206</v>
      </c>
      <c r="J524" s="376" t="s">
        <v>206</v>
      </c>
      <c r="K524" s="377" t="s">
        <v>206</v>
      </c>
    </row>
    <row r="525" spans="1:11" ht="15.6">
      <c r="B525" s="380" t="s">
        <v>632</v>
      </c>
      <c r="C525" s="382" t="s">
        <v>206</v>
      </c>
      <c r="D525" s="382" t="s">
        <v>206</v>
      </c>
      <c r="E525" s="382" t="s">
        <v>206</v>
      </c>
      <c r="F525" s="382" t="s">
        <v>206</v>
      </c>
      <c r="G525" s="382" t="s">
        <v>206</v>
      </c>
      <c r="H525" s="382" t="s">
        <v>206</v>
      </c>
      <c r="I525" s="376" t="s">
        <v>206</v>
      </c>
      <c r="J525" s="376" t="s">
        <v>206</v>
      </c>
      <c r="K525" s="377" t="s">
        <v>206</v>
      </c>
    </row>
    <row r="526" spans="1:11" ht="15.6">
      <c r="B526" s="380" t="s">
        <v>633</v>
      </c>
      <c r="C526" s="382" t="s">
        <v>206</v>
      </c>
      <c r="D526" s="382" t="s">
        <v>206</v>
      </c>
      <c r="E526" s="382" t="s">
        <v>206</v>
      </c>
      <c r="F526" s="382" t="s">
        <v>206</v>
      </c>
      <c r="G526" s="382" t="s">
        <v>206</v>
      </c>
      <c r="H526" s="382" t="s">
        <v>206</v>
      </c>
      <c r="I526" s="376" t="s">
        <v>206</v>
      </c>
      <c r="J526" s="376" t="s">
        <v>206</v>
      </c>
      <c r="K526" s="377" t="s">
        <v>206</v>
      </c>
    </row>
    <row r="527" spans="1:11" ht="15.6">
      <c r="B527" s="380" t="s">
        <v>634</v>
      </c>
      <c r="C527" s="382" t="s">
        <v>206</v>
      </c>
      <c r="D527" s="382" t="s">
        <v>206</v>
      </c>
      <c r="E527" s="382" t="s">
        <v>206</v>
      </c>
      <c r="F527" s="382" t="s">
        <v>206</v>
      </c>
      <c r="G527" s="382" t="s">
        <v>206</v>
      </c>
      <c r="H527" s="382" t="s">
        <v>206</v>
      </c>
      <c r="I527" s="376" t="s">
        <v>206</v>
      </c>
      <c r="J527" s="376" t="s">
        <v>206</v>
      </c>
      <c r="K527" s="377" t="s">
        <v>206</v>
      </c>
    </row>
    <row r="528" spans="1:11" ht="15.6">
      <c r="B528" s="380" t="s">
        <v>635</v>
      </c>
      <c r="C528" s="382" t="s">
        <v>206</v>
      </c>
      <c r="D528" s="382" t="s">
        <v>206</v>
      </c>
      <c r="E528" s="382" t="s">
        <v>206</v>
      </c>
      <c r="F528" s="382" t="s">
        <v>206</v>
      </c>
      <c r="G528" s="382" t="s">
        <v>206</v>
      </c>
      <c r="H528" s="382" t="s">
        <v>206</v>
      </c>
      <c r="I528" s="376" t="s">
        <v>206</v>
      </c>
      <c r="J528" s="376" t="s">
        <v>206</v>
      </c>
      <c r="K528" s="377" t="s">
        <v>206</v>
      </c>
    </row>
    <row r="529" spans="2:11" ht="15.6">
      <c r="B529" s="380" t="s">
        <v>636</v>
      </c>
      <c r="C529" s="382" t="s">
        <v>206</v>
      </c>
      <c r="D529" s="382" t="s">
        <v>206</v>
      </c>
      <c r="E529" s="382" t="s">
        <v>206</v>
      </c>
      <c r="F529" s="382" t="s">
        <v>206</v>
      </c>
      <c r="G529" s="382" t="s">
        <v>206</v>
      </c>
      <c r="H529" s="382" t="s">
        <v>206</v>
      </c>
      <c r="I529" s="376" t="s">
        <v>206</v>
      </c>
      <c r="J529" s="376" t="s">
        <v>206</v>
      </c>
      <c r="K529" s="377" t="s">
        <v>206</v>
      </c>
    </row>
    <row r="530" spans="2:11" ht="15.6">
      <c r="B530" s="380" t="s">
        <v>637</v>
      </c>
      <c r="C530" s="382" t="s">
        <v>206</v>
      </c>
      <c r="D530" s="382" t="s">
        <v>206</v>
      </c>
      <c r="E530" s="382" t="s">
        <v>206</v>
      </c>
      <c r="F530" s="382" t="s">
        <v>206</v>
      </c>
      <c r="G530" s="382" t="s">
        <v>206</v>
      </c>
      <c r="H530" s="382" t="s">
        <v>206</v>
      </c>
      <c r="I530" s="376" t="s">
        <v>206</v>
      </c>
      <c r="J530" s="376" t="s">
        <v>206</v>
      </c>
      <c r="K530" s="377" t="s">
        <v>206</v>
      </c>
    </row>
    <row r="531" spans="2:11" ht="15.6">
      <c r="B531" s="380" t="s">
        <v>638</v>
      </c>
      <c r="C531" s="382" t="s">
        <v>206</v>
      </c>
      <c r="D531" s="382" t="s">
        <v>206</v>
      </c>
      <c r="E531" s="382" t="s">
        <v>206</v>
      </c>
      <c r="F531" s="382" t="s">
        <v>206</v>
      </c>
      <c r="G531" s="382" t="s">
        <v>206</v>
      </c>
      <c r="H531" s="382" t="s">
        <v>206</v>
      </c>
      <c r="I531" s="376" t="s">
        <v>206</v>
      </c>
      <c r="J531" s="376" t="s">
        <v>206</v>
      </c>
      <c r="K531" s="377" t="s">
        <v>206</v>
      </c>
    </row>
    <row r="532" spans="2:11" ht="15.6">
      <c r="B532" s="380" t="s">
        <v>639</v>
      </c>
      <c r="C532" s="382" t="s">
        <v>206</v>
      </c>
      <c r="D532" s="382" t="s">
        <v>206</v>
      </c>
      <c r="E532" s="382" t="s">
        <v>206</v>
      </c>
      <c r="F532" s="382" t="s">
        <v>206</v>
      </c>
      <c r="G532" s="382" t="s">
        <v>206</v>
      </c>
      <c r="H532" s="382" t="s">
        <v>206</v>
      </c>
      <c r="I532" s="376" t="s">
        <v>206</v>
      </c>
      <c r="J532" s="376" t="s">
        <v>206</v>
      </c>
      <c r="K532" s="377" t="s">
        <v>206</v>
      </c>
    </row>
    <row r="533" spans="2:11" ht="15.6">
      <c r="B533" s="380" t="s">
        <v>640</v>
      </c>
      <c r="C533" s="382" t="s">
        <v>206</v>
      </c>
      <c r="D533" s="382" t="s">
        <v>206</v>
      </c>
      <c r="E533" s="382" t="s">
        <v>206</v>
      </c>
      <c r="F533" s="382" t="s">
        <v>206</v>
      </c>
      <c r="G533" s="382" t="s">
        <v>206</v>
      </c>
      <c r="H533" s="382" t="s">
        <v>206</v>
      </c>
      <c r="I533" s="376" t="s">
        <v>206</v>
      </c>
      <c r="J533" s="376" t="s">
        <v>206</v>
      </c>
      <c r="K533" s="377" t="s">
        <v>206</v>
      </c>
    </row>
    <row r="534" spans="2:11" ht="15.6">
      <c r="B534" s="380" t="s">
        <v>641</v>
      </c>
      <c r="C534" s="382" t="s">
        <v>206</v>
      </c>
      <c r="D534" s="382" t="s">
        <v>206</v>
      </c>
      <c r="E534" s="382" t="s">
        <v>206</v>
      </c>
      <c r="F534" s="382" t="s">
        <v>206</v>
      </c>
      <c r="G534" s="382" t="s">
        <v>206</v>
      </c>
      <c r="H534" s="382" t="s">
        <v>206</v>
      </c>
      <c r="I534" s="376" t="s">
        <v>206</v>
      </c>
      <c r="J534" s="376" t="s">
        <v>206</v>
      </c>
      <c r="K534" s="377" t="s">
        <v>206</v>
      </c>
    </row>
    <row r="535" spans="2:11" ht="15.6">
      <c r="B535" s="380" t="s">
        <v>642</v>
      </c>
      <c r="C535" s="382" t="s">
        <v>206</v>
      </c>
      <c r="D535" s="382" t="s">
        <v>206</v>
      </c>
      <c r="E535" s="382" t="s">
        <v>206</v>
      </c>
      <c r="F535" s="382" t="s">
        <v>206</v>
      </c>
      <c r="G535" s="382" t="s">
        <v>206</v>
      </c>
      <c r="H535" s="382" t="s">
        <v>206</v>
      </c>
      <c r="I535" s="376" t="s">
        <v>206</v>
      </c>
      <c r="J535" s="376" t="s">
        <v>206</v>
      </c>
      <c r="K535" s="377" t="s">
        <v>206</v>
      </c>
    </row>
    <row r="536" spans="2:11" ht="15.6">
      <c r="B536" s="380" t="s">
        <v>643</v>
      </c>
      <c r="C536" s="382" t="s">
        <v>206</v>
      </c>
      <c r="D536" s="382" t="s">
        <v>206</v>
      </c>
      <c r="E536" s="382" t="s">
        <v>206</v>
      </c>
      <c r="F536" s="382" t="s">
        <v>206</v>
      </c>
      <c r="G536" s="382" t="s">
        <v>206</v>
      </c>
      <c r="H536" s="382" t="s">
        <v>206</v>
      </c>
      <c r="I536" s="376" t="s">
        <v>206</v>
      </c>
      <c r="J536" s="376" t="s">
        <v>206</v>
      </c>
      <c r="K536" s="377" t="s">
        <v>206</v>
      </c>
    </row>
    <row r="537" spans="2:11" ht="15.6">
      <c r="B537" s="380" t="s">
        <v>644</v>
      </c>
      <c r="C537" s="382" t="s">
        <v>206</v>
      </c>
      <c r="D537" s="382" t="s">
        <v>206</v>
      </c>
      <c r="E537" s="382" t="s">
        <v>206</v>
      </c>
      <c r="F537" s="382" t="s">
        <v>206</v>
      </c>
      <c r="G537" s="382" t="s">
        <v>206</v>
      </c>
      <c r="H537" s="382" t="s">
        <v>206</v>
      </c>
      <c r="I537" s="376" t="s">
        <v>206</v>
      </c>
      <c r="J537" s="376" t="s">
        <v>206</v>
      </c>
      <c r="K537" s="377" t="s">
        <v>206</v>
      </c>
    </row>
    <row r="538" spans="2:11" ht="15.6">
      <c r="B538" s="380" t="s">
        <v>645</v>
      </c>
      <c r="C538" s="382" t="s">
        <v>206</v>
      </c>
      <c r="D538" s="382" t="s">
        <v>206</v>
      </c>
      <c r="E538" s="382" t="s">
        <v>206</v>
      </c>
      <c r="F538" s="382" t="s">
        <v>206</v>
      </c>
      <c r="G538" s="382" t="s">
        <v>206</v>
      </c>
      <c r="H538" s="382" t="s">
        <v>206</v>
      </c>
      <c r="I538" s="376" t="s">
        <v>206</v>
      </c>
      <c r="J538" s="376" t="s">
        <v>206</v>
      </c>
      <c r="K538" s="377" t="s">
        <v>206</v>
      </c>
    </row>
    <row r="539" spans="2:11" ht="15.6">
      <c r="B539" s="380" t="s">
        <v>646</v>
      </c>
      <c r="C539" s="382" t="s">
        <v>206</v>
      </c>
      <c r="D539" s="382" t="s">
        <v>206</v>
      </c>
      <c r="E539" s="382" t="s">
        <v>206</v>
      </c>
      <c r="F539" s="382" t="s">
        <v>206</v>
      </c>
      <c r="G539" s="382" t="s">
        <v>206</v>
      </c>
      <c r="H539" s="382" t="s">
        <v>206</v>
      </c>
      <c r="I539" s="376" t="s">
        <v>206</v>
      </c>
      <c r="J539" s="376" t="s">
        <v>206</v>
      </c>
      <c r="K539" s="377" t="s">
        <v>206</v>
      </c>
    </row>
    <row r="540" spans="2:11" ht="15.6">
      <c r="B540" s="380" t="s">
        <v>647</v>
      </c>
      <c r="C540" s="382" t="s">
        <v>206</v>
      </c>
      <c r="D540" s="382" t="s">
        <v>206</v>
      </c>
      <c r="E540" s="382" t="s">
        <v>206</v>
      </c>
      <c r="F540" s="381" t="s">
        <v>206</v>
      </c>
      <c r="G540" s="381" t="s">
        <v>206</v>
      </c>
      <c r="H540" s="381" t="s">
        <v>206</v>
      </c>
      <c r="I540" s="376" t="s">
        <v>206</v>
      </c>
      <c r="J540" s="376" t="s">
        <v>206</v>
      </c>
      <c r="K540" s="377" t="s">
        <v>206</v>
      </c>
    </row>
    <row r="541" spans="2:11" ht="15.6">
      <c r="B541" s="380"/>
      <c r="C541" s="404"/>
      <c r="D541" s="404"/>
      <c r="E541" s="404"/>
      <c r="F541" s="404"/>
      <c r="G541" s="404"/>
      <c r="H541" s="404"/>
      <c r="I541" s="404"/>
      <c r="J541" s="404"/>
      <c r="K541" s="405"/>
    </row>
    <row r="542" spans="2:11" ht="15.6">
      <c r="B542" s="372" t="s">
        <v>648</v>
      </c>
      <c r="C542" s="381">
        <v>202.2</v>
      </c>
      <c r="D542" s="381">
        <v>98.5</v>
      </c>
      <c r="E542" s="381">
        <v>103.69999999999999</v>
      </c>
      <c r="F542" s="381">
        <v>45.5</v>
      </c>
      <c r="G542" s="390">
        <v>22</v>
      </c>
      <c r="H542" s="381">
        <v>23.5</v>
      </c>
      <c r="I542" s="381">
        <v>156.69999999999999</v>
      </c>
      <c r="J542" s="381">
        <v>76.5</v>
      </c>
      <c r="K542" s="388">
        <v>80.199999999999989</v>
      </c>
    </row>
    <row r="543" spans="2:11" ht="15.6">
      <c r="B543" s="380" t="s">
        <v>649</v>
      </c>
      <c r="C543" s="382">
        <v>42.4</v>
      </c>
      <c r="D543" s="383">
        <v>20.399999999999999</v>
      </c>
      <c r="E543" s="382">
        <v>22</v>
      </c>
      <c r="F543" s="382">
        <v>42.4</v>
      </c>
      <c r="G543" s="383">
        <v>20.399999999999999</v>
      </c>
      <c r="H543" s="382">
        <v>22</v>
      </c>
      <c r="I543" s="376" t="s">
        <v>206</v>
      </c>
      <c r="J543" s="376" t="s">
        <v>206</v>
      </c>
      <c r="K543" s="377" t="s">
        <v>206</v>
      </c>
    </row>
    <row r="544" spans="2:11" ht="15.6">
      <c r="B544" s="380" t="s">
        <v>650</v>
      </c>
      <c r="C544" s="382">
        <v>3.1</v>
      </c>
      <c r="D544" s="383">
        <v>1.6</v>
      </c>
      <c r="E544" s="382">
        <v>1.5</v>
      </c>
      <c r="F544" s="382">
        <v>3.1</v>
      </c>
      <c r="G544" s="383">
        <v>1.6</v>
      </c>
      <c r="H544" s="382">
        <v>1.5</v>
      </c>
      <c r="I544" s="376" t="s">
        <v>206</v>
      </c>
      <c r="J544" s="376" t="s">
        <v>206</v>
      </c>
      <c r="K544" s="377" t="s">
        <v>206</v>
      </c>
    </row>
    <row r="545" spans="2:11" ht="15.6">
      <c r="B545" s="380" t="s">
        <v>651</v>
      </c>
      <c r="C545" s="382" t="s">
        <v>206</v>
      </c>
      <c r="D545" s="382" t="s">
        <v>206</v>
      </c>
      <c r="E545" s="382" t="s">
        <v>206</v>
      </c>
      <c r="F545" s="382" t="s">
        <v>206</v>
      </c>
      <c r="G545" s="382" t="s">
        <v>206</v>
      </c>
      <c r="H545" s="382" t="s">
        <v>206</v>
      </c>
      <c r="I545" s="376" t="s">
        <v>206</v>
      </c>
      <c r="J545" s="376" t="s">
        <v>206</v>
      </c>
      <c r="K545" s="377" t="s">
        <v>206</v>
      </c>
    </row>
    <row r="546" spans="2:11" ht="15.6">
      <c r="B546" s="380" t="s">
        <v>652</v>
      </c>
      <c r="C546" s="382" t="s">
        <v>206</v>
      </c>
      <c r="D546" s="382" t="s">
        <v>206</v>
      </c>
      <c r="E546" s="382" t="s">
        <v>206</v>
      </c>
      <c r="F546" s="382" t="s">
        <v>206</v>
      </c>
      <c r="G546" s="382" t="s">
        <v>206</v>
      </c>
      <c r="H546" s="382" t="s">
        <v>206</v>
      </c>
      <c r="I546" s="376" t="s">
        <v>206</v>
      </c>
      <c r="J546" s="376" t="s">
        <v>206</v>
      </c>
      <c r="K546" s="377" t="s">
        <v>206</v>
      </c>
    </row>
    <row r="547" spans="2:11" ht="15.6">
      <c r="B547" s="380" t="s">
        <v>653</v>
      </c>
      <c r="C547" s="382" t="s">
        <v>206</v>
      </c>
      <c r="D547" s="382" t="s">
        <v>206</v>
      </c>
      <c r="E547" s="382" t="s">
        <v>206</v>
      </c>
      <c r="F547" s="382" t="s">
        <v>206</v>
      </c>
      <c r="G547" s="382" t="s">
        <v>206</v>
      </c>
      <c r="H547" s="382" t="s">
        <v>206</v>
      </c>
      <c r="I547" s="376" t="s">
        <v>206</v>
      </c>
      <c r="J547" s="376" t="s">
        <v>206</v>
      </c>
      <c r="K547" s="377" t="s">
        <v>206</v>
      </c>
    </row>
    <row r="548" spans="2:11" ht="15.6">
      <c r="B548" s="380" t="s">
        <v>654</v>
      </c>
      <c r="C548" s="382" t="s">
        <v>206</v>
      </c>
      <c r="D548" s="382" t="s">
        <v>206</v>
      </c>
      <c r="E548" s="382" t="s">
        <v>206</v>
      </c>
      <c r="F548" s="382" t="s">
        <v>206</v>
      </c>
      <c r="G548" s="382" t="s">
        <v>206</v>
      </c>
      <c r="H548" s="382" t="s">
        <v>206</v>
      </c>
      <c r="I548" s="376" t="s">
        <v>206</v>
      </c>
      <c r="J548" s="376" t="s">
        <v>206</v>
      </c>
      <c r="K548" s="377" t="s">
        <v>206</v>
      </c>
    </row>
    <row r="549" spans="2:11" ht="15.6">
      <c r="B549" s="380" t="s">
        <v>655</v>
      </c>
      <c r="C549" s="382" t="s">
        <v>206</v>
      </c>
      <c r="D549" s="382" t="s">
        <v>206</v>
      </c>
      <c r="E549" s="382" t="s">
        <v>206</v>
      </c>
      <c r="F549" s="382" t="s">
        <v>206</v>
      </c>
      <c r="G549" s="382" t="s">
        <v>206</v>
      </c>
      <c r="H549" s="382" t="s">
        <v>206</v>
      </c>
      <c r="I549" s="376" t="s">
        <v>206</v>
      </c>
      <c r="J549" s="376" t="s">
        <v>206</v>
      </c>
      <c r="K549" s="377" t="s">
        <v>206</v>
      </c>
    </row>
    <row r="550" spans="2:11" ht="15.6">
      <c r="B550" s="380" t="s">
        <v>656</v>
      </c>
      <c r="C550" s="382" t="s">
        <v>206</v>
      </c>
      <c r="D550" s="382" t="s">
        <v>206</v>
      </c>
      <c r="E550" s="382" t="s">
        <v>206</v>
      </c>
      <c r="F550" s="382" t="s">
        <v>206</v>
      </c>
      <c r="G550" s="382" t="s">
        <v>206</v>
      </c>
      <c r="H550" s="382" t="s">
        <v>206</v>
      </c>
      <c r="I550" s="376" t="s">
        <v>206</v>
      </c>
      <c r="J550" s="376" t="s">
        <v>206</v>
      </c>
      <c r="K550" s="377" t="s">
        <v>206</v>
      </c>
    </row>
    <row r="551" spans="2:11" ht="15.6">
      <c r="B551" s="380" t="s">
        <v>657</v>
      </c>
      <c r="C551" s="382" t="s">
        <v>206</v>
      </c>
      <c r="D551" s="382" t="s">
        <v>206</v>
      </c>
      <c r="E551" s="382" t="s">
        <v>206</v>
      </c>
      <c r="F551" s="382" t="s">
        <v>206</v>
      </c>
      <c r="G551" s="382" t="s">
        <v>206</v>
      </c>
      <c r="H551" s="382" t="s">
        <v>206</v>
      </c>
      <c r="I551" s="376" t="s">
        <v>206</v>
      </c>
      <c r="J551" s="376" t="s">
        <v>206</v>
      </c>
      <c r="K551" s="377" t="s">
        <v>206</v>
      </c>
    </row>
    <row r="552" spans="2:11" ht="15.6">
      <c r="B552" s="380" t="s">
        <v>658</v>
      </c>
      <c r="C552" s="382" t="s">
        <v>206</v>
      </c>
      <c r="D552" s="382" t="s">
        <v>206</v>
      </c>
      <c r="E552" s="382" t="s">
        <v>206</v>
      </c>
      <c r="F552" s="382" t="s">
        <v>206</v>
      </c>
      <c r="G552" s="382" t="s">
        <v>206</v>
      </c>
      <c r="H552" s="382" t="s">
        <v>206</v>
      </c>
      <c r="I552" s="376" t="s">
        <v>206</v>
      </c>
      <c r="J552" s="376" t="s">
        <v>206</v>
      </c>
      <c r="K552" s="377" t="s">
        <v>206</v>
      </c>
    </row>
    <row r="553" spans="2:11" ht="15.6">
      <c r="B553" s="380" t="s">
        <v>659</v>
      </c>
      <c r="C553" s="382" t="s">
        <v>206</v>
      </c>
      <c r="D553" s="382" t="s">
        <v>206</v>
      </c>
      <c r="E553" s="382" t="s">
        <v>206</v>
      </c>
      <c r="F553" s="382" t="s">
        <v>206</v>
      </c>
      <c r="G553" s="382" t="s">
        <v>206</v>
      </c>
      <c r="H553" s="382" t="s">
        <v>206</v>
      </c>
      <c r="I553" s="376" t="s">
        <v>206</v>
      </c>
      <c r="J553" s="376" t="s">
        <v>206</v>
      </c>
      <c r="K553" s="377" t="s">
        <v>206</v>
      </c>
    </row>
    <row r="554" spans="2:11" ht="15.6">
      <c r="B554" s="380" t="s">
        <v>660</v>
      </c>
      <c r="C554" s="382" t="s">
        <v>206</v>
      </c>
      <c r="D554" s="382" t="s">
        <v>206</v>
      </c>
      <c r="E554" s="382" t="s">
        <v>206</v>
      </c>
      <c r="F554" s="382" t="s">
        <v>206</v>
      </c>
      <c r="G554" s="382" t="s">
        <v>206</v>
      </c>
      <c r="H554" s="382" t="s">
        <v>206</v>
      </c>
      <c r="I554" s="376" t="s">
        <v>206</v>
      </c>
      <c r="J554" s="376" t="s">
        <v>206</v>
      </c>
      <c r="K554" s="377" t="s">
        <v>206</v>
      </c>
    </row>
    <row r="555" spans="2:11" ht="15.6">
      <c r="B555" s="380" t="s">
        <v>661</v>
      </c>
      <c r="C555" s="382" t="s">
        <v>206</v>
      </c>
      <c r="D555" s="382" t="s">
        <v>206</v>
      </c>
      <c r="E555" s="382" t="s">
        <v>206</v>
      </c>
      <c r="F555" s="382" t="s">
        <v>206</v>
      </c>
      <c r="G555" s="382" t="s">
        <v>206</v>
      </c>
      <c r="H555" s="382" t="s">
        <v>206</v>
      </c>
      <c r="I555" s="376" t="s">
        <v>206</v>
      </c>
      <c r="J555" s="376" t="s">
        <v>206</v>
      </c>
      <c r="K555" s="377" t="s">
        <v>206</v>
      </c>
    </row>
    <row r="556" spans="2:11" ht="15.6">
      <c r="B556" s="380" t="s">
        <v>662</v>
      </c>
      <c r="C556" s="382" t="s">
        <v>206</v>
      </c>
      <c r="D556" s="382" t="s">
        <v>206</v>
      </c>
      <c r="E556" s="382" t="s">
        <v>206</v>
      </c>
      <c r="F556" s="382" t="s">
        <v>206</v>
      </c>
      <c r="G556" s="382" t="s">
        <v>206</v>
      </c>
      <c r="H556" s="382" t="s">
        <v>206</v>
      </c>
      <c r="I556" s="376" t="s">
        <v>206</v>
      </c>
      <c r="J556" s="376" t="s">
        <v>206</v>
      </c>
      <c r="K556" s="377" t="s">
        <v>206</v>
      </c>
    </row>
    <row r="557" spans="2:11" ht="15.6">
      <c r="B557" s="380" t="s">
        <v>663</v>
      </c>
      <c r="C557" s="382" t="s">
        <v>206</v>
      </c>
      <c r="D557" s="382" t="s">
        <v>206</v>
      </c>
      <c r="E557" s="382" t="s">
        <v>206</v>
      </c>
      <c r="F557" s="382" t="s">
        <v>206</v>
      </c>
      <c r="G557" s="382" t="s">
        <v>206</v>
      </c>
      <c r="H557" s="382" t="s">
        <v>206</v>
      </c>
      <c r="I557" s="376" t="s">
        <v>206</v>
      </c>
      <c r="J557" s="376" t="s">
        <v>206</v>
      </c>
      <c r="K557" s="377" t="s">
        <v>206</v>
      </c>
    </row>
    <row r="558" spans="2:11" ht="15.6">
      <c r="B558" s="380"/>
      <c r="C558" s="409"/>
      <c r="D558" s="409"/>
      <c r="E558" s="409"/>
      <c r="F558" s="409"/>
      <c r="G558" s="409"/>
      <c r="H558" s="409"/>
      <c r="I558" s="409"/>
      <c r="J558" s="409"/>
      <c r="K558" s="410"/>
    </row>
    <row r="559" spans="2:11" ht="15.6">
      <c r="B559" s="372" t="s">
        <v>664</v>
      </c>
      <c r="C559" s="381">
        <v>104.2</v>
      </c>
      <c r="D559" s="381">
        <v>51.6</v>
      </c>
      <c r="E559" s="381">
        <v>52.6</v>
      </c>
      <c r="F559" s="381">
        <v>30.2</v>
      </c>
      <c r="G559" s="390">
        <v>14.8</v>
      </c>
      <c r="H559" s="381">
        <v>15.399999999999999</v>
      </c>
      <c r="I559" s="381">
        <v>74</v>
      </c>
      <c r="J559" s="381">
        <v>36.799999999999997</v>
      </c>
      <c r="K559" s="388">
        <v>37.200000000000003</v>
      </c>
    </row>
    <row r="560" spans="2:11" ht="15.6">
      <c r="B560" s="380" t="s">
        <v>665</v>
      </c>
      <c r="C560" s="382">
        <v>19.899999999999999</v>
      </c>
      <c r="D560" s="383">
        <v>9.9</v>
      </c>
      <c r="E560" s="382">
        <v>9.9999999999999982</v>
      </c>
      <c r="F560" s="382">
        <v>19.899999999999999</v>
      </c>
      <c r="G560" s="383">
        <v>9.9</v>
      </c>
      <c r="H560" s="382">
        <v>9.9999999999999982</v>
      </c>
      <c r="I560" s="376" t="s">
        <v>206</v>
      </c>
      <c r="J560" s="376" t="s">
        <v>206</v>
      </c>
      <c r="K560" s="377" t="s">
        <v>206</v>
      </c>
    </row>
    <row r="561" spans="2:11" ht="15.6">
      <c r="B561" s="380" t="s">
        <v>666</v>
      </c>
      <c r="C561" s="382">
        <v>10.199999999999999</v>
      </c>
      <c r="D561" s="383">
        <v>4.9000000000000004</v>
      </c>
      <c r="E561" s="382">
        <v>5.2999999999999989</v>
      </c>
      <c r="F561" s="382">
        <v>10.199999999999999</v>
      </c>
      <c r="G561" s="383">
        <v>4.9000000000000004</v>
      </c>
      <c r="H561" s="382">
        <v>5.2999999999999989</v>
      </c>
      <c r="I561" s="376" t="s">
        <v>206</v>
      </c>
      <c r="J561" s="376" t="s">
        <v>206</v>
      </c>
      <c r="K561" s="377" t="s">
        <v>206</v>
      </c>
    </row>
    <row r="562" spans="2:11" ht="15.6">
      <c r="B562" s="380" t="s">
        <v>667</v>
      </c>
      <c r="C562" s="382">
        <v>0.1</v>
      </c>
      <c r="D562" s="383">
        <v>0</v>
      </c>
      <c r="E562" s="382">
        <v>0.1</v>
      </c>
      <c r="F562" s="382">
        <v>0.1</v>
      </c>
      <c r="G562" s="383">
        <v>0</v>
      </c>
      <c r="H562" s="382">
        <v>0.1</v>
      </c>
      <c r="I562" s="376" t="s">
        <v>206</v>
      </c>
      <c r="J562" s="376" t="s">
        <v>206</v>
      </c>
      <c r="K562" s="377" t="s">
        <v>206</v>
      </c>
    </row>
    <row r="563" spans="2:11" ht="15.6">
      <c r="B563" s="380"/>
      <c r="C563" s="374"/>
      <c r="D563" s="374"/>
      <c r="E563" s="374"/>
      <c r="F563" s="374"/>
      <c r="G563" s="374"/>
      <c r="H563" s="374"/>
      <c r="I563" s="374"/>
      <c r="J563" s="374"/>
      <c r="K563" s="375"/>
    </row>
    <row r="564" spans="2:11" ht="15.6">
      <c r="B564" s="372" t="s">
        <v>668</v>
      </c>
      <c r="C564" s="381">
        <v>28.6</v>
      </c>
      <c r="D564" s="381">
        <v>14</v>
      </c>
      <c r="E564" s="381">
        <v>14.600000000000001</v>
      </c>
      <c r="F564" s="381">
        <v>9.6</v>
      </c>
      <c r="G564" s="390">
        <v>4.7</v>
      </c>
      <c r="H564" s="381">
        <v>4.8999999999999995</v>
      </c>
      <c r="I564" s="381">
        <v>19</v>
      </c>
      <c r="J564" s="381">
        <v>9.3000000000000007</v>
      </c>
      <c r="K564" s="388">
        <v>9.6999999999999993</v>
      </c>
    </row>
    <row r="565" spans="2:11" ht="15.6">
      <c r="B565" s="380" t="s">
        <v>669</v>
      </c>
      <c r="C565" s="382">
        <v>8</v>
      </c>
      <c r="D565" s="383">
        <v>3.9</v>
      </c>
      <c r="E565" s="382">
        <v>4.0999999999999996</v>
      </c>
      <c r="F565" s="382">
        <v>8</v>
      </c>
      <c r="G565" s="383">
        <v>3.9</v>
      </c>
      <c r="H565" s="382">
        <v>4.0999999999999996</v>
      </c>
      <c r="I565" s="376" t="s">
        <v>206</v>
      </c>
      <c r="J565" s="376" t="s">
        <v>206</v>
      </c>
      <c r="K565" s="377" t="s">
        <v>206</v>
      </c>
    </row>
    <row r="566" spans="2:11" ht="15.6">
      <c r="B566" s="380" t="s">
        <v>670</v>
      </c>
      <c r="C566" s="382">
        <v>1.6</v>
      </c>
      <c r="D566" s="383">
        <v>0.8</v>
      </c>
      <c r="E566" s="382">
        <v>0.8</v>
      </c>
      <c r="F566" s="382">
        <v>1.6</v>
      </c>
      <c r="G566" s="383">
        <v>0.8</v>
      </c>
      <c r="H566" s="382">
        <v>0.8</v>
      </c>
      <c r="I566" s="376" t="s">
        <v>206</v>
      </c>
      <c r="J566" s="376" t="s">
        <v>206</v>
      </c>
      <c r="K566" s="377" t="s">
        <v>206</v>
      </c>
    </row>
    <row r="567" spans="2:11" ht="15.6">
      <c r="B567" s="380"/>
      <c r="C567" s="373"/>
      <c r="D567" s="373"/>
      <c r="E567" s="373"/>
      <c r="F567" s="373"/>
      <c r="G567" s="373"/>
      <c r="H567" s="373"/>
      <c r="I567" s="373"/>
      <c r="J567" s="373"/>
      <c r="K567" s="379"/>
    </row>
    <row r="568" spans="2:11" ht="15.6">
      <c r="B568" s="372" t="s">
        <v>671</v>
      </c>
      <c r="C568" s="381">
        <v>34.200000000000003</v>
      </c>
      <c r="D568" s="381">
        <v>16.5</v>
      </c>
      <c r="E568" s="381">
        <v>17.700000000000003</v>
      </c>
      <c r="F568" s="381">
        <v>24.8</v>
      </c>
      <c r="G568" s="390">
        <v>11.9</v>
      </c>
      <c r="H568" s="381">
        <v>12.9</v>
      </c>
      <c r="I568" s="381">
        <v>9.4000000000000021</v>
      </c>
      <c r="J568" s="381">
        <v>4.5999999999999996</v>
      </c>
      <c r="K568" s="388">
        <v>4.8000000000000025</v>
      </c>
    </row>
    <row r="569" spans="2:11" ht="15.6">
      <c r="B569" s="380" t="s">
        <v>672</v>
      </c>
      <c r="C569" s="382">
        <v>23.5</v>
      </c>
      <c r="D569" s="383">
        <v>11.3</v>
      </c>
      <c r="E569" s="382">
        <v>12.2</v>
      </c>
      <c r="F569" s="382">
        <v>23.5</v>
      </c>
      <c r="G569" s="383">
        <v>11.3</v>
      </c>
      <c r="H569" s="382">
        <v>12.2</v>
      </c>
      <c r="I569" s="376" t="s">
        <v>206</v>
      </c>
      <c r="J569" s="376" t="s">
        <v>206</v>
      </c>
      <c r="K569" s="377" t="s">
        <v>206</v>
      </c>
    </row>
    <row r="570" spans="2:11" ht="15.6">
      <c r="B570" s="380" t="s">
        <v>673</v>
      </c>
      <c r="C570" s="382">
        <v>1.3</v>
      </c>
      <c r="D570" s="383">
        <v>0.6</v>
      </c>
      <c r="E570" s="382">
        <v>0.70000000000000007</v>
      </c>
      <c r="F570" s="382">
        <v>1.3</v>
      </c>
      <c r="G570" s="383">
        <v>0.6</v>
      </c>
      <c r="H570" s="382">
        <v>0.70000000000000007</v>
      </c>
      <c r="I570" s="376" t="s">
        <v>206</v>
      </c>
      <c r="J570" s="376" t="s">
        <v>206</v>
      </c>
      <c r="K570" s="377" t="s">
        <v>206</v>
      </c>
    </row>
    <row r="571" spans="2:11" ht="15.6">
      <c r="B571" s="380"/>
      <c r="C571" s="392"/>
      <c r="D571" s="392"/>
      <c r="E571" s="392"/>
      <c r="F571" s="392"/>
      <c r="G571" s="392"/>
      <c r="H571" s="392"/>
      <c r="I571" s="392"/>
      <c r="J571" s="392"/>
      <c r="K571" s="393"/>
    </row>
    <row r="572" spans="2:11" ht="15.6">
      <c r="B572" s="372" t="s">
        <v>674</v>
      </c>
      <c r="C572" s="381">
        <v>43.8</v>
      </c>
      <c r="D572" s="381">
        <v>21.3</v>
      </c>
      <c r="E572" s="381">
        <v>22.499999999999996</v>
      </c>
      <c r="F572" s="381">
        <v>9.6</v>
      </c>
      <c r="G572" s="390">
        <v>4.7</v>
      </c>
      <c r="H572" s="381">
        <v>4.8999999999999995</v>
      </c>
      <c r="I572" s="381">
        <v>34.199999999999996</v>
      </c>
      <c r="J572" s="381">
        <v>16.600000000000001</v>
      </c>
      <c r="K572" s="388">
        <v>17.599999999999994</v>
      </c>
    </row>
    <row r="573" spans="2:11" ht="15.6">
      <c r="B573" s="380" t="s">
        <v>675</v>
      </c>
      <c r="C573" s="382">
        <v>5.9</v>
      </c>
      <c r="D573" s="383">
        <v>2.9</v>
      </c>
      <c r="E573" s="382">
        <v>3.0000000000000004</v>
      </c>
      <c r="F573" s="382">
        <v>5.9</v>
      </c>
      <c r="G573" s="383">
        <v>2.9</v>
      </c>
      <c r="H573" s="382">
        <v>3.0000000000000004</v>
      </c>
      <c r="I573" s="376" t="s">
        <v>206</v>
      </c>
      <c r="J573" s="376" t="s">
        <v>206</v>
      </c>
      <c r="K573" s="377" t="s">
        <v>206</v>
      </c>
    </row>
    <row r="574" spans="2:11" ht="15.6">
      <c r="B574" s="380" t="s">
        <v>676</v>
      </c>
      <c r="C574" s="382">
        <v>1.2</v>
      </c>
      <c r="D574" s="383">
        <v>0.6</v>
      </c>
      <c r="E574" s="382">
        <v>0.6</v>
      </c>
      <c r="F574" s="382">
        <v>1.2</v>
      </c>
      <c r="G574" s="383">
        <v>0.6</v>
      </c>
      <c r="H574" s="382">
        <v>0.6</v>
      </c>
      <c r="I574" s="376" t="s">
        <v>206</v>
      </c>
      <c r="J574" s="376" t="s">
        <v>206</v>
      </c>
      <c r="K574" s="377" t="s">
        <v>206</v>
      </c>
    </row>
    <row r="575" spans="2:11" ht="15.6">
      <c r="B575" s="380" t="s">
        <v>677</v>
      </c>
      <c r="C575" s="382">
        <v>2.5</v>
      </c>
      <c r="D575" s="383">
        <v>1.2</v>
      </c>
      <c r="E575" s="382">
        <v>1.3</v>
      </c>
      <c r="F575" s="382">
        <v>2.5</v>
      </c>
      <c r="G575" s="383">
        <v>1.2</v>
      </c>
      <c r="H575" s="382">
        <v>1.3</v>
      </c>
      <c r="I575" s="376" t="s">
        <v>206</v>
      </c>
      <c r="J575" s="376" t="s">
        <v>206</v>
      </c>
      <c r="K575" s="377" t="s">
        <v>206</v>
      </c>
    </row>
    <row r="576" spans="2:11" ht="15.6">
      <c r="B576" s="380"/>
      <c r="C576" s="385"/>
      <c r="D576" s="385"/>
      <c r="E576" s="385"/>
      <c r="F576" s="385"/>
      <c r="G576" s="385"/>
      <c r="H576" s="385"/>
      <c r="I576" s="385"/>
      <c r="J576" s="385"/>
      <c r="K576" s="394"/>
    </row>
    <row r="577" spans="1:11" ht="15.6">
      <c r="B577" s="372" t="s">
        <v>678</v>
      </c>
      <c r="C577" s="381">
        <v>55.8</v>
      </c>
      <c r="D577" s="381">
        <v>27</v>
      </c>
      <c r="E577" s="381">
        <v>28.799999999999997</v>
      </c>
      <c r="F577" s="381">
        <v>55.8</v>
      </c>
      <c r="G577" s="381">
        <v>27</v>
      </c>
      <c r="H577" s="381">
        <v>28.799999999999997</v>
      </c>
      <c r="I577" s="376" t="s">
        <v>206</v>
      </c>
      <c r="J577" s="376" t="s">
        <v>206</v>
      </c>
      <c r="K577" s="377" t="s">
        <v>206</v>
      </c>
    </row>
    <row r="578" spans="1:11" ht="15.6">
      <c r="B578" s="380" t="s">
        <v>679</v>
      </c>
      <c r="C578" s="382">
        <v>53.6</v>
      </c>
      <c r="D578" s="383">
        <v>26</v>
      </c>
      <c r="E578" s="382">
        <v>27.6</v>
      </c>
      <c r="F578" s="382">
        <v>53.6</v>
      </c>
      <c r="G578" s="383">
        <v>26</v>
      </c>
      <c r="H578" s="382">
        <v>27.6</v>
      </c>
      <c r="I578" s="376" t="s">
        <v>206</v>
      </c>
      <c r="J578" s="376" t="s">
        <v>206</v>
      </c>
      <c r="K578" s="377" t="s">
        <v>206</v>
      </c>
    </row>
    <row r="579" spans="1:11" ht="15.6">
      <c r="B579" s="380" t="s">
        <v>680</v>
      </c>
      <c r="C579" s="382">
        <v>2.2000000000000002</v>
      </c>
      <c r="D579" s="383">
        <v>1</v>
      </c>
      <c r="E579" s="382">
        <v>1.2000000000000002</v>
      </c>
      <c r="F579" s="382">
        <v>2.2000000000000002</v>
      </c>
      <c r="G579" s="383">
        <v>1</v>
      </c>
      <c r="H579" s="382">
        <v>1.2000000000000002</v>
      </c>
      <c r="I579" s="376" t="s">
        <v>206</v>
      </c>
      <c r="J579" s="376" t="s">
        <v>206</v>
      </c>
      <c r="K579" s="377" t="s">
        <v>206</v>
      </c>
    </row>
    <row r="580" spans="1:11" ht="15.6">
      <c r="B580" s="380"/>
      <c r="C580" s="404"/>
      <c r="D580" s="404"/>
      <c r="E580" s="404"/>
      <c r="F580" s="404"/>
      <c r="G580" s="404"/>
      <c r="H580" s="404"/>
      <c r="I580" s="404"/>
      <c r="J580" s="404"/>
      <c r="K580" s="405"/>
    </row>
    <row r="581" spans="1:11" ht="15.6">
      <c r="A581" s="106" t="s">
        <v>933</v>
      </c>
      <c r="B581" s="372" t="s">
        <v>681</v>
      </c>
      <c r="C581" s="381">
        <v>256.7</v>
      </c>
      <c r="D581" s="381">
        <v>127.79999999999998</v>
      </c>
      <c r="E581" s="381">
        <v>128.9</v>
      </c>
      <c r="F581" s="381">
        <v>56.4</v>
      </c>
      <c r="G581" s="381">
        <v>27.900000000000002</v>
      </c>
      <c r="H581" s="381">
        <v>28.499999999999996</v>
      </c>
      <c r="I581" s="381">
        <v>200.3</v>
      </c>
      <c r="J581" s="381">
        <v>99.899999999999977</v>
      </c>
      <c r="K581" s="388">
        <v>100.40000000000003</v>
      </c>
    </row>
    <row r="582" spans="1:11" ht="15.6">
      <c r="B582" s="378" t="s">
        <v>301</v>
      </c>
      <c r="C582" s="382"/>
      <c r="D582" s="383"/>
      <c r="E582" s="382"/>
      <c r="F582" s="383"/>
      <c r="G582" s="383"/>
      <c r="H582" s="383"/>
      <c r="I582" s="383"/>
      <c r="J582" s="383"/>
      <c r="K582" s="413"/>
    </row>
    <row r="583" spans="1:11" ht="15.6">
      <c r="B583" s="372" t="s">
        <v>682</v>
      </c>
      <c r="C583" s="381">
        <v>93.1</v>
      </c>
      <c r="D583" s="381">
        <v>46.4</v>
      </c>
      <c r="E583" s="381">
        <v>46.699999999999996</v>
      </c>
      <c r="F583" s="381">
        <v>13.4</v>
      </c>
      <c r="G583" s="390">
        <v>6.7</v>
      </c>
      <c r="H583" s="381">
        <v>6.7</v>
      </c>
      <c r="I583" s="381">
        <v>79.699999999999989</v>
      </c>
      <c r="J583" s="381">
        <v>39.699999999999996</v>
      </c>
      <c r="K583" s="388">
        <v>39.999999999999993</v>
      </c>
    </row>
    <row r="584" spans="1:11" ht="15.6">
      <c r="B584" s="380" t="s">
        <v>683</v>
      </c>
      <c r="C584" s="382">
        <v>12</v>
      </c>
      <c r="D584" s="383">
        <v>6</v>
      </c>
      <c r="E584" s="382">
        <v>6</v>
      </c>
      <c r="F584" s="382">
        <v>12</v>
      </c>
      <c r="G584" s="383">
        <v>6</v>
      </c>
      <c r="H584" s="382">
        <v>6</v>
      </c>
      <c r="I584" s="376" t="s">
        <v>206</v>
      </c>
      <c r="J584" s="376" t="s">
        <v>206</v>
      </c>
      <c r="K584" s="377" t="s">
        <v>206</v>
      </c>
    </row>
    <row r="585" spans="1:11" ht="15.6">
      <c r="B585" s="380" t="s">
        <v>502</v>
      </c>
      <c r="C585" s="382">
        <v>1.4</v>
      </c>
      <c r="D585" s="383">
        <v>0.7</v>
      </c>
      <c r="E585" s="382">
        <v>0.7</v>
      </c>
      <c r="F585" s="382">
        <v>1.4</v>
      </c>
      <c r="G585" s="383">
        <v>0.7</v>
      </c>
      <c r="H585" s="382">
        <v>0.7</v>
      </c>
      <c r="I585" s="376" t="s">
        <v>206</v>
      </c>
      <c r="J585" s="376" t="s">
        <v>206</v>
      </c>
      <c r="K585" s="377" t="s">
        <v>206</v>
      </c>
    </row>
    <row r="586" spans="1:11" ht="15.6">
      <c r="B586" s="380"/>
      <c r="C586" s="409"/>
      <c r="D586" s="409"/>
      <c r="E586" s="409"/>
      <c r="F586" s="409"/>
      <c r="G586" s="409"/>
      <c r="H586" s="409"/>
      <c r="I586" s="409"/>
      <c r="J586" s="409"/>
      <c r="K586" s="410"/>
    </row>
    <row r="587" spans="1:11" ht="15.6">
      <c r="B587" s="372" t="s">
        <v>684</v>
      </c>
      <c r="C587" s="381">
        <v>77.7</v>
      </c>
      <c r="D587" s="381">
        <v>39.299999999999997</v>
      </c>
      <c r="E587" s="381">
        <v>38.400000000000006</v>
      </c>
      <c r="F587" s="381">
        <v>13.6</v>
      </c>
      <c r="G587" s="390">
        <v>6.8</v>
      </c>
      <c r="H587" s="381">
        <v>6.8</v>
      </c>
      <c r="I587" s="381">
        <v>64.100000000000009</v>
      </c>
      <c r="J587" s="381">
        <v>32.5</v>
      </c>
      <c r="K587" s="388">
        <v>31.600000000000009</v>
      </c>
    </row>
    <row r="588" spans="1:11" ht="15.6">
      <c r="B588" s="380" t="s">
        <v>685</v>
      </c>
      <c r="C588" s="382">
        <v>13.2</v>
      </c>
      <c r="D588" s="383">
        <v>6.6</v>
      </c>
      <c r="E588" s="382">
        <v>6.6</v>
      </c>
      <c r="F588" s="382">
        <v>13.2</v>
      </c>
      <c r="G588" s="383">
        <v>6.6</v>
      </c>
      <c r="H588" s="382">
        <v>6.6</v>
      </c>
      <c r="I588" s="376" t="s">
        <v>206</v>
      </c>
      <c r="J588" s="376" t="s">
        <v>206</v>
      </c>
      <c r="K588" s="377" t="s">
        <v>206</v>
      </c>
    </row>
    <row r="589" spans="1:11" ht="15.6">
      <c r="B589" s="380" t="s">
        <v>686</v>
      </c>
      <c r="C589" s="382">
        <v>0.4</v>
      </c>
      <c r="D589" s="383">
        <v>0.2</v>
      </c>
      <c r="E589" s="382">
        <v>0.2</v>
      </c>
      <c r="F589" s="382">
        <v>0.4</v>
      </c>
      <c r="G589" s="383">
        <v>0.2</v>
      </c>
      <c r="H589" s="382">
        <v>0.2</v>
      </c>
      <c r="I589" s="376" t="s">
        <v>206</v>
      </c>
      <c r="J589" s="376" t="s">
        <v>206</v>
      </c>
      <c r="K589" s="377" t="s">
        <v>206</v>
      </c>
    </row>
    <row r="590" spans="1:11" ht="15.6">
      <c r="B590" s="380"/>
      <c r="C590" s="392"/>
      <c r="D590" s="392"/>
      <c r="E590" s="392"/>
      <c r="F590" s="392"/>
      <c r="G590" s="392"/>
      <c r="H590" s="392"/>
      <c r="I590" s="392"/>
      <c r="J590" s="392"/>
      <c r="K590" s="393"/>
    </row>
    <row r="591" spans="1:11" ht="15.6">
      <c r="B591" s="372" t="s">
        <v>687</v>
      </c>
      <c r="C591" s="381">
        <v>41.1</v>
      </c>
      <c r="D591" s="381">
        <v>20.2</v>
      </c>
      <c r="E591" s="381">
        <v>20.900000000000002</v>
      </c>
      <c r="F591" s="381">
        <v>9.3000000000000007</v>
      </c>
      <c r="G591" s="390">
        <v>4.5999999999999996</v>
      </c>
      <c r="H591" s="381">
        <v>4.7000000000000011</v>
      </c>
      <c r="I591" s="381">
        <v>31.8</v>
      </c>
      <c r="J591" s="381">
        <v>15.6</v>
      </c>
      <c r="K591" s="388">
        <v>16.200000000000003</v>
      </c>
    </row>
    <row r="592" spans="1:11" ht="15.6">
      <c r="B592" s="380" t="s">
        <v>688</v>
      </c>
      <c r="C592" s="382">
        <v>9.3000000000000007</v>
      </c>
      <c r="D592" s="383">
        <v>4.5999999999999996</v>
      </c>
      <c r="E592" s="382">
        <v>4.7000000000000011</v>
      </c>
      <c r="F592" s="382">
        <v>9.3000000000000007</v>
      </c>
      <c r="G592" s="383">
        <v>4.5999999999999996</v>
      </c>
      <c r="H592" s="382">
        <v>4.7000000000000011</v>
      </c>
      <c r="I592" s="376" t="s">
        <v>206</v>
      </c>
      <c r="J592" s="376" t="s">
        <v>206</v>
      </c>
      <c r="K592" s="377" t="s">
        <v>206</v>
      </c>
    </row>
    <row r="593" spans="1:11" ht="15.6">
      <c r="B593" s="380"/>
      <c r="C593" s="392"/>
      <c r="D593" s="392"/>
      <c r="E593" s="392"/>
      <c r="F593" s="392"/>
      <c r="G593" s="392"/>
      <c r="H593" s="392"/>
      <c r="I593" s="392"/>
      <c r="J593" s="392"/>
      <c r="K593" s="393"/>
    </row>
    <row r="594" spans="1:11" ht="15.6">
      <c r="B594" s="372" t="s">
        <v>689</v>
      </c>
      <c r="C594" s="381">
        <v>44.8</v>
      </c>
      <c r="D594" s="381">
        <v>21.9</v>
      </c>
      <c r="E594" s="381">
        <v>22.9</v>
      </c>
      <c r="F594" s="381">
        <v>20.100000000000001</v>
      </c>
      <c r="G594" s="390">
        <v>9.8000000000000007</v>
      </c>
      <c r="H594" s="381">
        <v>10.3</v>
      </c>
      <c r="I594" s="381">
        <v>24.699999999999996</v>
      </c>
      <c r="J594" s="381">
        <v>12.099999999999998</v>
      </c>
      <c r="K594" s="388">
        <v>12.599999999999998</v>
      </c>
    </row>
    <row r="595" spans="1:11" ht="15.6">
      <c r="B595" s="380" t="s">
        <v>690</v>
      </c>
      <c r="C595" s="382">
        <v>11.2</v>
      </c>
      <c r="D595" s="383">
        <v>5.5</v>
      </c>
      <c r="E595" s="382">
        <v>5.6999999999999993</v>
      </c>
      <c r="F595" s="382">
        <v>11.2</v>
      </c>
      <c r="G595" s="383">
        <v>5.5</v>
      </c>
      <c r="H595" s="382">
        <v>5.6999999999999993</v>
      </c>
      <c r="I595" s="376" t="s">
        <v>206</v>
      </c>
      <c r="J595" s="376" t="s">
        <v>206</v>
      </c>
      <c r="K595" s="377" t="s">
        <v>206</v>
      </c>
    </row>
    <row r="596" spans="1:11" ht="15.6">
      <c r="B596" s="380" t="s">
        <v>691</v>
      </c>
      <c r="C596" s="382">
        <v>6.5</v>
      </c>
      <c r="D596" s="383">
        <v>3.2</v>
      </c>
      <c r="E596" s="382">
        <v>3.3</v>
      </c>
      <c r="F596" s="382">
        <v>6.5</v>
      </c>
      <c r="G596" s="383">
        <v>3.2</v>
      </c>
      <c r="H596" s="382">
        <v>3.3</v>
      </c>
      <c r="I596" s="376" t="s">
        <v>206</v>
      </c>
      <c r="J596" s="376" t="s">
        <v>206</v>
      </c>
      <c r="K596" s="377" t="s">
        <v>206</v>
      </c>
    </row>
    <row r="597" spans="1:11" ht="15.6">
      <c r="B597" s="380" t="s">
        <v>692</v>
      </c>
      <c r="C597" s="382">
        <v>0.2</v>
      </c>
      <c r="D597" s="383">
        <v>0.1</v>
      </c>
      <c r="E597" s="382">
        <v>0.1</v>
      </c>
      <c r="F597" s="382">
        <v>0.2</v>
      </c>
      <c r="G597" s="383">
        <v>0.1</v>
      </c>
      <c r="H597" s="382">
        <v>0.1</v>
      </c>
      <c r="I597" s="376" t="s">
        <v>206</v>
      </c>
      <c r="J597" s="376" t="s">
        <v>206</v>
      </c>
      <c r="K597" s="377" t="s">
        <v>206</v>
      </c>
    </row>
    <row r="598" spans="1:11" ht="15.6">
      <c r="B598" s="380" t="s">
        <v>693</v>
      </c>
      <c r="C598" s="382">
        <v>1</v>
      </c>
      <c r="D598" s="383">
        <v>0.5</v>
      </c>
      <c r="E598" s="382">
        <v>0.5</v>
      </c>
      <c r="F598" s="382">
        <v>1</v>
      </c>
      <c r="G598" s="383">
        <v>0.5</v>
      </c>
      <c r="H598" s="382">
        <v>0.5</v>
      </c>
      <c r="I598" s="376" t="s">
        <v>206</v>
      </c>
      <c r="J598" s="376" t="s">
        <v>206</v>
      </c>
      <c r="K598" s="377" t="s">
        <v>206</v>
      </c>
    </row>
    <row r="599" spans="1:11" ht="15.6">
      <c r="B599" s="380" t="s">
        <v>694</v>
      </c>
      <c r="C599" s="382">
        <v>0.5</v>
      </c>
      <c r="D599" s="383">
        <v>0.2</v>
      </c>
      <c r="E599" s="382">
        <v>0.3</v>
      </c>
      <c r="F599" s="382">
        <v>0.5</v>
      </c>
      <c r="G599" s="383">
        <v>0.2</v>
      </c>
      <c r="H599" s="382">
        <v>0.3</v>
      </c>
      <c r="I599" s="376" t="s">
        <v>206</v>
      </c>
      <c r="J599" s="376" t="s">
        <v>206</v>
      </c>
      <c r="K599" s="377" t="s">
        <v>206</v>
      </c>
    </row>
    <row r="600" spans="1:11" ht="15.6">
      <c r="B600" s="380" t="s">
        <v>695</v>
      </c>
      <c r="C600" s="382">
        <v>0.7</v>
      </c>
      <c r="D600" s="383">
        <v>0.3</v>
      </c>
      <c r="E600" s="382">
        <v>0.39999999999999997</v>
      </c>
      <c r="F600" s="382">
        <v>0.7</v>
      </c>
      <c r="G600" s="383">
        <v>0.3</v>
      </c>
      <c r="H600" s="382">
        <v>0.39999999999999997</v>
      </c>
      <c r="I600" s="376" t="s">
        <v>206</v>
      </c>
      <c r="J600" s="376" t="s">
        <v>206</v>
      </c>
      <c r="K600" s="377" t="s">
        <v>206</v>
      </c>
    </row>
    <row r="601" spans="1:11" ht="15.6">
      <c r="B601" s="380"/>
      <c r="C601" s="385"/>
      <c r="D601" s="385"/>
      <c r="E601" s="385"/>
      <c r="F601" s="385"/>
      <c r="G601" s="385"/>
      <c r="H601" s="385"/>
      <c r="I601" s="385"/>
      <c r="J601" s="385"/>
      <c r="K601" s="394"/>
    </row>
    <row r="602" spans="1:11" ht="15.6">
      <c r="A602" s="106" t="s">
        <v>906</v>
      </c>
      <c r="B602" s="372" t="s">
        <v>696</v>
      </c>
      <c r="C602" s="399">
        <v>318.60000000000002</v>
      </c>
      <c r="D602" s="399">
        <v>160.30000000000001</v>
      </c>
      <c r="E602" s="399">
        <v>158.30000000000001</v>
      </c>
      <c r="F602" s="381">
        <v>109</v>
      </c>
      <c r="G602" s="381">
        <v>54.3</v>
      </c>
      <c r="H602" s="399">
        <v>54.7</v>
      </c>
      <c r="I602" s="381">
        <v>209.6</v>
      </c>
      <c r="J602" s="381">
        <v>106</v>
      </c>
      <c r="K602" s="388">
        <v>103.6</v>
      </c>
    </row>
    <row r="603" spans="1:11" ht="15.6">
      <c r="B603" s="378" t="s">
        <v>301</v>
      </c>
      <c r="C603" s="382"/>
      <c r="D603" s="383"/>
      <c r="E603" s="382"/>
      <c r="F603" s="383"/>
      <c r="G603" s="383"/>
      <c r="H603" s="383"/>
      <c r="I603" s="383"/>
      <c r="J603" s="383"/>
      <c r="K603" s="413"/>
    </row>
    <row r="604" spans="1:11" ht="15.6">
      <c r="B604" s="372" t="s">
        <v>697</v>
      </c>
      <c r="C604" s="381">
        <v>46.7</v>
      </c>
      <c r="D604" s="381">
        <v>23.6</v>
      </c>
      <c r="E604" s="381">
        <v>23.1</v>
      </c>
      <c r="F604" s="381">
        <v>9.5</v>
      </c>
      <c r="G604" s="390">
        <v>4.8</v>
      </c>
      <c r="H604" s="381">
        <v>4.7</v>
      </c>
      <c r="I604" s="381">
        <v>37.200000000000003</v>
      </c>
      <c r="J604" s="381">
        <v>18.8</v>
      </c>
      <c r="K604" s="388">
        <v>18.400000000000002</v>
      </c>
    </row>
    <row r="605" spans="1:11" ht="15.6">
      <c r="B605" s="380" t="s">
        <v>698</v>
      </c>
      <c r="C605" s="382">
        <v>9.1</v>
      </c>
      <c r="D605" s="383">
        <v>4.5999999999999996</v>
      </c>
      <c r="E605" s="382">
        <v>4.5</v>
      </c>
      <c r="F605" s="382">
        <v>9.1</v>
      </c>
      <c r="G605" s="383">
        <v>4.5999999999999996</v>
      </c>
      <c r="H605" s="382">
        <v>4.5</v>
      </c>
      <c r="I605" s="376" t="s">
        <v>206</v>
      </c>
      <c r="J605" s="376" t="s">
        <v>206</v>
      </c>
      <c r="K605" s="377" t="s">
        <v>206</v>
      </c>
    </row>
    <row r="606" spans="1:11" ht="15.6">
      <c r="B606" s="380" t="s">
        <v>699</v>
      </c>
      <c r="C606" s="382">
        <v>0.4</v>
      </c>
      <c r="D606" s="383">
        <v>0.2</v>
      </c>
      <c r="E606" s="382">
        <v>0.2</v>
      </c>
      <c r="F606" s="382">
        <v>0.4</v>
      </c>
      <c r="G606" s="383">
        <v>0.2</v>
      </c>
      <c r="H606" s="382">
        <v>0.2</v>
      </c>
      <c r="I606" s="376" t="s">
        <v>206</v>
      </c>
      <c r="J606" s="376" t="s">
        <v>206</v>
      </c>
      <c r="K606" s="377" t="s">
        <v>206</v>
      </c>
    </row>
    <row r="607" spans="1:11" ht="15.6">
      <c r="B607" s="380"/>
      <c r="C607" s="392"/>
      <c r="D607" s="392"/>
      <c r="E607" s="392"/>
      <c r="F607" s="392"/>
      <c r="G607" s="392"/>
      <c r="H607" s="392"/>
      <c r="I607" s="392"/>
      <c r="J607" s="392"/>
      <c r="K607" s="393"/>
    </row>
    <row r="608" spans="1:11" ht="15.6">
      <c r="B608" s="372" t="s">
        <v>700</v>
      </c>
      <c r="C608" s="381">
        <v>86.7</v>
      </c>
      <c r="D608" s="381">
        <v>43.7</v>
      </c>
      <c r="E608" s="381">
        <v>43</v>
      </c>
      <c r="F608" s="381">
        <v>28.1</v>
      </c>
      <c r="G608" s="390">
        <v>14.3</v>
      </c>
      <c r="H608" s="381">
        <v>13.8</v>
      </c>
      <c r="I608" s="381">
        <v>58.6</v>
      </c>
      <c r="J608" s="381">
        <v>29.400000000000002</v>
      </c>
      <c r="K608" s="388">
        <v>29.2</v>
      </c>
    </row>
    <row r="609" spans="1:11" ht="15.6">
      <c r="B609" s="380" t="s">
        <v>701</v>
      </c>
      <c r="C609" s="382">
        <v>25.7</v>
      </c>
      <c r="D609" s="383">
        <v>13</v>
      </c>
      <c r="E609" s="382">
        <v>12.7</v>
      </c>
      <c r="F609" s="382">
        <v>25.7</v>
      </c>
      <c r="G609" s="383">
        <v>13</v>
      </c>
      <c r="H609" s="382">
        <v>12.7</v>
      </c>
      <c r="I609" s="376" t="s">
        <v>206</v>
      </c>
      <c r="J609" s="376" t="s">
        <v>206</v>
      </c>
      <c r="K609" s="377" t="s">
        <v>206</v>
      </c>
    </row>
    <row r="610" spans="1:11" ht="15.6">
      <c r="B610" s="380" t="s">
        <v>702</v>
      </c>
      <c r="C610" s="382">
        <v>0.9</v>
      </c>
      <c r="D610" s="383">
        <v>0.5</v>
      </c>
      <c r="E610" s="382">
        <v>0.4</v>
      </c>
      <c r="F610" s="382">
        <v>0.9</v>
      </c>
      <c r="G610" s="383">
        <v>0.5</v>
      </c>
      <c r="H610" s="382">
        <v>0.4</v>
      </c>
      <c r="I610" s="376" t="s">
        <v>206</v>
      </c>
      <c r="J610" s="376" t="s">
        <v>206</v>
      </c>
      <c r="K610" s="377" t="s">
        <v>206</v>
      </c>
    </row>
    <row r="611" spans="1:11" ht="15.6">
      <c r="B611" s="380" t="s">
        <v>703</v>
      </c>
      <c r="C611" s="382">
        <v>1.5</v>
      </c>
      <c r="D611" s="383">
        <v>0.8</v>
      </c>
      <c r="E611" s="382">
        <v>0.7</v>
      </c>
      <c r="F611" s="382">
        <v>1.5</v>
      </c>
      <c r="G611" s="383">
        <v>0.8</v>
      </c>
      <c r="H611" s="382">
        <v>0.7</v>
      </c>
      <c r="I611" s="376" t="s">
        <v>206</v>
      </c>
      <c r="J611" s="376" t="s">
        <v>206</v>
      </c>
      <c r="K611" s="377" t="s">
        <v>206</v>
      </c>
    </row>
    <row r="612" spans="1:11" ht="15.6">
      <c r="B612" s="380"/>
      <c r="C612" s="409"/>
      <c r="D612" s="409"/>
      <c r="E612" s="409"/>
      <c r="F612" s="409"/>
      <c r="G612" s="409"/>
      <c r="H612" s="409"/>
      <c r="I612" s="409"/>
      <c r="J612" s="409"/>
      <c r="K612" s="410"/>
    </row>
    <row r="613" spans="1:11" ht="15.6">
      <c r="B613" s="372" t="s">
        <v>704</v>
      </c>
      <c r="C613" s="381">
        <v>80.099999999999994</v>
      </c>
      <c r="D613" s="381">
        <v>40.299999999999997</v>
      </c>
      <c r="E613" s="381">
        <v>39.799999999999997</v>
      </c>
      <c r="F613" s="381">
        <v>22</v>
      </c>
      <c r="G613" s="390">
        <v>11</v>
      </c>
      <c r="H613" s="381">
        <v>11</v>
      </c>
      <c r="I613" s="381">
        <v>58.099999999999994</v>
      </c>
      <c r="J613" s="381">
        <v>29.299999999999997</v>
      </c>
      <c r="K613" s="388">
        <v>28.799999999999997</v>
      </c>
    </row>
    <row r="614" spans="1:11" ht="15.6">
      <c r="B614" s="380" t="s">
        <v>705</v>
      </c>
      <c r="C614" s="382">
        <v>22</v>
      </c>
      <c r="D614" s="383">
        <v>11</v>
      </c>
      <c r="E614" s="382">
        <v>11</v>
      </c>
      <c r="F614" s="382">
        <v>22</v>
      </c>
      <c r="G614" s="383">
        <v>11</v>
      </c>
      <c r="H614" s="382">
        <v>11</v>
      </c>
      <c r="I614" s="376" t="s">
        <v>206</v>
      </c>
      <c r="J614" s="376" t="s">
        <v>206</v>
      </c>
      <c r="K614" s="377" t="s">
        <v>206</v>
      </c>
    </row>
    <row r="615" spans="1:11" ht="15.6">
      <c r="B615" s="380"/>
      <c r="C615" s="404"/>
      <c r="D615" s="404"/>
      <c r="E615" s="404"/>
      <c r="F615" s="404"/>
      <c r="G615" s="404"/>
      <c r="H615" s="404"/>
      <c r="I615" s="404"/>
      <c r="J615" s="404"/>
      <c r="K615" s="405"/>
    </row>
    <row r="616" spans="1:11" ht="15.6">
      <c r="B616" s="372" t="s">
        <v>706</v>
      </c>
      <c r="C616" s="381">
        <v>105.1</v>
      </c>
      <c r="D616" s="381">
        <v>52.7</v>
      </c>
      <c r="E616" s="381">
        <v>52.399999999999991</v>
      </c>
      <c r="F616" s="381">
        <v>49.4</v>
      </c>
      <c r="G616" s="390">
        <v>24.2</v>
      </c>
      <c r="H616" s="381">
        <v>25.2</v>
      </c>
      <c r="I616" s="381">
        <v>55.699999999999996</v>
      </c>
      <c r="J616" s="381">
        <v>28.500000000000004</v>
      </c>
      <c r="K616" s="388">
        <v>27.199999999999992</v>
      </c>
    </row>
    <row r="617" spans="1:11" ht="15.6">
      <c r="B617" s="380" t="s">
        <v>707</v>
      </c>
      <c r="C617" s="382">
        <v>40.1</v>
      </c>
      <c r="D617" s="383">
        <v>19.600000000000001</v>
      </c>
      <c r="E617" s="382">
        <v>20.5</v>
      </c>
      <c r="F617" s="382">
        <v>40.1</v>
      </c>
      <c r="G617" s="383">
        <v>19.600000000000001</v>
      </c>
      <c r="H617" s="382">
        <v>20.5</v>
      </c>
      <c r="I617" s="376" t="s">
        <v>206</v>
      </c>
      <c r="J617" s="376" t="s">
        <v>206</v>
      </c>
      <c r="K617" s="377" t="s">
        <v>206</v>
      </c>
    </row>
    <row r="618" spans="1:11" ht="15.6">
      <c r="B618" s="380" t="s">
        <v>708</v>
      </c>
      <c r="C618" s="382">
        <v>3.8</v>
      </c>
      <c r="D618" s="383">
        <v>1.9</v>
      </c>
      <c r="E618" s="382">
        <v>1.9</v>
      </c>
      <c r="F618" s="382">
        <v>3.8</v>
      </c>
      <c r="G618" s="383">
        <v>1.9</v>
      </c>
      <c r="H618" s="382">
        <v>1.9</v>
      </c>
      <c r="I618" s="376" t="s">
        <v>206</v>
      </c>
      <c r="J618" s="376" t="s">
        <v>206</v>
      </c>
      <c r="K618" s="377" t="s">
        <v>206</v>
      </c>
    </row>
    <row r="619" spans="1:11" ht="15.6">
      <c r="B619" s="380" t="s">
        <v>709</v>
      </c>
      <c r="C619" s="382">
        <v>0.1</v>
      </c>
      <c r="D619" s="383">
        <v>0.1</v>
      </c>
      <c r="E619" s="382">
        <v>0</v>
      </c>
      <c r="F619" s="382">
        <v>0.1</v>
      </c>
      <c r="G619" s="383">
        <v>0.1</v>
      </c>
      <c r="H619" s="382">
        <v>0</v>
      </c>
      <c r="I619" s="376" t="s">
        <v>206</v>
      </c>
      <c r="J619" s="376" t="s">
        <v>206</v>
      </c>
      <c r="K619" s="377" t="s">
        <v>206</v>
      </c>
    </row>
    <row r="620" spans="1:11" ht="15.6">
      <c r="B620" s="380" t="s">
        <v>710</v>
      </c>
      <c r="C620" s="382">
        <v>2.5</v>
      </c>
      <c r="D620" s="383">
        <v>1.2</v>
      </c>
      <c r="E620" s="382">
        <v>1.3</v>
      </c>
      <c r="F620" s="382">
        <v>2.5</v>
      </c>
      <c r="G620" s="383">
        <v>1.2</v>
      </c>
      <c r="H620" s="382">
        <v>1.3</v>
      </c>
      <c r="I620" s="376" t="s">
        <v>206</v>
      </c>
      <c r="J620" s="376" t="s">
        <v>206</v>
      </c>
      <c r="K620" s="377" t="s">
        <v>206</v>
      </c>
    </row>
    <row r="621" spans="1:11" ht="15.6">
      <c r="B621" s="380" t="s">
        <v>711</v>
      </c>
      <c r="C621" s="382">
        <v>2.9</v>
      </c>
      <c r="D621" s="383">
        <v>1.4</v>
      </c>
      <c r="E621" s="382">
        <v>1.5</v>
      </c>
      <c r="F621" s="382">
        <v>2.9</v>
      </c>
      <c r="G621" s="383">
        <v>1.4</v>
      </c>
      <c r="H621" s="382">
        <v>1.5</v>
      </c>
      <c r="I621" s="376" t="s">
        <v>206</v>
      </c>
      <c r="J621" s="376" t="s">
        <v>206</v>
      </c>
      <c r="K621" s="377" t="s">
        <v>206</v>
      </c>
    </row>
    <row r="622" spans="1:11" ht="15.6">
      <c r="B622" s="380" t="s">
        <v>712</v>
      </c>
      <c r="C622" s="382">
        <v>0</v>
      </c>
      <c r="D622" s="383">
        <v>0</v>
      </c>
      <c r="E622" s="382">
        <v>0</v>
      </c>
      <c r="F622" s="382">
        <v>0</v>
      </c>
      <c r="G622" s="383">
        <v>0</v>
      </c>
      <c r="H622" s="382">
        <v>0</v>
      </c>
      <c r="I622" s="376" t="s">
        <v>206</v>
      </c>
      <c r="J622" s="376" t="s">
        <v>206</v>
      </c>
      <c r="K622" s="377" t="s">
        <v>206</v>
      </c>
    </row>
    <row r="623" spans="1:11" ht="15.6">
      <c r="B623" s="380"/>
      <c r="C623" s="404"/>
      <c r="D623" s="404"/>
      <c r="E623" s="404"/>
      <c r="F623" s="404"/>
      <c r="G623" s="404"/>
      <c r="H623" s="404"/>
      <c r="I623" s="404"/>
      <c r="J623" s="404"/>
      <c r="K623" s="405"/>
    </row>
    <row r="624" spans="1:11" ht="15.6">
      <c r="A624" s="106" t="s">
        <v>934</v>
      </c>
      <c r="B624" s="372" t="s">
        <v>713</v>
      </c>
      <c r="C624" s="381">
        <v>456.09999999999991</v>
      </c>
      <c r="D624" s="381">
        <v>227.69999999999996</v>
      </c>
      <c r="E624" s="381">
        <v>228.39999999999995</v>
      </c>
      <c r="F624" s="381">
        <v>134.5</v>
      </c>
      <c r="G624" s="381">
        <v>67.099999999999994</v>
      </c>
      <c r="H624" s="381">
        <v>67.400000000000006</v>
      </c>
      <c r="I624" s="381">
        <v>321.60000000000002</v>
      </c>
      <c r="J624" s="381">
        <v>160.6</v>
      </c>
      <c r="K624" s="388">
        <v>161.00000000000003</v>
      </c>
    </row>
    <row r="625" spans="2:11" ht="15.6">
      <c r="B625" s="378" t="s">
        <v>301</v>
      </c>
      <c r="C625" s="374"/>
      <c r="D625" s="374"/>
      <c r="E625" s="374"/>
      <c r="F625" s="374"/>
      <c r="G625" s="374"/>
      <c r="H625" s="374"/>
      <c r="I625" s="374"/>
      <c r="J625" s="374"/>
      <c r="K625" s="375"/>
    </row>
    <row r="626" spans="2:11" ht="15.6">
      <c r="B626" s="414" t="s">
        <v>714</v>
      </c>
      <c r="C626" s="381">
        <v>93.7</v>
      </c>
      <c r="D626" s="381">
        <v>46.8</v>
      </c>
      <c r="E626" s="381">
        <v>46.900000000000006</v>
      </c>
      <c r="F626" s="381">
        <v>83.2</v>
      </c>
      <c r="G626" s="390">
        <v>41.5</v>
      </c>
      <c r="H626" s="390">
        <v>41.7</v>
      </c>
      <c r="I626" s="381">
        <v>10.5</v>
      </c>
      <c r="J626" s="381">
        <v>5.2999999999999972</v>
      </c>
      <c r="K626" s="388">
        <v>5.2000000000000028</v>
      </c>
    </row>
    <row r="627" spans="2:11" ht="15.6">
      <c r="B627" s="380" t="s">
        <v>715</v>
      </c>
      <c r="C627" s="382">
        <v>80.3</v>
      </c>
      <c r="D627" s="383">
        <v>40</v>
      </c>
      <c r="E627" s="382">
        <v>40.299999999999997</v>
      </c>
      <c r="F627" s="382">
        <v>80.3</v>
      </c>
      <c r="G627" s="383">
        <v>40</v>
      </c>
      <c r="H627" s="382">
        <v>40.299999999999997</v>
      </c>
      <c r="I627" s="376" t="s">
        <v>206</v>
      </c>
      <c r="J627" s="376" t="s">
        <v>206</v>
      </c>
      <c r="K627" s="377" t="s">
        <v>206</v>
      </c>
    </row>
    <row r="628" spans="2:11" ht="15.6">
      <c r="B628" s="380" t="s">
        <v>475</v>
      </c>
      <c r="C628" s="382">
        <v>2.9</v>
      </c>
      <c r="D628" s="383">
        <v>1.5</v>
      </c>
      <c r="E628" s="382">
        <v>1.4</v>
      </c>
      <c r="F628" s="382">
        <v>2.9</v>
      </c>
      <c r="G628" s="383">
        <v>1.5</v>
      </c>
      <c r="H628" s="382">
        <v>1.4</v>
      </c>
      <c r="I628" s="376" t="s">
        <v>206</v>
      </c>
      <c r="J628" s="376" t="s">
        <v>206</v>
      </c>
      <c r="K628" s="377" t="s">
        <v>206</v>
      </c>
    </row>
    <row r="629" spans="2:11" ht="15.6">
      <c r="B629" s="380"/>
      <c r="C629" s="404"/>
      <c r="D629" s="404"/>
      <c r="E629" s="404"/>
      <c r="F629" s="404"/>
      <c r="G629" s="404"/>
      <c r="H629" s="404"/>
      <c r="I629" s="404"/>
      <c r="J629" s="404"/>
      <c r="K629" s="405"/>
    </row>
    <row r="630" spans="2:11" ht="15.6">
      <c r="B630" s="414" t="s">
        <v>716</v>
      </c>
      <c r="C630" s="381">
        <v>116.6</v>
      </c>
      <c r="D630" s="381">
        <v>57.9</v>
      </c>
      <c r="E630" s="381">
        <v>58.699999999999996</v>
      </c>
      <c r="F630" s="381">
        <v>7.4</v>
      </c>
      <c r="G630" s="390">
        <v>3.6</v>
      </c>
      <c r="H630" s="381">
        <v>3.8000000000000003</v>
      </c>
      <c r="I630" s="381">
        <v>109.19999999999999</v>
      </c>
      <c r="J630" s="381">
        <v>54.3</v>
      </c>
      <c r="K630" s="388">
        <v>54.899999999999991</v>
      </c>
    </row>
    <row r="631" spans="2:11" ht="15.6">
      <c r="B631" s="380" t="s">
        <v>717</v>
      </c>
      <c r="C631" s="382">
        <v>7.4</v>
      </c>
      <c r="D631" s="383">
        <v>3.6</v>
      </c>
      <c r="E631" s="382">
        <v>3.8000000000000003</v>
      </c>
      <c r="F631" s="382">
        <v>7.4</v>
      </c>
      <c r="G631" s="383">
        <v>3.6</v>
      </c>
      <c r="H631" s="382">
        <v>3.8000000000000003</v>
      </c>
      <c r="I631" s="376" t="s">
        <v>206</v>
      </c>
      <c r="J631" s="376" t="s">
        <v>206</v>
      </c>
      <c r="K631" s="377" t="s">
        <v>206</v>
      </c>
    </row>
    <row r="632" spans="2:11" ht="15.6">
      <c r="B632" s="380"/>
      <c r="C632" s="392"/>
      <c r="D632" s="392"/>
      <c r="E632" s="392"/>
      <c r="F632" s="392"/>
      <c r="G632" s="392"/>
      <c r="H632" s="392"/>
      <c r="I632" s="392"/>
      <c r="J632" s="392"/>
      <c r="K632" s="393"/>
    </row>
    <row r="633" spans="2:11" ht="15.6">
      <c r="B633" s="414" t="s">
        <v>718</v>
      </c>
      <c r="C633" s="381">
        <v>75.599999999999994</v>
      </c>
      <c r="D633" s="381">
        <v>37.700000000000003</v>
      </c>
      <c r="E633" s="381">
        <v>37.899999999999991</v>
      </c>
      <c r="F633" s="381">
        <v>5.8</v>
      </c>
      <c r="G633" s="390">
        <v>2.9</v>
      </c>
      <c r="H633" s="381">
        <v>2.9</v>
      </c>
      <c r="I633" s="381">
        <v>69.8</v>
      </c>
      <c r="J633" s="381">
        <v>34.800000000000004</v>
      </c>
      <c r="K633" s="388">
        <v>34.999999999999993</v>
      </c>
    </row>
    <row r="634" spans="2:11" ht="15.6">
      <c r="B634" s="380" t="s">
        <v>719</v>
      </c>
      <c r="C634" s="382">
        <v>5.8</v>
      </c>
      <c r="D634" s="383">
        <v>2.9</v>
      </c>
      <c r="E634" s="382">
        <v>2.9</v>
      </c>
      <c r="F634" s="382">
        <v>5.8</v>
      </c>
      <c r="G634" s="383">
        <v>2.9</v>
      </c>
      <c r="H634" s="382">
        <v>2.9</v>
      </c>
      <c r="I634" s="376" t="s">
        <v>206</v>
      </c>
      <c r="J634" s="376" t="s">
        <v>206</v>
      </c>
      <c r="K634" s="377" t="s">
        <v>206</v>
      </c>
    </row>
    <row r="635" spans="2:11" ht="15.6">
      <c r="B635" s="380"/>
      <c r="C635" s="385"/>
      <c r="D635" s="385"/>
      <c r="E635" s="385"/>
      <c r="F635" s="385"/>
      <c r="G635" s="385"/>
      <c r="H635" s="385"/>
      <c r="I635" s="385"/>
      <c r="J635" s="385"/>
      <c r="K635" s="394"/>
    </row>
    <row r="636" spans="2:11" ht="15.6">
      <c r="B636" s="414" t="s">
        <v>720</v>
      </c>
      <c r="C636" s="381">
        <v>50</v>
      </c>
      <c r="D636" s="381">
        <v>24.9</v>
      </c>
      <c r="E636" s="381">
        <v>25.1</v>
      </c>
      <c r="F636" s="381">
        <v>11.2</v>
      </c>
      <c r="G636" s="390">
        <v>5.6</v>
      </c>
      <c r="H636" s="381">
        <v>5.6</v>
      </c>
      <c r="I636" s="381">
        <v>38.799999999999997</v>
      </c>
      <c r="J636" s="381">
        <v>19.299999999999997</v>
      </c>
      <c r="K636" s="388">
        <v>19.5</v>
      </c>
    </row>
    <row r="637" spans="2:11" ht="15.6">
      <c r="B637" s="380" t="s">
        <v>721</v>
      </c>
      <c r="C637" s="382">
        <v>10.7</v>
      </c>
      <c r="D637" s="383">
        <v>5.3</v>
      </c>
      <c r="E637" s="382">
        <v>5.3999999999999995</v>
      </c>
      <c r="F637" s="382">
        <v>10.7</v>
      </c>
      <c r="G637" s="383">
        <v>5.3</v>
      </c>
      <c r="H637" s="382">
        <v>5.3999999999999995</v>
      </c>
      <c r="I637" s="376" t="s">
        <v>206</v>
      </c>
      <c r="J637" s="376" t="s">
        <v>206</v>
      </c>
      <c r="K637" s="377" t="s">
        <v>206</v>
      </c>
    </row>
    <row r="638" spans="2:11" ht="15.6">
      <c r="B638" s="380" t="s">
        <v>722</v>
      </c>
      <c r="C638" s="382">
        <v>0.1</v>
      </c>
      <c r="D638" s="383">
        <v>0.1</v>
      </c>
      <c r="E638" s="382">
        <v>0</v>
      </c>
      <c r="F638" s="382">
        <v>0.1</v>
      </c>
      <c r="G638" s="383">
        <v>0.1</v>
      </c>
      <c r="H638" s="382">
        <v>0</v>
      </c>
      <c r="I638" s="376" t="s">
        <v>206</v>
      </c>
      <c r="J638" s="376" t="s">
        <v>206</v>
      </c>
      <c r="K638" s="377" t="s">
        <v>206</v>
      </c>
    </row>
    <row r="639" spans="2:11" ht="15.6">
      <c r="B639" s="380" t="s">
        <v>723</v>
      </c>
      <c r="C639" s="382">
        <v>0</v>
      </c>
      <c r="D639" s="383">
        <v>0</v>
      </c>
      <c r="E639" s="382">
        <v>0</v>
      </c>
      <c r="F639" s="382">
        <v>0</v>
      </c>
      <c r="G639" s="383">
        <v>0</v>
      </c>
      <c r="H639" s="382">
        <v>0</v>
      </c>
      <c r="I639" s="376" t="s">
        <v>206</v>
      </c>
      <c r="J639" s="376" t="s">
        <v>206</v>
      </c>
      <c r="K639" s="377" t="s">
        <v>206</v>
      </c>
    </row>
    <row r="640" spans="2:11" ht="15.6">
      <c r="B640" s="380" t="s">
        <v>724</v>
      </c>
      <c r="C640" s="382">
        <v>0.4</v>
      </c>
      <c r="D640" s="383">
        <v>0.2</v>
      </c>
      <c r="E640" s="382">
        <v>0.2</v>
      </c>
      <c r="F640" s="382">
        <v>0.4</v>
      </c>
      <c r="G640" s="383">
        <v>0.2</v>
      </c>
      <c r="H640" s="382">
        <v>0.2</v>
      </c>
      <c r="I640" s="376" t="s">
        <v>206</v>
      </c>
      <c r="J640" s="376" t="s">
        <v>206</v>
      </c>
      <c r="K640" s="377" t="s">
        <v>206</v>
      </c>
    </row>
    <row r="641" spans="2:11" ht="15.6">
      <c r="B641" s="380"/>
      <c r="C641" s="392"/>
      <c r="D641" s="392"/>
      <c r="E641" s="392"/>
      <c r="F641" s="392"/>
      <c r="G641" s="392"/>
      <c r="H641" s="392"/>
      <c r="I641" s="392"/>
      <c r="J641" s="392"/>
      <c r="K641" s="393"/>
    </row>
    <row r="642" spans="2:11" ht="15.6">
      <c r="B642" s="414" t="s">
        <v>725</v>
      </c>
      <c r="C642" s="381">
        <v>46.7</v>
      </c>
      <c r="D642" s="381">
        <v>23.5</v>
      </c>
      <c r="E642" s="381">
        <v>23.200000000000003</v>
      </c>
      <c r="F642" s="381">
        <v>13.4</v>
      </c>
      <c r="G642" s="390">
        <v>6.8</v>
      </c>
      <c r="H642" s="381">
        <v>6.6000000000000005</v>
      </c>
      <c r="I642" s="381">
        <v>33.300000000000004</v>
      </c>
      <c r="J642" s="381">
        <v>16.7</v>
      </c>
      <c r="K642" s="388">
        <v>16.600000000000005</v>
      </c>
    </row>
    <row r="643" spans="2:11" ht="15.6">
      <c r="B643" s="380" t="s">
        <v>726</v>
      </c>
      <c r="C643" s="382">
        <v>13.4</v>
      </c>
      <c r="D643" s="383">
        <v>6.8</v>
      </c>
      <c r="E643" s="382">
        <v>6.6000000000000005</v>
      </c>
      <c r="F643" s="382">
        <v>13.4</v>
      </c>
      <c r="G643" s="383">
        <v>6.8</v>
      </c>
      <c r="H643" s="382">
        <v>6.6000000000000005</v>
      </c>
      <c r="I643" s="376" t="s">
        <v>206</v>
      </c>
      <c r="J643" s="376" t="s">
        <v>206</v>
      </c>
      <c r="K643" s="377" t="s">
        <v>206</v>
      </c>
    </row>
    <row r="644" spans="2:11" ht="15.6">
      <c r="B644" s="380"/>
      <c r="C644" s="392"/>
      <c r="D644" s="392"/>
      <c r="E644" s="392"/>
      <c r="F644" s="392"/>
      <c r="G644" s="392"/>
      <c r="H644" s="392"/>
      <c r="I644" s="392"/>
      <c r="J644" s="392"/>
      <c r="K644" s="393"/>
    </row>
    <row r="645" spans="2:11" ht="15.6">
      <c r="B645" s="414" t="s">
        <v>727</v>
      </c>
      <c r="C645" s="381">
        <v>32.4</v>
      </c>
      <c r="D645" s="381">
        <v>16.100000000000001</v>
      </c>
      <c r="E645" s="381">
        <v>16.299999999999997</v>
      </c>
      <c r="F645" s="381">
        <v>6.1</v>
      </c>
      <c r="G645" s="390">
        <v>3</v>
      </c>
      <c r="H645" s="381">
        <v>3.0999999999999996</v>
      </c>
      <c r="I645" s="381">
        <v>26.299999999999997</v>
      </c>
      <c r="J645" s="381">
        <v>13.100000000000001</v>
      </c>
      <c r="K645" s="388">
        <v>13.199999999999996</v>
      </c>
    </row>
    <row r="646" spans="2:11" ht="15.6">
      <c r="B646" s="380" t="s">
        <v>728</v>
      </c>
      <c r="C646" s="382">
        <v>6.1</v>
      </c>
      <c r="D646" s="383">
        <v>3</v>
      </c>
      <c r="E646" s="382">
        <v>3.0999999999999996</v>
      </c>
      <c r="F646" s="382">
        <v>6.1</v>
      </c>
      <c r="G646" s="383">
        <v>3</v>
      </c>
      <c r="H646" s="382">
        <v>3.0999999999999996</v>
      </c>
      <c r="I646" s="376" t="s">
        <v>206</v>
      </c>
      <c r="J646" s="376" t="s">
        <v>206</v>
      </c>
      <c r="K646" s="377" t="s">
        <v>206</v>
      </c>
    </row>
    <row r="647" spans="2:11" ht="15.6">
      <c r="B647" s="380"/>
      <c r="C647" s="392"/>
      <c r="D647" s="392"/>
      <c r="E647" s="392"/>
      <c r="F647" s="392"/>
      <c r="G647" s="392"/>
      <c r="H647" s="392"/>
      <c r="I647" s="392"/>
      <c r="J647" s="392"/>
      <c r="K647" s="393"/>
    </row>
    <row r="648" spans="2:11" ht="15.6">
      <c r="B648" s="414" t="s">
        <v>729</v>
      </c>
      <c r="C648" s="381">
        <v>25.2</v>
      </c>
      <c r="D648" s="381">
        <v>12.7</v>
      </c>
      <c r="E648" s="381">
        <v>12.5</v>
      </c>
      <c r="F648" s="381">
        <v>5.2</v>
      </c>
      <c r="G648" s="390">
        <v>2.6</v>
      </c>
      <c r="H648" s="381">
        <v>2.6</v>
      </c>
      <c r="I648" s="381">
        <v>20</v>
      </c>
      <c r="J648" s="381">
        <v>10.1</v>
      </c>
      <c r="K648" s="388">
        <v>9.9</v>
      </c>
    </row>
    <row r="649" spans="2:11" ht="15.6">
      <c r="B649" s="380" t="s">
        <v>730</v>
      </c>
      <c r="C649" s="382">
        <v>4.5</v>
      </c>
      <c r="D649" s="383">
        <v>2.2000000000000002</v>
      </c>
      <c r="E649" s="382">
        <v>2.2999999999999998</v>
      </c>
      <c r="F649" s="382">
        <v>4.5</v>
      </c>
      <c r="G649" s="383">
        <v>2.2000000000000002</v>
      </c>
      <c r="H649" s="382">
        <v>2.2999999999999998</v>
      </c>
      <c r="I649" s="376" t="s">
        <v>206</v>
      </c>
      <c r="J649" s="376" t="s">
        <v>206</v>
      </c>
      <c r="K649" s="377" t="s">
        <v>206</v>
      </c>
    </row>
    <row r="650" spans="2:11" ht="15.6">
      <c r="B650" s="380" t="s">
        <v>731</v>
      </c>
      <c r="C650" s="382">
        <v>0.7</v>
      </c>
      <c r="D650" s="383">
        <v>0.4</v>
      </c>
      <c r="E650" s="382">
        <v>0.29999999999999993</v>
      </c>
      <c r="F650" s="382">
        <v>0.7</v>
      </c>
      <c r="G650" s="383">
        <v>0.4</v>
      </c>
      <c r="H650" s="382">
        <v>0.29999999999999993</v>
      </c>
      <c r="I650" s="376" t="s">
        <v>206</v>
      </c>
      <c r="J650" s="376" t="s">
        <v>206</v>
      </c>
      <c r="K650" s="377" t="s">
        <v>206</v>
      </c>
    </row>
    <row r="651" spans="2:11" ht="15.6">
      <c r="B651" s="380"/>
      <c r="C651" s="392"/>
      <c r="D651" s="392"/>
      <c r="E651" s="392"/>
      <c r="F651" s="392"/>
      <c r="G651" s="392"/>
      <c r="H651" s="392"/>
      <c r="I651" s="392"/>
      <c r="J651" s="392"/>
      <c r="K651" s="393"/>
    </row>
    <row r="652" spans="2:11" ht="15.6">
      <c r="B652" s="414" t="s">
        <v>732</v>
      </c>
      <c r="C652" s="374">
        <v>15.9</v>
      </c>
      <c r="D652" s="374">
        <v>8.1</v>
      </c>
      <c r="E652" s="374">
        <v>7.8</v>
      </c>
      <c r="F652" s="374">
        <v>2.2000000000000002</v>
      </c>
      <c r="G652" s="374">
        <v>1.1000000000000001</v>
      </c>
      <c r="H652" s="374">
        <v>1.1000000000000001</v>
      </c>
      <c r="I652" s="374">
        <v>13.7</v>
      </c>
      <c r="J652" s="374">
        <v>7</v>
      </c>
      <c r="K652" s="375">
        <v>6.7000000000000011</v>
      </c>
    </row>
    <row r="653" spans="2:11" ht="16.2" thickBot="1">
      <c r="B653" s="415" t="s">
        <v>733</v>
      </c>
      <c r="C653" s="416">
        <v>2.2000000000000002</v>
      </c>
      <c r="D653" s="416">
        <v>1.1000000000000001</v>
      </c>
      <c r="E653" s="416">
        <v>1.1000000000000001</v>
      </c>
      <c r="F653" s="416">
        <v>2.2000000000000002</v>
      </c>
      <c r="G653" s="416">
        <v>1.1000000000000001</v>
      </c>
      <c r="H653" s="416">
        <v>1.1000000000000001</v>
      </c>
      <c r="I653" s="416" t="s">
        <v>206</v>
      </c>
      <c r="J653" s="416" t="s">
        <v>206</v>
      </c>
      <c r="K653" s="417" t="s">
        <v>206</v>
      </c>
    </row>
  </sheetData>
  <mergeCells count="19">
    <mergeCell ref="B130:K130"/>
    <mergeCell ref="B132:B133"/>
    <mergeCell ref="C132:C133"/>
    <mergeCell ref="D132:E132"/>
    <mergeCell ref="F132:F133"/>
    <mergeCell ref="G132:H132"/>
    <mergeCell ref="I132:I133"/>
    <mergeCell ref="J132:K132"/>
    <mergeCell ref="D40:E40"/>
    <mergeCell ref="B44:E44"/>
    <mergeCell ref="B50:E50"/>
    <mergeCell ref="E5:E6"/>
    <mergeCell ref="B129:K129"/>
    <mergeCell ref="B56:E56"/>
    <mergeCell ref="B40:B41"/>
    <mergeCell ref="B63:E63"/>
    <mergeCell ref="B70:E70"/>
    <mergeCell ref="B38:E38"/>
    <mergeCell ref="C40:C41"/>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B1:O67"/>
  <sheetViews>
    <sheetView showGridLines="0" zoomScale="85" zoomScaleNormal="85" workbookViewId="0">
      <selection activeCell="G25" sqref="G25"/>
    </sheetView>
  </sheetViews>
  <sheetFormatPr defaultColWidth="10.6640625" defaultRowHeight="13.8"/>
  <cols>
    <col min="1" max="1" width="5.6640625" style="300" customWidth="1"/>
    <col min="2" max="2" width="35.6640625" style="300" customWidth="1"/>
    <col min="3" max="15" width="12.6640625" style="300" customWidth="1"/>
    <col min="16" max="256" width="10.6640625" style="300"/>
    <col min="257" max="257" width="5.6640625" style="300" customWidth="1"/>
    <col min="258" max="258" width="35.6640625" style="300" customWidth="1"/>
    <col min="259" max="271" width="12.6640625" style="300" customWidth="1"/>
    <col min="272" max="512" width="10.6640625" style="300"/>
    <col min="513" max="513" width="5.6640625" style="300" customWidth="1"/>
    <col min="514" max="514" width="35.6640625" style="300" customWidth="1"/>
    <col min="515" max="527" width="12.6640625" style="300" customWidth="1"/>
    <col min="528" max="768" width="10.6640625" style="300"/>
    <col min="769" max="769" width="5.6640625" style="300" customWidth="1"/>
    <col min="770" max="770" width="35.6640625" style="300" customWidth="1"/>
    <col min="771" max="783" width="12.6640625" style="300" customWidth="1"/>
    <col min="784" max="1024" width="10.6640625" style="300"/>
    <col min="1025" max="1025" width="5.6640625" style="300" customWidth="1"/>
    <col min="1026" max="1026" width="35.6640625" style="300" customWidth="1"/>
    <col min="1027" max="1039" width="12.6640625" style="300" customWidth="1"/>
    <col min="1040" max="1280" width="10.6640625" style="300"/>
    <col min="1281" max="1281" width="5.6640625" style="300" customWidth="1"/>
    <col min="1282" max="1282" width="35.6640625" style="300" customWidth="1"/>
    <col min="1283" max="1295" width="12.6640625" style="300" customWidth="1"/>
    <col min="1296" max="1536" width="10.6640625" style="300"/>
    <col min="1537" max="1537" width="5.6640625" style="300" customWidth="1"/>
    <col min="1538" max="1538" width="35.6640625" style="300" customWidth="1"/>
    <col min="1539" max="1551" width="12.6640625" style="300" customWidth="1"/>
    <col min="1552" max="1792" width="10.6640625" style="300"/>
    <col min="1793" max="1793" width="5.6640625" style="300" customWidth="1"/>
    <col min="1794" max="1794" width="35.6640625" style="300" customWidth="1"/>
    <col min="1795" max="1807" width="12.6640625" style="300" customWidth="1"/>
    <col min="1808" max="2048" width="10.6640625" style="300"/>
    <col min="2049" max="2049" width="5.6640625" style="300" customWidth="1"/>
    <col min="2050" max="2050" width="35.6640625" style="300" customWidth="1"/>
    <col min="2051" max="2063" width="12.6640625" style="300" customWidth="1"/>
    <col min="2064" max="2304" width="10.6640625" style="300"/>
    <col min="2305" max="2305" width="5.6640625" style="300" customWidth="1"/>
    <col min="2306" max="2306" width="35.6640625" style="300" customWidth="1"/>
    <col min="2307" max="2319" width="12.6640625" style="300" customWidth="1"/>
    <col min="2320" max="2560" width="10.6640625" style="300"/>
    <col min="2561" max="2561" width="5.6640625" style="300" customWidth="1"/>
    <col min="2562" max="2562" width="35.6640625" style="300" customWidth="1"/>
    <col min="2563" max="2575" width="12.6640625" style="300" customWidth="1"/>
    <col min="2576" max="2816" width="10.6640625" style="300"/>
    <col min="2817" max="2817" width="5.6640625" style="300" customWidth="1"/>
    <col min="2818" max="2818" width="35.6640625" style="300" customWidth="1"/>
    <col min="2819" max="2831" width="12.6640625" style="300" customWidth="1"/>
    <col min="2832" max="3072" width="10.6640625" style="300"/>
    <col min="3073" max="3073" width="5.6640625" style="300" customWidth="1"/>
    <col min="3074" max="3074" width="35.6640625" style="300" customWidth="1"/>
    <col min="3075" max="3087" width="12.6640625" style="300" customWidth="1"/>
    <col min="3088" max="3328" width="10.6640625" style="300"/>
    <col min="3329" max="3329" width="5.6640625" style="300" customWidth="1"/>
    <col min="3330" max="3330" width="35.6640625" style="300" customWidth="1"/>
    <col min="3331" max="3343" width="12.6640625" style="300" customWidth="1"/>
    <col min="3344" max="3584" width="10.6640625" style="300"/>
    <col min="3585" max="3585" width="5.6640625" style="300" customWidth="1"/>
    <col min="3586" max="3586" width="35.6640625" style="300" customWidth="1"/>
    <col min="3587" max="3599" width="12.6640625" style="300" customWidth="1"/>
    <col min="3600" max="3840" width="10.6640625" style="300"/>
    <col min="3841" max="3841" width="5.6640625" style="300" customWidth="1"/>
    <col min="3842" max="3842" width="35.6640625" style="300" customWidth="1"/>
    <col min="3843" max="3855" width="12.6640625" style="300" customWidth="1"/>
    <col min="3856" max="4096" width="10.6640625" style="300"/>
    <col min="4097" max="4097" width="5.6640625" style="300" customWidth="1"/>
    <col min="4098" max="4098" width="35.6640625" style="300" customWidth="1"/>
    <col min="4099" max="4111" width="12.6640625" style="300" customWidth="1"/>
    <col min="4112" max="4352" width="10.6640625" style="300"/>
    <col min="4353" max="4353" width="5.6640625" style="300" customWidth="1"/>
    <col min="4354" max="4354" width="35.6640625" style="300" customWidth="1"/>
    <col min="4355" max="4367" width="12.6640625" style="300" customWidth="1"/>
    <col min="4368" max="4608" width="10.6640625" style="300"/>
    <col min="4609" max="4609" width="5.6640625" style="300" customWidth="1"/>
    <col min="4610" max="4610" width="35.6640625" style="300" customWidth="1"/>
    <col min="4611" max="4623" width="12.6640625" style="300" customWidth="1"/>
    <col min="4624" max="4864" width="10.6640625" style="300"/>
    <col min="4865" max="4865" width="5.6640625" style="300" customWidth="1"/>
    <col min="4866" max="4866" width="35.6640625" style="300" customWidth="1"/>
    <col min="4867" max="4879" width="12.6640625" style="300" customWidth="1"/>
    <col min="4880" max="5120" width="10.6640625" style="300"/>
    <col min="5121" max="5121" width="5.6640625" style="300" customWidth="1"/>
    <col min="5122" max="5122" width="35.6640625" style="300" customWidth="1"/>
    <col min="5123" max="5135" width="12.6640625" style="300" customWidth="1"/>
    <col min="5136" max="5376" width="10.6640625" style="300"/>
    <col min="5377" max="5377" width="5.6640625" style="300" customWidth="1"/>
    <col min="5378" max="5378" width="35.6640625" style="300" customWidth="1"/>
    <col min="5379" max="5391" width="12.6640625" style="300" customWidth="1"/>
    <col min="5392" max="5632" width="10.6640625" style="300"/>
    <col min="5633" max="5633" width="5.6640625" style="300" customWidth="1"/>
    <col min="5634" max="5634" width="35.6640625" style="300" customWidth="1"/>
    <col min="5635" max="5647" width="12.6640625" style="300" customWidth="1"/>
    <col min="5648" max="5888" width="10.6640625" style="300"/>
    <col min="5889" max="5889" width="5.6640625" style="300" customWidth="1"/>
    <col min="5890" max="5890" width="35.6640625" style="300" customWidth="1"/>
    <col min="5891" max="5903" width="12.6640625" style="300" customWidth="1"/>
    <col min="5904" max="6144" width="10.6640625" style="300"/>
    <col min="6145" max="6145" width="5.6640625" style="300" customWidth="1"/>
    <col min="6146" max="6146" width="35.6640625" style="300" customWidth="1"/>
    <col min="6147" max="6159" width="12.6640625" style="300" customWidth="1"/>
    <col min="6160" max="6400" width="10.6640625" style="300"/>
    <col min="6401" max="6401" width="5.6640625" style="300" customWidth="1"/>
    <col min="6402" max="6402" width="35.6640625" style="300" customWidth="1"/>
    <col min="6403" max="6415" width="12.6640625" style="300" customWidth="1"/>
    <col min="6416" max="6656" width="10.6640625" style="300"/>
    <col min="6657" max="6657" width="5.6640625" style="300" customWidth="1"/>
    <col min="6658" max="6658" width="35.6640625" style="300" customWidth="1"/>
    <col min="6659" max="6671" width="12.6640625" style="300" customWidth="1"/>
    <col min="6672" max="6912" width="10.6640625" style="300"/>
    <col min="6913" max="6913" width="5.6640625" style="300" customWidth="1"/>
    <col min="6914" max="6914" width="35.6640625" style="300" customWidth="1"/>
    <col min="6915" max="6927" width="12.6640625" style="300" customWidth="1"/>
    <col min="6928" max="7168" width="10.6640625" style="300"/>
    <col min="7169" max="7169" width="5.6640625" style="300" customWidth="1"/>
    <col min="7170" max="7170" width="35.6640625" style="300" customWidth="1"/>
    <col min="7171" max="7183" width="12.6640625" style="300" customWidth="1"/>
    <col min="7184" max="7424" width="10.6640625" style="300"/>
    <col min="7425" max="7425" width="5.6640625" style="300" customWidth="1"/>
    <col min="7426" max="7426" width="35.6640625" style="300" customWidth="1"/>
    <col min="7427" max="7439" width="12.6640625" style="300" customWidth="1"/>
    <col min="7440" max="7680" width="10.6640625" style="300"/>
    <col min="7681" max="7681" width="5.6640625" style="300" customWidth="1"/>
    <col min="7682" max="7682" width="35.6640625" style="300" customWidth="1"/>
    <col min="7683" max="7695" width="12.6640625" style="300" customWidth="1"/>
    <col min="7696" max="7936" width="10.6640625" style="300"/>
    <col min="7937" max="7937" width="5.6640625" style="300" customWidth="1"/>
    <col min="7938" max="7938" width="35.6640625" style="300" customWidth="1"/>
    <col min="7939" max="7951" width="12.6640625" style="300" customWidth="1"/>
    <col min="7952" max="8192" width="10.6640625" style="300"/>
    <col min="8193" max="8193" width="5.6640625" style="300" customWidth="1"/>
    <col min="8194" max="8194" width="35.6640625" style="300" customWidth="1"/>
    <col min="8195" max="8207" width="12.6640625" style="300" customWidth="1"/>
    <col min="8208" max="8448" width="10.6640625" style="300"/>
    <col min="8449" max="8449" width="5.6640625" style="300" customWidth="1"/>
    <col min="8450" max="8450" width="35.6640625" style="300" customWidth="1"/>
    <col min="8451" max="8463" width="12.6640625" style="300" customWidth="1"/>
    <col min="8464" max="8704" width="10.6640625" style="300"/>
    <col min="8705" max="8705" width="5.6640625" style="300" customWidth="1"/>
    <col min="8706" max="8706" width="35.6640625" style="300" customWidth="1"/>
    <col min="8707" max="8719" width="12.6640625" style="300" customWidth="1"/>
    <col min="8720" max="8960" width="10.6640625" style="300"/>
    <col min="8961" max="8961" width="5.6640625" style="300" customWidth="1"/>
    <col min="8962" max="8962" width="35.6640625" style="300" customWidth="1"/>
    <col min="8963" max="8975" width="12.6640625" style="300" customWidth="1"/>
    <col min="8976" max="9216" width="10.6640625" style="300"/>
    <col min="9217" max="9217" width="5.6640625" style="300" customWidth="1"/>
    <col min="9218" max="9218" width="35.6640625" style="300" customWidth="1"/>
    <col min="9219" max="9231" width="12.6640625" style="300" customWidth="1"/>
    <col min="9232" max="9472" width="10.6640625" style="300"/>
    <col min="9473" max="9473" width="5.6640625" style="300" customWidth="1"/>
    <col min="9474" max="9474" width="35.6640625" style="300" customWidth="1"/>
    <col min="9475" max="9487" width="12.6640625" style="300" customWidth="1"/>
    <col min="9488" max="9728" width="10.6640625" style="300"/>
    <col min="9729" max="9729" width="5.6640625" style="300" customWidth="1"/>
    <col min="9730" max="9730" width="35.6640625" style="300" customWidth="1"/>
    <col min="9731" max="9743" width="12.6640625" style="300" customWidth="1"/>
    <col min="9744" max="9984" width="10.6640625" style="300"/>
    <col min="9985" max="9985" width="5.6640625" style="300" customWidth="1"/>
    <col min="9986" max="9986" width="35.6640625" style="300" customWidth="1"/>
    <col min="9987" max="9999" width="12.6640625" style="300" customWidth="1"/>
    <col min="10000" max="10240" width="10.6640625" style="300"/>
    <col min="10241" max="10241" width="5.6640625" style="300" customWidth="1"/>
    <col min="10242" max="10242" width="35.6640625" style="300" customWidth="1"/>
    <col min="10243" max="10255" width="12.6640625" style="300" customWidth="1"/>
    <col min="10256" max="10496" width="10.6640625" style="300"/>
    <col min="10497" max="10497" width="5.6640625" style="300" customWidth="1"/>
    <col min="10498" max="10498" width="35.6640625" style="300" customWidth="1"/>
    <col min="10499" max="10511" width="12.6640625" style="300" customWidth="1"/>
    <col min="10512" max="10752" width="10.6640625" style="300"/>
    <col min="10753" max="10753" width="5.6640625" style="300" customWidth="1"/>
    <col min="10754" max="10754" width="35.6640625" style="300" customWidth="1"/>
    <col min="10755" max="10767" width="12.6640625" style="300" customWidth="1"/>
    <col min="10768" max="11008" width="10.6640625" style="300"/>
    <col min="11009" max="11009" width="5.6640625" style="300" customWidth="1"/>
    <col min="11010" max="11010" width="35.6640625" style="300" customWidth="1"/>
    <col min="11011" max="11023" width="12.6640625" style="300" customWidth="1"/>
    <col min="11024" max="11264" width="10.6640625" style="300"/>
    <col min="11265" max="11265" width="5.6640625" style="300" customWidth="1"/>
    <col min="11266" max="11266" width="35.6640625" style="300" customWidth="1"/>
    <col min="11267" max="11279" width="12.6640625" style="300" customWidth="1"/>
    <col min="11280" max="11520" width="10.6640625" style="300"/>
    <col min="11521" max="11521" width="5.6640625" style="300" customWidth="1"/>
    <col min="11522" max="11522" width="35.6640625" style="300" customWidth="1"/>
    <col min="11523" max="11535" width="12.6640625" style="300" customWidth="1"/>
    <col min="11536" max="11776" width="10.6640625" style="300"/>
    <col min="11777" max="11777" width="5.6640625" style="300" customWidth="1"/>
    <col min="11778" max="11778" width="35.6640625" style="300" customWidth="1"/>
    <col min="11779" max="11791" width="12.6640625" style="300" customWidth="1"/>
    <col min="11792" max="12032" width="10.6640625" style="300"/>
    <col min="12033" max="12033" width="5.6640625" style="300" customWidth="1"/>
    <col min="12034" max="12034" width="35.6640625" style="300" customWidth="1"/>
    <col min="12035" max="12047" width="12.6640625" style="300" customWidth="1"/>
    <col min="12048" max="12288" width="10.6640625" style="300"/>
    <col min="12289" max="12289" width="5.6640625" style="300" customWidth="1"/>
    <col min="12290" max="12290" width="35.6640625" style="300" customWidth="1"/>
    <col min="12291" max="12303" width="12.6640625" style="300" customWidth="1"/>
    <col min="12304" max="12544" width="10.6640625" style="300"/>
    <col min="12545" max="12545" width="5.6640625" style="300" customWidth="1"/>
    <col min="12546" max="12546" width="35.6640625" style="300" customWidth="1"/>
    <col min="12547" max="12559" width="12.6640625" style="300" customWidth="1"/>
    <col min="12560" max="12800" width="10.6640625" style="300"/>
    <col min="12801" max="12801" width="5.6640625" style="300" customWidth="1"/>
    <col min="12802" max="12802" width="35.6640625" style="300" customWidth="1"/>
    <col min="12803" max="12815" width="12.6640625" style="300" customWidth="1"/>
    <col min="12816" max="13056" width="10.6640625" style="300"/>
    <col min="13057" max="13057" width="5.6640625" style="300" customWidth="1"/>
    <col min="13058" max="13058" width="35.6640625" style="300" customWidth="1"/>
    <col min="13059" max="13071" width="12.6640625" style="300" customWidth="1"/>
    <col min="13072" max="13312" width="10.6640625" style="300"/>
    <col min="13313" max="13313" width="5.6640625" style="300" customWidth="1"/>
    <col min="13314" max="13314" width="35.6640625" style="300" customWidth="1"/>
    <col min="13315" max="13327" width="12.6640625" style="300" customWidth="1"/>
    <col min="13328" max="13568" width="10.6640625" style="300"/>
    <col min="13569" max="13569" width="5.6640625" style="300" customWidth="1"/>
    <col min="13570" max="13570" width="35.6640625" style="300" customWidth="1"/>
    <col min="13571" max="13583" width="12.6640625" style="300" customWidth="1"/>
    <col min="13584" max="13824" width="10.6640625" style="300"/>
    <col min="13825" max="13825" width="5.6640625" style="300" customWidth="1"/>
    <col min="13826" max="13826" width="35.6640625" style="300" customWidth="1"/>
    <col min="13827" max="13839" width="12.6640625" style="300" customWidth="1"/>
    <col min="13840" max="14080" width="10.6640625" style="300"/>
    <col min="14081" max="14081" width="5.6640625" style="300" customWidth="1"/>
    <col min="14082" max="14082" width="35.6640625" style="300" customWidth="1"/>
    <col min="14083" max="14095" width="12.6640625" style="300" customWidth="1"/>
    <col min="14096" max="14336" width="10.6640625" style="300"/>
    <col min="14337" max="14337" width="5.6640625" style="300" customWidth="1"/>
    <col min="14338" max="14338" width="35.6640625" style="300" customWidth="1"/>
    <col min="14339" max="14351" width="12.6640625" style="300" customWidth="1"/>
    <col min="14352" max="14592" width="10.6640625" style="300"/>
    <col min="14593" max="14593" width="5.6640625" style="300" customWidth="1"/>
    <col min="14594" max="14594" width="35.6640625" style="300" customWidth="1"/>
    <col min="14595" max="14607" width="12.6640625" style="300" customWidth="1"/>
    <col min="14608" max="14848" width="10.6640625" style="300"/>
    <col min="14849" max="14849" width="5.6640625" style="300" customWidth="1"/>
    <col min="14850" max="14850" width="35.6640625" style="300" customWidth="1"/>
    <col min="14851" max="14863" width="12.6640625" style="300" customWidth="1"/>
    <col min="14864" max="15104" width="10.6640625" style="300"/>
    <col min="15105" max="15105" width="5.6640625" style="300" customWidth="1"/>
    <col min="15106" max="15106" width="35.6640625" style="300" customWidth="1"/>
    <col min="15107" max="15119" width="12.6640625" style="300" customWidth="1"/>
    <col min="15120" max="15360" width="10.6640625" style="300"/>
    <col min="15361" max="15361" width="5.6640625" style="300" customWidth="1"/>
    <col min="15362" max="15362" width="35.6640625" style="300" customWidth="1"/>
    <col min="15363" max="15375" width="12.6640625" style="300" customWidth="1"/>
    <col min="15376" max="15616" width="10.6640625" style="300"/>
    <col min="15617" max="15617" width="5.6640625" style="300" customWidth="1"/>
    <col min="15618" max="15618" width="35.6640625" style="300" customWidth="1"/>
    <col min="15619" max="15631" width="12.6640625" style="300" customWidth="1"/>
    <col min="15632" max="15872" width="10.6640625" style="300"/>
    <col min="15873" max="15873" width="5.6640625" style="300" customWidth="1"/>
    <col min="15874" max="15874" width="35.6640625" style="300" customWidth="1"/>
    <col min="15875" max="15887" width="12.6640625" style="300" customWidth="1"/>
    <col min="15888" max="16128" width="10.6640625" style="300"/>
    <col min="16129" max="16129" width="5.6640625" style="300" customWidth="1"/>
    <col min="16130" max="16130" width="35.6640625" style="300" customWidth="1"/>
    <col min="16131" max="16143" width="12.6640625" style="300" customWidth="1"/>
    <col min="16144" max="16384" width="10.6640625" style="300"/>
  </cols>
  <sheetData>
    <row r="1" spans="2:15">
      <c r="H1" s="301"/>
      <c r="I1" s="302"/>
    </row>
    <row r="2" spans="2:15">
      <c r="B2" s="686" t="s">
        <v>203</v>
      </c>
      <c r="C2" s="686"/>
      <c r="D2" s="686"/>
      <c r="E2" s="686"/>
      <c r="F2" s="686"/>
      <c r="G2" s="686"/>
      <c r="H2" s="686"/>
      <c r="I2" s="686"/>
      <c r="J2" s="686"/>
      <c r="K2" s="686"/>
      <c r="L2" s="686"/>
      <c r="M2" s="686"/>
      <c r="N2" s="686"/>
    </row>
    <row r="3" spans="2:15" ht="14.4" thickBot="1">
      <c r="B3" s="687" t="s">
        <v>204</v>
      </c>
      <c r="C3" s="687"/>
      <c r="D3" s="687"/>
      <c r="E3" s="687"/>
      <c r="F3" s="687"/>
      <c r="G3" s="687"/>
      <c r="H3" s="687"/>
      <c r="I3" s="687"/>
      <c r="J3" s="687"/>
      <c r="K3" s="687"/>
      <c r="L3" s="687"/>
      <c r="M3" s="687"/>
      <c r="N3" s="687"/>
    </row>
    <row r="4" spans="2:15" s="308" customFormat="1" ht="30" customHeight="1" thickBot="1">
      <c r="B4" s="303"/>
      <c r="C4" s="304">
        <v>2007</v>
      </c>
      <c r="D4" s="305">
        <v>2008</v>
      </c>
      <c r="E4" s="305">
        <v>2009</v>
      </c>
      <c r="F4" s="305">
        <v>2010</v>
      </c>
      <c r="G4" s="305">
        <v>2011</v>
      </c>
      <c r="H4" s="305">
        <v>2012</v>
      </c>
      <c r="I4" s="305">
        <v>2013</v>
      </c>
      <c r="J4" s="305">
        <v>2014</v>
      </c>
      <c r="K4" s="305">
        <v>2015</v>
      </c>
      <c r="L4" s="305">
        <v>2016</v>
      </c>
      <c r="M4" s="306">
        <v>2017</v>
      </c>
      <c r="N4" s="307">
        <v>2018</v>
      </c>
      <c r="O4" s="580">
        <v>2019</v>
      </c>
    </row>
    <row r="5" spans="2:15">
      <c r="B5" s="309" t="s">
        <v>205</v>
      </c>
      <c r="C5" s="310" t="s">
        <v>206</v>
      </c>
      <c r="D5" s="310" t="s">
        <v>206</v>
      </c>
      <c r="E5" s="310" t="s">
        <v>206</v>
      </c>
      <c r="F5" s="310" t="s">
        <v>206</v>
      </c>
      <c r="G5" s="310" t="s">
        <v>206</v>
      </c>
      <c r="H5" s="311" t="s">
        <v>206</v>
      </c>
      <c r="I5" s="311" t="s">
        <v>206</v>
      </c>
      <c r="J5" s="311" t="s">
        <v>206</v>
      </c>
      <c r="K5" s="311" t="s">
        <v>206</v>
      </c>
      <c r="L5" s="311" t="s">
        <v>206</v>
      </c>
      <c r="M5" s="312" t="s">
        <v>206</v>
      </c>
      <c r="N5" s="313" t="s">
        <v>206</v>
      </c>
      <c r="O5" s="581" t="s">
        <v>206</v>
      </c>
    </row>
    <row r="6" spans="2:15">
      <c r="B6" s="314" t="s">
        <v>207</v>
      </c>
      <c r="C6" s="315" t="s">
        <v>206</v>
      </c>
      <c r="D6" s="315" t="s">
        <v>206</v>
      </c>
      <c r="E6" s="315" t="s">
        <v>206</v>
      </c>
      <c r="F6" s="315" t="s">
        <v>206</v>
      </c>
      <c r="G6" s="315" t="s">
        <v>206</v>
      </c>
      <c r="H6" s="316" t="s">
        <v>206</v>
      </c>
      <c r="I6" s="316" t="s">
        <v>206</v>
      </c>
      <c r="J6" s="316" t="s">
        <v>206</v>
      </c>
      <c r="K6" s="316" t="s">
        <v>206</v>
      </c>
      <c r="L6" s="316" t="s">
        <v>206</v>
      </c>
      <c r="M6" s="312" t="s">
        <v>206</v>
      </c>
      <c r="N6" s="313" t="s">
        <v>206</v>
      </c>
      <c r="O6" s="581" t="s">
        <v>206</v>
      </c>
    </row>
    <row r="7" spans="2:15">
      <c r="B7" s="314" t="s">
        <v>208</v>
      </c>
      <c r="C7" s="315" t="s">
        <v>206</v>
      </c>
      <c r="D7" s="315" t="s">
        <v>206</v>
      </c>
      <c r="E7" s="315" t="s">
        <v>206</v>
      </c>
      <c r="F7" s="315" t="s">
        <v>206</v>
      </c>
      <c r="G7" s="315" t="s">
        <v>206</v>
      </c>
      <c r="H7" s="316" t="s">
        <v>206</v>
      </c>
      <c r="I7" s="316" t="s">
        <v>206</v>
      </c>
      <c r="J7" s="316" t="s">
        <v>206</v>
      </c>
      <c r="K7" s="316" t="s">
        <v>206</v>
      </c>
      <c r="L7" s="316" t="s">
        <v>206</v>
      </c>
      <c r="M7" s="312" t="s">
        <v>206</v>
      </c>
      <c r="N7" s="313" t="s">
        <v>206</v>
      </c>
      <c r="O7" s="581" t="s">
        <v>206</v>
      </c>
    </row>
    <row r="8" spans="2:15">
      <c r="B8" s="314" t="s">
        <v>209</v>
      </c>
      <c r="C8" s="317">
        <v>3789.3</v>
      </c>
      <c r="D8" s="317">
        <v>3960</v>
      </c>
      <c r="E8" s="317">
        <v>2722.2</v>
      </c>
      <c r="F8" s="317">
        <v>2546.6999999999998</v>
      </c>
      <c r="G8" s="317">
        <v>2015.6</v>
      </c>
      <c r="H8" s="317">
        <v>1773.7</v>
      </c>
      <c r="I8" s="318">
        <v>1517.6</v>
      </c>
      <c r="J8" s="318">
        <v>1237.8</v>
      </c>
      <c r="K8" s="318">
        <v>863.1</v>
      </c>
      <c r="L8" s="318">
        <v>474.2</v>
      </c>
      <c r="M8" s="319">
        <v>270.3</v>
      </c>
      <c r="N8" s="320">
        <v>265.60000000000002</v>
      </c>
      <c r="O8" s="579">
        <v>132.80000000000001</v>
      </c>
    </row>
    <row r="9" spans="2:15">
      <c r="B9" s="314" t="s">
        <v>210</v>
      </c>
      <c r="C9" s="317">
        <v>73.400000000000006</v>
      </c>
      <c r="D9" s="317">
        <v>60.5</v>
      </c>
      <c r="E9" s="317">
        <v>56.2</v>
      </c>
      <c r="F9" s="317">
        <v>51.8</v>
      </c>
      <c r="G9" s="317">
        <v>43.2</v>
      </c>
      <c r="H9" s="317">
        <v>47.5</v>
      </c>
      <c r="I9" s="318">
        <v>38.9</v>
      </c>
      <c r="J9" s="318">
        <v>30.2</v>
      </c>
      <c r="K9" s="318">
        <v>17.3</v>
      </c>
      <c r="L9" s="318">
        <v>25.9</v>
      </c>
      <c r="M9" s="321">
        <v>30.2</v>
      </c>
      <c r="N9" s="322">
        <v>25.9</v>
      </c>
      <c r="O9" s="578">
        <v>30.2</v>
      </c>
    </row>
    <row r="10" spans="2:15">
      <c r="B10" s="314" t="s">
        <v>211</v>
      </c>
      <c r="C10" s="317" t="s">
        <v>206</v>
      </c>
      <c r="D10" s="317" t="s">
        <v>206</v>
      </c>
      <c r="E10" s="317" t="s">
        <v>206</v>
      </c>
      <c r="F10" s="317" t="s">
        <v>206</v>
      </c>
      <c r="G10" s="317" t="s">
        <v>206</v>
      </c>
      <c r="H10" s="317" t="s">
        <v>206</v>
      </c>
      <c r="I10" s="315" t="s">
        <v>206</v>
      </c>
      <c r="J10" s="315" t="s">
        <v>206</v>
      </c>
      <c r="K10" s="315" t="s">
        <v>206</v>
      </c>
      <c r="L10" s="315" t="s">
        <v>206</v>
      </c>
      <c r="M10" s="312" t="s">
        <v>206</v>
      </c>
      <c r="N10" s="313" t="s">
        <v>206</v>
      </c>
      <c r="O10" s="581" t="s">
        <v>206</v>
      </c>
    </row>
    <row r="11" spans="2:15">
      <c r="B11" s="314" t="s">
        <v>212</v>
      </c>
      <c r="C11" s="317">
        <v>262.60000000000002</v>
      </c>
      <c r="D11" s="317">
        <v>331.5</v>
      </c>
      <c r="E11" s="317">
        <v>120.6</v>
      </c>
      <c r="F11" s="317">
        <v>64.599999999999994</v>
      </c>
      <c r="G11" s="317">
        <v>21.5</v>
      </c>
      <c r="H11" s="317">
        <v>21.5</v>
      </c>
      <c r="I11" s="318">
        <v>25.8</v>
      </c>
      <c r="J11" s="318">
        <v>17.2</v>
      </c>
      <c r="K11" s="318">
        <v>12.9</v>
      </c>
      <c r="L11" s="318">
        <v>4.3</v>
      </c>
      <c r="M11" s="321">
        <v>4.3</v>
      </c>
      <c r="N11" s="322">
        <v>4.3</v>
      </c>
      <c r="O11" s="578">
        <v>4.3</v>
      </c>
    </row>
    <row r="12" spans="2:15">
      <c r="B12" s="323" t="s">
        <v>213</v>
      </c>
      <c r="C12" s="317">
        <v>703.8</v>
      </c>
      <c r="D12" s="317">
        <v>661.2</v>
      </c>
      <c r="E12" s="317">
        <v>524.6</v>
      </c>
      <c r="F12" s="317">
        <v>528.9</v>
      </c>
      <c r="G12" s="317">
        <v>537.5</v>
      </c>
      <c r="H12" s="317">
        <v>546</v>
      </c>
      <c r="I12" s="318">
        <v>511.8</v>
      </c>
      <c r="J12" s="318">
        <v>447.9</v>
      </c>
      <c r="K12" s="318">
        <v>405.2</v>
      </c>
      <c r="L12" s="318">
        <v>383.9</v>
      </c>
      <c r="M12" s="321">
        <v>362.6</v>
      </c>
      <c r="N12" s="322">
        <v>341.2</v>
      </c>
      <c r="O12" s="578">
        <v>324.2</v>
      </c>
    </row>
    <row r="13" spans="2:15">
      <c r="B13" s="323" t="s">
        <v>214</v>
      </c>
      <c r="C13" s="315" t="s">
        <v>206</v>
      </c>
      <c r="D13" s="315" t="s">
        <v>206</v>
      </c>
      <c r="E13" s="315" t="s">
        <v>206</v>
      </c>
      <c r="F13" s="315" t="s">
        <v>206</v>
      </c>
      <c r="G13" s="315" t="s">
        <v>206</v>
      </c>
      <c r="H13" s="315" t="s">
        <v>206</v>
      </c>
      <c r="I13" s="315" t="s">
        <v>206</v>
      </c>
      <c r="J13" s="315" t="s">
        <v>206</v>
      </c>
      <c r="K13" s="316" t="s">
        <v>206</v>
      </c>
      <c r="L13" s="315" t="s">
        <v>206</v>
      </c>
      <c r="M13" s="312" t="s">
        <v>206</v>
      </c>
      <c r="N13" s="313" t="s">
        <v>206</v>
      </c>
      <c r="O13" s="581" t="s">
        <v>206</v>
      </c>
    </row>
    <row r="14" spans="2:15">
      <c r="B14" s="324" t="s">
        <v>215</v>
      </c>
      <c r="C14" s="315" t="s">
        <v>206</v>
      </c>
      <c r="D14" s="315" t="s">
        <v>206</v>
      </c>
      <c r="E14" s="315" t="s">
        <v>206</v>
      </c>
      <c r="F14" s="315" t="s">
        <v>206</v>
      </c>
      <c r="G14" s="315" t="s">
        <v>206</v>
      </c>
      <c r="H14" s="315" t="s">
        <v>206</v>
      </c>
      <c r="I14" s="315" t="s">
        <v>206</v>
      </c>
      <c r="J14" s="315" t="s">
        <v>206</v>
      </c>
      <c r="K14" s="316" t="s">
        <v>206</v>
      </c>
      <c r="L14" s="315" t="s">
        <v>206</v>
      </c>
      <c r="M14" s="312" t="s">
        <v>206</v>
      </c>
      <c r="N14" s="313" t="s">
        <v>206</v>
      </c>
      <c r="O14" s="581" t="s">
        <v>206</v>
      </c>
    </row>
    <row r="15" spans="2:15">
      <c r="B15" s="324" t="s">
        <v>216</v>
      </c>
      <c r="C15" s="315" t="s">
        <v>206</v>
      </c>
      <c r="D15" s="315" t="s">
        <v>206</v>
      </c>
      <c r="E15" s="315" t="s">
        <v>206</v>
      </c>
      <c r="F15" s="315" t="s">
        <v>206</v>
      </c>
      <c r="G15" s="315" t="s">
        <v>206</v>
      </c>
      <c r="H15" s="315" t="s">
        <v>206</v>
      </c>
      <c r="I15" s="315" t="s">
        <v>206</v>
      </c>
      <c r="J15" s="315" t="s">
        <v>206</v>
      </c>
      <c r="K15" s="316" t="s">
        <v>206</v>
      </c>
      <c r="L15" s="315" t="s">
        <v>206</v>
      </c>
      <c r="M15" s="312" t="s">
        <v>206</v>
      </c>
      <c r="N15" s="313" t="s">
        <v>206</v>
      </c>
      <c r="O15" s="581" t="s">
        <v>206</v>
      </c>
    </row>
    <row r="16" spans="2:15">
      <c r="B16" s="324" t="s">
        <v>217</v>
      </c>
      <c r="C16" s="315" t="s">
        <v>206</v>
      </c>
      <c r="D16" s="315" t="s">
        <v>206</v>
      </c>
      <c r="E16" s="315" t="s">
        <v>206</v>
      </c>
      <c r="F16" s="315" t="s">
        <v>206</v>
      </c>
      <c r="G16" s="315" t="s">
        <v>206</v>
      </c>
      <c r="H16" s="315" t="s">
        <v>206</v>
      </c>
      <c r="I16" s="315" t="s">
        <v>206</v>
      </c>
      <c r="J16" s="315" t="s">
        <v>206</v>
      </c>
      <c r="K16" s="316" t="s">
        <v>206</v>
      </c>
      <c r="L16" s="315" t="s">
        <v>206</v>
      </c>
      <c r="M16" s="312" t="s">
        <v>206</v>
      </c>
      <c r="N16" s="313" t="s">
        <v>206</v>
      </c>
      <c r="O16" s="581" t="s">
        <v>206</v>
      </c>
    </row>
    <row r="17" spans="2:15">
      <c r="B17" s="314" t="s">
        <v>218</v>
      </c>
      <c r="C17" s="315" t="s">
        <v>206</v>
      </c>
      <c r="D17" s="315" t="s">
        <v>206</v>
      </c>
      <c r="E17" s="315" t="s">
        <v>206</v>
      </c>
      <c r="F17" s="315" t="s">
        <v>206</v>
      </c>
      <c r="G17" s="315" t="s">
        <v>206</v>
      </c>
      <c r="H17" s="315" t="s">
        <v>206</v>
      </c>
      <c r="I17" s="315" t="s">
        <v>206</v>
      </c>
      <c r="J17" s="315" t="s">
        <v>206</v>
      </c>
      <c r="K17" s="316" t="s">
        <v>206</v>
      </c>
      <c r="L17" s="315" t="s">
        <v>206</v>
      </c>
      <c r="M17" s="312" t="s">
        <v>206</v>
      </c>
      <c r="N17" s="313" t="s">
        <v>206</v>
      </c>
      <c r="O17" s="581" t="s">
        <v>206</v>
      </c>
    </row>
    <row r="18" spans="2:15">
      <c r="B18" s="314" t="s">
        <v>80</v>
      </c>
      <c r="C18" s="315">
        <v>96648</v>
      </c>
      <c r="D18" s="315">
        <v>120073.1</v>
      </c>
      <c r="E18" s="317">
        <v>108964.1</v>
      </c>
      <c r="F18" s="317">
        <v>112410.8</v>
      </c>
      <c r="G18" s="317">
        <v>113547.4</v>
      </c>
      <c r="H18" s="317">
        <v>93322.2</v>
      </c>
      <c r="I18" s="318">
        <v>90111.4</v>
      </c>
      <c r="J18" s="318">
        <v>100618.6</v>
      </c>
      <c r="K18" s="318">
        <v>107442.3</v>
      </c>
      <c r="L18" s="318">
        <v>124480.3</v>
      </c>
      <c r="M18" s="321">
        <v>110403.1</v>
      </c>
      <c r="N18" s="322">
        <v>119343.9</v>
      </c>
      <c r="O18" s="578">
        <v>129558.1</v>
      </c>
    </row>
    <row r="19" spans="2:15">
      <c r="B19" s="314" t="s">
        <v>219</v>
      </c>
      <c r="C19" s="315">
        <v>1078.5</v>
      </c>
      <c r="D19" s="315">
        <v>1219.7</v>
      </c>
      <c r="E19" s="315">
        <v>1296.7</v>
      </c>
      <c r="F19" s="315">
        <v>1371.2</v>
      </c>
      <c r="G19" s="315">
        <v>2034</v>
      </c>
      <c r="H19" s="315">
        <v>2436.4</v>
      </c>
      <c r="I19" s="318">
        <v>2927.6</v>
      </c>
      <c r="J19" s="318">
        <v>3928.7</v>
      </c>
      <c r="K19" s="318">
        <v>4264.8999999999996</v>
      </c>
      <c r="L19" s="318">
        <v>4821.7</v>
      </c>
      <c r="M19" s="319">
        <v>4732.6000000000004</v>
      </c>
      <c r="N19" s="320">
        <v>5051.2</v>
      </c>
      <c r="O19" s="579">
        <v>5062.1000000000004</v>
      </c>
    </row>
    <row r="20" spans="2:15">
      <c r="B20" s="314" t="s">
        <v>79</v>
      </c>
      <c r="C20" s="325">
        <v>30003.1</v>
      </c>
      <c r="D20" s="315">
        <v>26797.3</v>
      </c>
      <c r="E20" s="315">
        <v>21050.3</v>
      </c>
      <c r="F20" s="315">
        <v>20719.099999999999</v>
      </c>
      <c r="G20" s="318">
        <v>21299</v>
      </c>
      <c r="H20" s="318">
        <v>23403.599999999999</v>
      </c>
      <c r="I20" s="318">
        <v>24175.8</v>
      </c>
      <c r="J20" s="318">
        <v>26251.200000000001</v>
      </c>
      <c r="K20" s="318">
        <v>28576.400000000001</v>
      </c>
      <c r="L20" s="318">
        <v>29057.4</v>
      </c>
      <c r="M20" s="321">
        <v>25684.6</v>
      </c>
      <c r="N20" s="322">
        <v>24117.5</v>
      </c>
      <c r="O20" s="578">
        <v>23104.799999999999</v>
      </c>
    </row>
    <row r="21" spans="2:15">
      <c r="B21" s="314" t="s">
        <v>220</v>
      </c>
      <c r="C21" s="315">
        <v>2925.6</v>
      </c>
      <c r="D21" s="315">
        <v>2749</v>
      </c>
      <c r="E21" s="317">
        <v>2236.1999999999998</v>
      </c>
      <c r="F21" s="317">
        <v>3045.4</v>
      </c>
      <c r="G21" s="317">
        <v>3207.2</v>
      </c>
      <c r="H21" s="317">
        <v>3259.8</v>
      </c>
      <c r="I21" s="318">
        <v>2872.6</v>
      </c>
      <c r="J21" s="318">
        <v>2314</v>
      </c>
      <c r="K21" s="318">
        <v>2066</v>
      </c>
      <c r="L21" s="318">
        <v>483.4</v>
      </c>
      <c r="M21" s="321">
        <v>554.79999999999995</v>
      </c>
      <c r="N21" s="322">
        <v>470.8</v>
      </c>
      <c r="O21" s="578">
        <v>414</v>
      </c>
    </row>
    <row r="22" spans="2:15" ht="14.4" thickBot="1">
      <c r="B22" s="326" t="s">
        <v>221</v>
      </c>
      <c r="C22" s="327" t="s">
        <v>206</v>
      </c>
      <c r="D22" s="327" t="s">
        <v>206</v>
      </c>
      <c r="E22" s="327" t="s">
        <v>206</v>
      </c>
      <c r="F22" s="327" t="s">
        <v>206</v>
      </c>
      <c r="G22" s="327" t="s">
        <v>206</v>
      </c>
      <c r="H22" s="327" t="s">
        <v>206</v>
      </c>
      <c r="I22" s="327" t="s">
        <v>206</v>
      </c>
      <c r="J22" s="327" t="s">
        <v>206</v>
      </c>
      <c r="K22" s="327" t="s">
        <v>206</v>
      </c>
      <c r="L22" s="327" t="s">
        <v>206</v>
      </c>
      <c r="M22" s="328" t="s">
        <v>206</v>
      </c>
      <c r="N22" s="329">
        <v>8.4</v>
      </c>
      <c r="O22" s="582">
        <v>44.099999999999994</v>
      </c>
    </row>
    <row r="23" spans="2:15">
      <c r="C23" s="308"/>
      <c r="D23" s="330"/>
      <c r="E23" s="308"/>
      <c r="F23" s="308"/>
      <c r="G23" s="308"/>
    </row>
    <row r="67" spans="2:6">
      <c r="B67"/>
      <c r="C67"/>
      <c r="D67"/>
      <c r="E67"/>
      <c r="F67"/>
    </row>
  </sheetData>
  <mergeCells count="2">
    <mergeCell ref="B2:N2"/>
    <mergeCell ref="B3:N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
  <sheetViews>
    <sheetView topLeftCell="A7" workbookViewId="0">
      <selection activeCell="U54" sqref="U54"/>
    </sheetView>
  </sheetViews>
  <sheetFormatPr defaultColWidth="8.77734375" defaultRowHeight="13.2"/>
  <sheetData/>
  <pageMargins left="0.7" right="0.7" top="0.75" bottom="0.75" header="0.3" footer="0.3"/>
  <pageSetup paperSize="9" orientation="portrait"/>
  <drawing r:id="rId1"/>
  <legacyDrawing r:id="rId2"/>
  <oleObjects>
    <mc:AlternateContent xmlns:mc="http://schemas.openxmlformats.org/markup-compatibility/2006">
      <mc:Choice Requires="x14">
        <oleObject progId="Visio.Drawing.15" shapeId="54273" r:id="rId3">
          <objectPr defaultSize="0" r:id="rId4">
            <anchor moveWithCells="1">
              <from>
                <xdr:col>1</xdr:col>
                <xdr:colOff>0</xdr:colOff>
                <xdr:row>3</xdr:row>
                <xdr:rowOff>0</xdr:rowOff>
              </from>
              <to>
                <xdr:col>14</xdr:col>
                <xdr:colOff>594360</xdr:colOff>
                <xdr:row>44</xdr:row>
                <xdr:rowOff>15240</xdr:rowOff>
              </to>
            </anchor>
          </objectPr>
        </oleObject>
      </mc:Choice>
      <mc:Fallback>
        <oleObject progId="Visio.Drawing.15" shapeId="54273" r:id="rId3"/>
      </mc:Fallback>
    </mc:AlternateContent>
  </oleObjec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5" tint="0.59999389629810485"/>
  </sheetPr>
  <dimension ref="A2:T32"/>
  <sheetViews>
    <sheetView zoomScale="80" zoomScaleNormal="80" workbookViewId="0">
      <selection activeCell="U54" sqref="U54"/>
    </sheetView>
  </sheetViews>
  <sheetFormatPr defaultColWidth="8.77734375" defaultRowHeight="13.2"/>
  <cols>
    <col min="2" max="2" width="36" customWidth="1"/>
    <col min="3" max="5" width="6.6640625" customWidth="1"/>
    <col min="7" max="7" width="8.6640625" bestFit="1" customWidth="1"/>
    <col min="8" max="8" width="55.33203125" bestFit="1" customWidth="1"/>
    <col min="9" max="9" width="14.44140625" bestFit="1" customWidth="1"/>
    <col min="14" max="14" width="4" bestFit="1" customWidth="1"/>
    <col min="15" max="15" width="26.6640625" bestFit="1" customWidth="1"/>
    <col min="16" max="16" width="19" bestFit="1" customWidth="1"/>
    <col min="17" max="17" width="11.44140625" bestFit="1" customWidth="1"/>
    <col min="19" max="19" width="11.6640625" customWidth="1"/>
  </cols>
  <sheetData>
    <row r="2" spans="1:20" ht="18.600000000000001" thickBot="1">
      <c r="H2" s="170" t="s">
        <v>168</v>
      </c>
      <c r="I2" s="171"/>
      <c r="J2" s="171"/>
      <c r="K2" s="171"/>
    </row>
    <row r="3" spans="1:20" ht="16.8" thickTop="1" thickBot="1">
      <c r="A3" s="108" t="s">
        <v>1</v>
      </c>
      <c r="B3" s="109" t="s">
        <v>78</v>
      </c>
      <c r="C3" s="688" t="s">
        <v>137</v>
      </c>
      <c r="D3" s="689"/>
      <c r="E3" s="690"/>
      <c r="H3" s="171"/>
      <c r="I3" s="171"/>
      <c r="J3" s="171"/>
      <c r="K3" s="171"/>
    </row>
    <row r="4" spans="1:20" ht="16.05" customHeight="1" thickBot="1">
      <c r="A4" s="691" t="s">
        <v>906</v>
      </c>
      <c r="B4" s="116" t="s">
        <v>49</v>
      </c>
      <c r="C4" s="122" t="s">
        <v>178</v>
      </c>
      <c r="D4" s="117" t="s">
        <v>179</v>
      </c>
      <c r="E4" s="118" t="s">
        <v>51</v>
      </c>
      <c r="H4" s="171"/>
      <c r="I4" s="172">
        <v>2010</v>
      </c>
      <c r="J4" s="171"/>
      <c r="K4" s="171"/>
    </row>
    <row r="5" spans="1:20" ht="16.05" customHeight="1">
      <c r="A5" s="692"/>
      <c r="B5" s="110" t="s">
        <v>273</v>
      </c>
      <c r="C5" s="123" t="s">
        <v>178</v>
      </c>
      <c r="D5" s="111" t="s">
        <v>179</v>
      </c>
      <c r="E5" s="112" t="s">
        <v>51</v>
      </c>
      <c r="H5" s="173"/>
      <c r="I5" s="174" t="s">
        <v>169</v>
      </c>
      <c r="J5" s="175"/>
      <c r="K5" s="176"/>
    </row>
    <row r="6" spans="1:20" ht="16.05" customHeight="1">
      <c r="A6" s="692"/>
      <c r="B6" s="110" t="s">
        <v>275</v>
      </c>
      <c r="C6" s="123" t="s">
        <v>178</v>
      </c>
      <c r="D6" s="111" t="s">
        <v>179</v>
      </c>
      <c r="E6" s="112" t="s">
        <v>51</v>
      </c>
      <c r="H6" s="177" t="s">
        <v>167</v>
      </c>
      <c r="I6" s="178" t="e">
        <f>#REF!</f>
        <v>#REF!</v>
      </c>
      <c r="J6" s="179" t="s">
        <v>170</v>
      </c>
      <c r="K6" s="695" t="s">
        <v>116</v>
      </c>
    </row>
    <row r="7" spans="1:20" ht="16.05" customHeight="1">
      <c r="A7" s="692"/>
      <c r="B7" s="110" t="s">
        <v>50</v>
      </c>
      <c r="C7" s="123" t="s">
        <v>178</v>
      </c>
      <c r="D7" s="111" t="s">
        <v>179</v>
      </c>
      <c r="E7" s="112" t="s">
        <v>51</v>
      </c>
      <c r="H7" s="177" t="s">
        <v>171</v>
      </c>
      <c r="I7" s="178" t="e">
        <f>#REF!</f>
        <v>#REF!</v>
      </c>
      <c r="J7" s="179" t="s">
        <v>172</v>
      </c>
      <c r="K7" s="696"/>
    </row>
    <row r="8" spans="1:20" ht="16.05" customHeight="1">
      <c r="A8" s="692"/>
      <c r="B8" s="110" t="s">
        <v>274</v>
      </c>
      <c r="C8" s="123" t="s">
        <v>178</v>
      </c>
      <c r="D8" s="111" t="s">
        <v>179</v>
      </c>
      <c r="E8" s="112" t="s">
        <v>51</v>
      </c>
      <c r="H8" s="177" t="s">
        <v>174</v>
      </c>
      <c r="I8" s="178" t="e">
        <f>#REF!</f>
        <v>#REF!</v>
      </c>
      <c r="J8" s="179" t="s">
        <v>172</v>
      </c>
      <c r="K8" s="697"/>
    </row>
    <row r="9" spans="1:20" ht="16.05" customHeight="1" thickBot="1">
      <c r="A9" s="693"/>
      <c r="B9" s="119" t="s">
        <v>276</v>
      </c>
      <c r="C9" s="125" t="s">
        <v>178</v>
      </c>
      <c r="D9" s="120" t="s">
        <v>179</v>
      </c>
      <c r="E9" s="121" t="s">
        <v>51</v>
      </c>
      <c r="H9" s="177" t="s">
        <v>166</v>
      </c>
      <c r="I9" s="178" t="e">
        <f>#REF!</f>
        <v>#REF!</v>
      </c>
      <c r="J9" s="179" t="s">
        <v>175</v>
      </c>
      <c r="K9" s="695" t="s">
        <v>173</v>
      </c>
      <c r="N9" s="1"/>
      <c r="O9" s="1"/>
      <c r="P9" s="1"/>
      <c r="Q9" s="1"/>
    </row>
    <row r="10" spans="1:20" ht="16.05" customHeight="1">
      <c r="A10" s="692" t="s">
        <v>185</v>
      </c>
      <c r="B10" s="110" t="s">
        <v>49</v>
      </c>
      <c r="C10" s="123" t="s">
        <v>178</v>
      </c>
      <c r="D10" s="111" t="s">
        <v>179</v>
      </c>
      <c r="E10" s="112" t="s">
        <v>51</v>
      </c>
      <c r="H10" s="177" t="s">
        <v>176</v>
      </c>
      <c r="I10" s="178" t="e">
        <f>#REF!</f>
        <v>#REF!</v>
      </c>
      <c r="J10" s="179" t="s">
        <v>175</v>
      </c>
      <c r="K10" s="697"/>
      <c r="N10" s="1"/>
      <c r="O10" s="1"/>
      <c r="P10" s="1"/>
      <c r="Q10" s="1"/>
    </row>
    <row r="11" spans="1:20" ht="16.05" customHeight="1">
      <c r="A11" s="692"/>
      <c r="B11" s="110" t="s">
        <v>273</v>
      </c>
      <c r="C11" s="123" t="s">
        <v>178</v>
      </c>
      <c r="D11" s="111" t="s">
        <v>179</v>
      </c>
      <c r="E11" s="112" t="s">
        <v>51</v>
      </c>
      <c r="H11" s="177" t="s">
        <v>177</v>
      </c>
      <c r="I11" s="178" t="e">
        <f>#REF!</f>
        <v>#REF!</v>
      </c>
      <c r="J11" s="179" t="s">
        <v>175</v>
      </c>
      <c r="K11" s="180" t="s">
        <v>180</v>
      </c>
      <c r="N11" s="1"/>
      <c r="O11" s="1"/>
      <c r="P11" s="1"/>
      <c r="Q11" s="1"/>
    </row>
    <row r="12" spans="1:20" ht="16.05" customHeight="1" thickBot="1">
      <c r="A12" s="692"/>
      <c r="B12" s="110" t="s">
        <v>275</v>
      </c>
      <c r="C12" s="123" t="s">
        <v>178</v>
      </c>
      <c r="D12" s="111" t="s">
        <v>179</v>
      </c>
      <c r="E12" s="112" t="s">
        <v>51</v>
      </c>
      <c r="H12" s="181" t="s">
        <v>106</v>
      </c>
      <c r="I12" s="182" t="e">
        <f>SUM(I6:I11)</f>
        <v>#REF!</v>
      </c>
      <c r="J12" s="183"/>
      <c r="K12" s="184"/>
      <c r="N12" s="1"/>
      <c r="O12" s="1"/>
      <c r="P12" s="1"/>
      <c r="Q12" s="1"/>
    </row>
    <row r="13" spans="1:20" ht="16.05" customHeight="1">
      <c r="A13" s="692"/>
      <c r="B13" s="110" t="s">
        <v>50</v>
      </c>
      <c r="C13" s="123" t="s">
        <v>178</v>
      </c>
      <c r="D13" s="111" t="s">
        <v>179</v>
      </c>
      <c r="E13" s="112" t="s">
        <v>51</v>
      </c>
      <c r="N13" s="1"/>
      <c r="O13" s="1"/>
      <c r="P13" s="1"/>
      <c r="Q13" s="1"/>
    </row>
    <row r="14" spans="1:20" ht="16.05" customHeight="1">
      <c r="A14" s="692"/>
      <c r="B14" s="110" t="s">
        <v>274</v>
      </c>
      <c r="C14" s="123" t="s">
        <v>178</v>
      </c>
      <c r="D14" s="111" t="s">
        <v>179</v>
      </c>
      <c r="E14" s="112" t="s">
        <v>51</v>
      </c>
      <c r="N14" s="1"/>
      <c r="O14" s="1"/>
      <c r="P14" s="1"/>
      <c r="Q14" s="1"/>
      <c r="R14" s="1"/>
      <c r="S14" s="1"/>
      <c r="T14" s="1"/>
    </row>
    <row r="15" spans="1:20" ht="16.05" customHeight="1" thickBot="1">
      <c r="A15" s="694"/>
      <c r="B15" s="113" t="s">
        <v>276</v>
      </c>
      <c r="C15" s="124" t="s">
        <v>178</v>
      </c>
      <c r="D15" s="114" t="s">
        <v>179</v>
      </c>
      <c r="E15" s="115" t="s">
        <v>51</v>
      </c>
      <c r="N15" s="1"/>
      <c r="O15" s="1"/>
      <c r="P15" s="107"/>
      <c r="Q15" s="107"/>
      <c r="R15" s="1"/>
      <c r="S15" s="1"/>
      <c r="T15" s="1"/>
    </row>
    <row r="16" spans="1:20" ht="13.8" thickTop="1">
      <c r="N16" s="1"/>
      <c r="O16" s="1"/>
      <c r="P16" s="107"/>
      <c r="Q16" s="1"/>
      <c r="R16" s="1"/>
      <c r="S16" s="1"/>
      <c r="T16" s="1"/>
    </row>
    <row r="17" spans="14:20">
      <c r="N17" s="1"/>
      <c r="O17" s="1"/>
      <c r="P17" s="107"/>
      <c r="Q17" s="1"/>
      <c r="R17" s="1"/>
      <c r="S17" s="1"/>
      <c r="T17" s="1"/>
    </row>
    <row r="18" spans="14:20">
      <c r="N18" s="1"/>
      <c r="O18" s="1"/>
      <c r="P18" s="107"/>
      <c r="Q18" s="1"/>
      <c r="R18" s="1"/>
      <c r="S18" s="1"/>
      <c r="T18" s="1"/>
    </row>
    <row r="19" spans="14:20">
      <c r="N19" s="1"/>
      <c r="O19" s="1"/>
      <c r="P19" s="107"/>
      <c r="Q19" s="1"/>
      <c r="R19" s="1"/>
      <c r="S19" s="1"/>
      <c r="T19" s="1"/>
    </row>
    <row r="20" spans="14:20">
      <c r="N20" s="1"/>
      <c r="O20" s="1"/>
      <c r="P20" s="107"/>
      <c r="Q20" s="1"/>
      <c r="R20" s="1"/>
      <c r="S20" s="1"/>
      <c r="T20" s="1"/>
    </row>
    <row r="21" spans="14:20">
      <c r="N21" s="1"/>
      <c r="O21" s="1"/>
      <c r="P21" s="107"/>
      <c r="Q21" s="1"/>
      <c r="R21" s="1"/>
      <c r="S21" s="1"/>
      <c r="T21" s="1"/>
    </row>
    <row r="22" spans="14:20">
      <c r="N22" s="1"/>
      <c r="O22" s="1"/>
      <c r="P22" s="107"/>
      <c r="Q22" s="3"/>
      <c r="R22" s="1"/>
      <c r="S22" s="1"/>
      <c r="T22" s="1"/>
    </row>
    <row r="23" spans="14:20">
      <c r="N23" s="1"/>
      <c r="O23" s="1"/>
      <c r="P23" s="1"/>
      <c r="Q23" s="1"/>
      <c r="R23" s="1"/>
      <c r="S23" s="1"/>
      <c r="T23" s="1"/>
    </row>
    <row r="24" spans="14:20">
      <c r="N24" s="1"/>
      <c r="O24" s="1"/>
      <c r="P24" s="1"/>
      <c r="Q24" s="1"/>
      <c r="R24" s="1"/>
      <c r="S24" s="1"/>
      <c r="T24" s="1"/>
    </row>
    <row r="25" spans="14:20">
      <c r="N25" s="1"/>
      <c r="O25" s="1"/>
      <c r="P25" s="1"/>
      <c r="Q25" s="1"/>
      <c r="R25" s="1"/>
      <c r="S25" s="1"/>
      <c r="T25" s="1"/>
    </row>
    <row r="26" spans="14:20">
      <c r="N26" s="1"/>
      <c r="O26" s="1"/>
      <c r="P26" s="1"/>
      <c r="Q26" s="1"/>
      <c r="R26" s="1"/>
      <c r="S26" s="1"/>
      <c r="T26" s="1"/>
    </row>
    <row r="27" spans="14:20">
      <c r="N27" s="1"/>
      <c r="O27" s="1"/>
      <c r="P27" s="1"/>
      <c r="Q27" s="1"/>
      <c r="R27" s="1"/>
      <c r="S27" s="1"/>
      <c r="T27" s="1"/>
    </row>
    <row r="28" spans="14:20">
      <c r="N28" s="1"/>
      <c r="O28" s="1"/>
      <c r="P28" s="1"/>
      <c r="Q28" s="1"/>
      <c r="R28" s="1"/>
      <c r="S28" s="1"/>
      <c r="T28" s="1"/>
    </row>
    <row r="29" spans="14:20">
      <c r="N29" s="1"/>
      <c r="O29" s="1"/>
      <c r="P29" s="1"/>
      <c r="Q29" s="1"/>
      <c r="R29" s="1"/>
      <c r="S29" s="1"/>
      <c r="T29" s="1"/>
    </row>
    <row r="30" spans="14:20">
      <c r="N30" s="1"/>
      <c r="O30" s="1"/>
      <c r="P30" s="1"/>
      <c r="Q30" s="1"/>
      <c r="R30" s="1"/>
      <c r="S30" s="1"/>
      <c r="T30" s="1"/>
    </row>
    <row r="31" spans="14:20">
      <c r="N31" s="1"/>
      <c r="O31" s="1"/>
      <c r="P31" s="1"/>
      <c r="Q31" s="1"/>
      <c r="R31" s="1"/>
      <c r="S31" s="1"/>
      <c r="T31" s="1"/>
    </row>
    <row r="32" spans="14:20">
      <c r="N32" s="1"/>
      <c r="O32" s="1"/>
      <c r="P32" s="1"/>
      <c r="Q32" s="1"/>
      <c r="R32" s="1"/>
      <c r="S32" s="1"/>
      <c r="T32" s="1"/>
    </row>
  </sheetData>
  <mergeCells count="5">
    <mergeCell ref="C3:E3"/>
    <mergeCell ref="A4:A9"/>
    <mergeCell ref="A10:A15"/>
    <mergeCell ref="K6:K8"/>
    <mergeCell ref="K9:K10"/>
  </mergeCells>
  <pageMargins left="0.7" right="0.7" top="0.75" bottom="0.75" header="0.3" footer="0.3"/>
  <pageSetup paperSize="9" orientation="portrait"/>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59999389629810485"/>
  </sheetPr>
  <dimension ref="A1:AU48"/>
  <sheetViews>
    <sheetView showGridLines="0" zoomScale="80" zoomScaleNormal="80" workbookViewId="0">
      <selection activeCell="U54" sqref="U54"/>
    </sheetView>
  </sheetViews>
  <sheetFormatPr defaultColWidth="8.77734375" defaultRowHeight="13.2"/>
  <cols>
    <col min="2" max="14" width="5.6640625" customWidth="1"/>
    <col min="15" max="15" width="6.21875" customWidth="1"/>
    <col min="16" max="16" width="5.6640625" customWidth="1"/>
    <col min="17" max="17" width="6.33203125" customWidth="1"/>
    <col min="19" max="19" width="14.44140625" bestFit="1" customWidth="1"/>
    <col min="20" max="20" width="8.33203125" customWidth="1"/>
    <col min="21" max="32" width="4.6640625" customWidth="1"/>
    <col min="34" max="34" width="10.6640625" bestFit="1" customWidth="1"/>
    <col min="35" max="35" width="11.44140625" customWidth="1"/>
    <col min="36" max="47" width="3.6640625" customWidth="1"/>
  </cols>
  <sheetData>
    <row r="1" spans="1:47">
      <c r="A1" s="11"/>
    </row>
    <row r="5" spans="1:47">
      <c r="AQ5" s="1"/>
      <c r="AR5" s="1"/>
    </row>
    <row r="6" spans="1:47">
      <c r="AQ6" s="1"/>
      <c r="AR6" s="1"/>
    </row>
    <row r="7" spans="1:47">
      <c r="B7" s="700" t="s">
        <v>98</v>
      </c>
      <c r="C7" s="700"/>
      <c r="D7" s="701" t="s">
        <v>99</v>
      </c>
      <c r="E7" s="701"/>
      <c r="F7" s="702" t="s">
        <v>100</v>
      </c>
      <c r="G7" s="702"/>
      <c r="H7" s="702" t="s">
        <v>101</v>
      </c>
      <c r="I7" s="702"/>
      <c r="J7" s="703" t="s">
        <v>102</v>
      </c>
      <c r="K7" s="703"/>
      <c r="L7" s="698" t="s">
        <v>103</v>
      </c>
      <c r="M7" s="698"/>
      <c r="N7" s="699" t="s">
        <v>104</v>
      </c>
      <c r="O7" s="699"/>
      <c r="P7" s="699" t="s">
        <v>105</v>
      </c>
      <c r="Q7" s="699"/>
      <c r="U7" s="705" t="s">
        <v>69</v>
      </c>
      <c r="V7" s="705"/>
      <c r="W7" s="705" t="s">
        <v>71</v>
      </c>
      <c r="X7" s="705"/>
      <c r="Y7" s="705" t="s">
        <v>73</v>
      </c>
      <c r="Z7" s="705"/>
      <c r="AA7" s="143" t="s">
        <v>70</v>
      </c>
      <c r="AB7" s="143"/>
      <c r="AC7" s="143" t="s">
        <v>72</v>
      </c>
      <c r="AD7" s="143"/>
      <c r="AE7" s="143" t="s">
        <v>74</v>
      </c>
      <c r="AF7" s="143"/>
      <c r="AJ7" s="705" t="e">
        <f>Commodities!#REF!</f>
        <v>#REF!</v>
      </c>
      <c r="AK7" s="705"/>
      <c r="AL7" s="705" t="str">
        <f>Commodities!$C$7</f>
        <v>RHUDB</v>
      </c>
      <c r="AM7" s="705"/>
      <c r="AN7" s="705" t="str">
        <f>Commodities!$C$8</f>
        <v>RHRDB</v>
      </c>
      <c r="AO7" s="705"/>
      <c r="AP7" s="704" t="e">
        <f>Commodities!#REF!</f>
        <v>#REF!</v>
      </c>
      <c r="AQ7" s="704"/>
      <c r="AR7" s="704" t="str">
        <f>Commodities!$C$9</f>
        <v>RHUMB</v>
      </c>
      <c r="AS7" s="704"/>
      <c r="AT7" s="704" t="str">
        <f>Commodities!$C$10</f>
        <v>RHRMB</v>
      </c>
      <c r="AU7" s="704"/>
    </row>
    <row r="8" spans="1:47">
      <c r="C8" s="21"/>
      <c r="E8" s="21"/>
      <c r="G8" s="21"/>
      <c r="I8" s="21"/>
      <c r="K8" s="21"/>
      <c r="M8" s="21"/>
      <c r="O8" s="21"/>
      <c r="Q8" s="21"/>
      <c r="V8" s="21"/>
      <c r="X8" s="21"/>
      <c r="Z8" s="21"/>
      <c r="AB8" s="21"/>
      <c r="AD8" s="21"/>
      <c r="AF8" s="21"/>
      <c r="AJ8" s="1"/>
      <c r="AK8" s="21"/>
      <c r="AL8" s="1"/>
      <c r="AM8" s="21"/>
      <c r="AN8" s="1"/>
      <c r="AO8" s="21"/>
      <c r="AP8" s="1"/>
      <c r="AQ8" s="21"/>
      <c r="AR8" s="1"/>
      <c r="AS8" s="21"/>
      <c r="AT8" s="1"/>
      <c r="AU8" s="21"/>
    </row>
    <row r="9" spans="1:47">
      <c r="C9" s="21"/>
      <c r="E9" s="21"/>
      <c r="G9" s="21"/>
      <c r="I9" s="21"/>
      <c r="K9" s="21"/>
      <c r="M9" s="21"/>
      <c r="O9" s="21"/>
      <c r="Q9" s="21"/>
      <c r="V9" s="21"/>
      <c r="X9" s="21"/>
      <c r="Z9" s="21"/>
      <c r="AB9" s="21"/>
      <c r="AD9" s="21"/>
      <c r="AF9" s="21"/>
      <c r="AJ9" s="1"/>
      <c r="AK9" s="21"/>
      <c r="AL9" s="1"/>
      <c r="AM9" s="21"/>
      <c r="AN9" s="1"/>
      <c r="AO9" s="21"/>
      <c r="AP9" s="1"/>
      <c r="AQ9" s="21"/>
      <c r="AR9" s="1"/>
      <c r="AS9" s="21"/>
      <c r="AT9" s="1"/>
      <c r="AU9" s="21"/>
    </row>
    <row r="10" spans="1:47" ht="13.8" thickBot="1">
      <c r="C10" s="21"/>
      <c r="E10" s="21"/>
      <c r="G10" s="21"/>
      <c r="I10" s="21"/>
      <c r="K10" s="21"/>
      <c r="M10" s="21"/>
      <c r="O10" s="21"/>
      <c r="Q10" s="21"/>
      <c r="T10" s="1"/>
      <c r="U10" s="1"/>
      <c r="V10" s="21"/>
      <c r="X10" s="21"/>
      <c r="Z10" s="21"/>
      <c r="AB10" s="21"/>
      <c r="AD10" s="21"/>
      <c r="AF10" s="21"/>
      <c r="AJ10" s="1"/>
      <c r="AK10" s="21"/>
      <c r="AL10" s="1"/>
      <c r="AM10" s="21"/>
      <c r="AN10" s="1"/>
      <c r="AO10" s="21"/>
      <c r="AP10" s="1"/>
      <c r="AQ10" s="21"/>
      <c r="AR10" s="1"/>
      <c r="AS10" s="21"/>
      <c r="AT10" s="1"/>
      <c r="AU10" s="21"/>
    </row>
    <row r="11" spans="1:47" ht="13.8" thickBot="1">
      <c r="C11" s="29"/>
      <c r="D11" s="22"/>
      <c r="E11" s="29"/>
      <c r="F11" s="22"/>
      <c r="G11" s="29"/>
      <c r="H11" s="22"/>
      <c r="I11" s="29"/>
      <c r="J11" s="22"/>
      <c r="K11" s="29"/>
      <c r="L11" s="22"/>
      <c r="M11" s="29"/>
      <c r="N11" s="22"/>
      <c r="O11" s="29"/>
      <c r="P11" s="22"/>
      <c r="Q11" s="29"/>
      <c r="R11" s="39"/>
      <c r="S11" s="41" t="s">
        <v>82</v>
      </c>
      <c r="T11" s="40"/>
      <c r="U11" s="36"/>
      <c r="V11" s="21"/>
      <c r="W11" s="1"/>
      <c r="X11" s="21"/>
      <c r="Y11" s="1"/>
      <c r="Z11" s="21"/>
      <c r="AA11" s="31"/>
      <c r="AB11" s="21"/>
      <c r="AD11" s="21"/>
      <c r="AF11" s="21"/>
      <c r="AJ11" s="1"/>
      <c r="AK11" s="21"/>
      <c r="AL11" s="1"/>
      <c r="AM11" s="21"/>
      <c r="AN11" s="1"/>
      <c r="AO11" s="21"/>
      <c r="AP11" s="1"/>
      <c r="AQ11" s="21"/>
      <c r="AR11" s="1"/>
      <c r="AS11" s="21"/>
      <c r="AT11" s="1"/>
      <c r="AU11" s="21"/>
    </row>
    <row r="12" spans="1:47" ht="15" thickBot="1">
      <c r="C12" s="21"/>
      <c r="E12" s="21"/>
      <c r="G12" s="21"/>
      <c r="I12" s="21"/>
      <c r="K12" s="21"/>
      <c r="M12" s="21"/>
      <c r="O12" s="21"/>
      <c r="Q12" s="21"/>
      <c r="V12" s="21"/>
      <c r="X12" s="21"/>
      <c r="Z12" s="29"/>
      <c r="AA12" s="22"/>
      <c r="AB12" s="29"/>
      <c r="AC12" s="22"/>
      <c r="AD12" s="29"/>
      <c r="AE12" s="22"/>
      <c r="AF12" s="29"/>
      <c r="AG12" s="39"/>
      <c r="AH12" s="46" t="s">
        <v>52</v>
      </c>
      <c r="AI12" s="32"/>
      <c r="AJ12" s="33"/>
      <c r="AK12" s="30"/>
      <c r="AL12" s="3"/>
      <c r="AM12" s="30"/>
      <c r="AN12" s="3"/>
      <c r="AO12" s="30"/>
      <c r="AP12" s="3"/>
      <c r="AQ12" s="30"/>
      <c r="AR12" s="3"/>
      <c r="AS12" s="30"/>
      <c r="AT12" s="3"/>
      <c r="AU12" s="30"/>
    </row>
    <row r="13" spans="1:47" ht="13.8" thickBot="1">
      <c r="C13" s="21"/>
      <c r="E13" s="29"/>
      <c r="F13" s="22"/>
      <c r="G13" s="29"/>
      <c r="H13" s="22"/>
      <c r="I13" s="29"/>
      <c r="J13" s="22"/>
      <c r="K13" s="29"/>
      <c r="L13" s="22"/>
      <c r="M13" s="29"/>
      <c r="N13" s="22"/>
      <c r="O13" s="29"/>
      <c r="P13" s="22"/>
      <c r="Q13" s="29"/>
      <c r="R13" s="39"/>
      <c r="S13" s="42" t="s">
        <v>83</v>
      </c>
      <c r="T13" s="35"/>
      <c r="U13" s="36"/>
      <c r="V13" s="30"/>
      <c r="W13" s="6"/>
      <c r="X13" s="30"/>
      <c r="Y13" s="6"/>
      <c r="Z13" s="30"/>
      <c r="AA13" s="6"/>
      <c r="AB13" s="30"/>
      <c r="AC13" s="6"/>
      <c r="AD13" s="30"/>
      <c r="AE13" s="6"/>
      <c r="AF13" s="30"/>
      <c r="AI13" s="6"/>
      <c r="AJ13" s="3"/>
      <c r="AK13" s="30"/>
      <c r="AL13" s="34"/>
      <c r="AM13" s="30"/>
      <c r="AN13" s="3"/>
      <c r="AO13" s="30"/>
      <c r="AP13" s="3"/>
      <c r="AQ13" s="30"/>
      <c r="AR13" s="3"/>
      <c r="AS13" s="30"/>
      <c r="AT13" s="3"/>
      <c r="AU13" s="30"/>
    </row>
    <row r="14" spans="1:47" ht="13.8" thickBot="1">
      <c r="C14" s="21"/>
      <c r="E14" s="21"/>
      <c r="G14" s="21"/>
      <c r="I14" s="21"/>
      <c r="K14" s="21"/>
      <c r="M14" s="21"/>
      <c r="O14" s="21"/>
      <c r="Q14" s="21"/>
      <c r="T14" s="6"/>
      <c r="U14" s="6"/>
      <c r="V14" s="30"/>
      <c r="W14" s="6"/>
      <c r="X14" s="30"/>
      <c r="Y14" s="6"/>
      <c r="Z14" s="37"/>
      <c r="AA14" s="26"/>
      <c r="AB14" s="37"/>
      <c r="AC14" s="26"/>
      <c r="AD14" s="37"/>
      <c r="AE14" s="26"/>
      <c r="AF14" s="37"/>
      <c r="AG14" s="39"/>
      <c r="AH14" s="46" t="s">
        <v>53</v>
      </c>
      <c r="AI14" s="35"/>
      <c r="AJ14" s="36"/>
      <c r="AK14" s="30"/>
      <c r="AL14" s="3"/>
      <c r="AM14" s="30"/>
      <c r="AN14" s="3"/>
      <c r="AO14" s="30"/>
      <c r="AP14" s="3"/>
      <c r="AQ14" s="30"/>
      <c r="AR14" s="3"/>
      <c r="AS14" s="30"/>
      <c r="AT14" s="3"/>
      <c r="AU14" s="30"/>
    </row>
    <row r="15" spans="1:47" ht="13.8" thickBot="1">
      <c r="C15" s="21"/>
      <c r="E15" s="21"/>
      <c r="G15" s="29"/>
      <c r="H15" s="22"/>
      <c r="I15" s="29"/>
      <c r="J15" s="22"/>
      <c r="K15" s="29"/>
      <c r="L15" s="22"/>
      <c r="M15" s="29"/>
      <c r="N15" s="22"/>
      <c r="O15" s="29"/>
      <c r="P15" s="22"/>
      <c r="Q15" s="29"/>
      <c r="R15" s="39"/>
      <c r="S15" s="43" t="s">
        <v>84</v>
      </c>
      <c r="T15" s="35"/>
      <c r="U15" s="36"/>
      <c r="V15" s="30"/>
      <c r="W15" s="6"/>
      <c r="X15" s="30"/>
      <c r="Y15" s="6"/>
      <c r="Z15" s="30"/>
      <c r="AA15" s="6"/>
      <c r="AB15" s="30"/>
      <c r="AC15" s="6"/>
      <c r="AD15" s="30"/>
      <c r="AE15" s="6"/>
      <c r="AF15" s="30"/>
      <c r="AI15" s="6"/>
      <c r="AJ15" s="3"/>
      <c r="AK15" s="30"/>
      <c r="AL15" s="34"/>
      <c r="AM15" s="30"/>
      <c r="AN15" s="3"/>
      <c r="AO15" s="30"/>
      <c r="AP15" s="3"/>
      <c r="AQ15" s="30"/>
      <c r="AR15" s="3"/>
      <c r="AS15" s="30"/>
      <c r="AT15" s="3"/>
      <c r="AU15" s="30"/>
    </row>
    <row r="16" spans="1:47" ht="13.8" thickBot="1">
      <c r="C16" s="21"/>
      <c r="E16" s="21"/>
      <c r="G16" s="21"/>
      <c r="I16" s="21"/>
      <c r="K16" s="21"/>
      <c r="M16" s="21"/>
      <c r="O16" s="21"/>
      <c r="Q16" s="21"/>
      <c r="T16" s="6"/>
      <c r="U16" s="6"/>
      <c r="V16" s="30"/>
      <c r="W16" s="6"/>
      <c r="X16" s="37"/>
      <c r="Y16" s="26"/>
      <c r="Z16" s="37"/>
      <c r="AA16" s="26"/>
      <c r="AB16" s="37"/>
      <c r="AC16" s="26"/>
      <c r="AD16" s="37"/>
      <c r="AE16" s="26"/>
      <c r="AF16" s="37"/>
      <c r="AG16" s="39"/>
      <c r="AH16" s="46" t="s">
        <v>54</v>
      </c>
      <c r="AI16" s="35"/>
      <c r="AJ16" s="26"/>
      <c r="AK16" s="37"/>
      <c r="AL16" s="36"/>
      <c r="AM16" s="30"/>
      <c r="AN16" s="3"/>
      <c r="AO16" s="30"/>
      <c r="AP16" s="3"/>
      <c r="AQ16" s="30"/>
      <c r="AR16" s="3"/>
      <c r="AS16" s="30"/>
      <c r="AT16" s="3"/>
      <c r="AU16" s="30"/>
    </row>
    <row r="17" spans="3:47" ht="13.8" thickBot="1">
      <c r="C17" s="21"/>
      <c r="E17" s="21"/>
      <c r="G17" s="21"/>
      <c r="I17" s="29"/>
      <c r="J17" s="22"/>
      <c r="K17" s="29"/>
      <c r="L17" s="22"/>
      <c r="M17" s="29"/>
      <c r="N17" s="22"/>
      <c r="O17" s="29"/>
      <c r="P17" s="22"/>
      <c r="Q17" s="29"/>
      <c r="R17" s="39"/>
      <c r="S17" s="43" t="s">
        <v>85</v>
      </c>
      <c r="T17" s="35"/>
      <c r="U17" s="36"/>
      <c r="V17" s="30"/>
      <c r="W17" s="6"/>
      <c r="X17" s="30"/>
      <c r="Y17" s="6"/>
      <c r="Z17" s="30"/>
      <c r="AA17" s="6"/>
      <c r="AB17" s="30"/>
      <c r="AC17" s="6"/>
      <c r="AD17" s="30"/>
      <c r="AE17" s="6"/>
      <c r="AF17" s="30"/>
      <c r="AI17" s="6"/>
      <c r="AJ17" s="3"/>
      <c r="AK17" s="30"/>
      <c r="AL17" s="3"/>
      <c r="AM17" s="30"/>
      <c r="AN17" s="3"/>
      <c r="AO17" s="30"/>
      <c r="AP17" s="3"/>
      <c r="AQ17" s="30"/>
      <c r="AR17" s="3"/>
      <c r="AS17" s="30"/>
      <c r="AT17" s="3"/>
      <c r="AU17" s="30"/>
    </row>
    <row r="18" spans="3:47" ht="13.8" thickBot="1">
      <c r="C18" s="21"/>
      <c r="E18" s="21"/>
      <c r="G18" s="21"/>
      <c r="I18" s="21"/>
      <c r="K18" s="21"/>
      <c r="M18" s="21"/>
      <c r="O18" s="21"/>
      <c r="Q18" s="21"/>
      <c r="T18" s="6"/>
      <c r="U18" s="6"/>
      <c r="V18" s="30"/>
      <c r="W18" s="6"/>
      <c r="X18" s="37"/>
      <c r="Y18" s="26"/>
      <c r="Z18" s="37"/>
      <c r="AA18" s="26"/>
      <c r="AB18" s="37"/>
      <c r="AC18" s="26"/>
      <c r="AD18" s="37"/>
      <c r="AE18" s="26"/>
      <c r="AF18" s="37"/>
      <c r="AG18" s="39"/>
      <c r="AH18" s="46" t="s">
        <v>55</v>
      </c>
      <c r="AI18" s="35"/>
      <c r="AJ18" s="26"/>
      <c r="AK18" s="37"/>
      <c r="AL18" s="36"/>
      <c r="AM18" s="30"/>
      <c r="AN18" s="3"/>
      <c r="AO18" s="30"/>
      <c r="AP18" s="3"/>
      <c r="AQ18" s="30"/>
      <c r="AR18" s="3"/>
      <c r="AS18" s="30"/>
      <c r="AT18" s="3"/>
      <c r="AU18" s="30"/>
    </row>
    <row r="19" spans="3:47" ht="13.8" thickBot="1">
      <c r="C19" s="21"/>
      <c r="E19" s="21"/>
      <c r="G19" s="21"/>
      <c r="I19" s="21"/>
      <c r="K19" s="21"/>
      <c r="M19" s="21"/>
      <c r="O19" s="29"/>
      <c r="P19" s="22"/>
      <c r="Q19" s="29"/>
      <c r="R19" s="39"/>
      <c r="S19" s="28" t="s">
        <v>86</v>
      </c>
      <c r="T19" s="35"/>
      <c r="U19" s="26"/>
      <c r="V19" s="37"/>
      <c r="W19" s="36"/>
      <c r="X19" s="30"/>
      <c r="Y19" s="6"/>
      <c r="Z19" s="30"/>
      <c r="AA19" s="6"/>
      <c r="AB19" s="30"/>
      <c r="AC19" s="6"/>
      <c r="AD19" s="30"/>
      <c r="AE19" s="6"/>
      <c r="AF19" s="30"/>
      <c r="AI19" s="6"/>
      <c r="AJ19" s="3"/>
      <c r="AK19" s="30"/>
      <c r="AL19" s="34"/>
      <c r="AM19" s="30"/>
      <c r="AN19" s="3"/>
      <c r="AO19" s="30"/>
      <c r="AP19" s="3"/>
      <c r="AQ19" s="30"/>
      <c r="AR19" s="3"/>
      <c r="AS19" s="30"/>
      <c r="AT19" s="3"/>
      <c r="AU19" s="30"/>
    </row>
    <row r="20" spans="3:47" ht="13.8" thickBot="1">
      <c r="C20" s="21"/>
      <c r="E20" s="21"/>
      <c r="G20" s="21"/>
      <c r="I20" s="21"/>
      <c r="K20" s="21"/>
      <c r="M20" s="21"/>
      <c r="O20" s="21"/>
      <c r="Q20" s="21"/>
      <c r="T20" s="6"/>
      <c r="U20" s="6"/>
      <c r="V20" s="37"/>
      <c r="W20" s="26"/>
      <c r="X20" s="37"/>
      <c r="Y20" s="26"/>
      <c r="Z20" s="37"/>
      <c r="AA20" s="26"/>
      <c r="AB20" s="37"/>
      <c r="AC20" s="26"/>
      <c r="AD20" s="37"/>
      <c r="AE20" s="26"/>
      <c r="AF20" s="37"/>
      <c r="AG20" s="39"/>
      <c r="AH20" s="46" t="s">
        <v>56</v>
      </c>
      <c r="AI20" s="35"/>
      <c r="AJ20" s="26"/>
      <c r="AK20" s="37"/>
      <c r="AL20" s="26"/>
      <c r="AM20" s="37"/>
      <c r="AN20" s="36"/>
      <c r="AO20" s="30"/>
      <c r="AP20" s="3"/>
      <c r="AQ20" s="30"/>
      <c r="AR20" s="3"/>
      <c r="AS20" s="30"/>
      <c r="AT20" s="3"/>
      <c r="AU20" s="30"/>
    </row>
    <row r="21" spans="3:47" ht="13.8" thickBot="1">
      <c r="C21" s="21"/>
      <c r="E21" s="21"/>
      <c r="G21" s="21"/>
      <c r="I21" s="21"/>
      <c r="K21" s="21"/>
      <c r="M21" s="21"/>
      <c r="O21" s="21"/>
      <c r="Q21" s="29"/>
      <c r="R21" s="39"/>
      <c r="S21" s="28" t="s">
        <v>87</v>
      </c>
      <c r="T21" s="35"/>
      <c r="U21" s="26"/>
      <c r="V21" s="37"/>
      <c r="W21" s="26"/>
      <c r="X21" s="37"/>
      <c r="Y21" s="36"/>
      <c r="Z21" s="30"/>
      <c r="AA21" s="6"/>
      <c r="AB21" s="30"/>
      <c r="AC21" s="6"/>
      <c r="AD21" s="30"/>
      <c r="AE21" s="6"/>
      <c r="AF21" s="30"/>
      <c r="AI21" s="6"/>
      <c r="AJ21" s="3"/>
      <c r="AK21" s="30"/>
      <c r="AL21" s="34"/>
      <c r="AM21" s="30"/>
      <c r="AN21" s="3"/>
      <c r="AO21" s="30"/>
      <c r="AP21" s="3"/>
      <c r="AQ21" s="30"/>
      <c r="AR21" s="3"/>
      <c r="AS21" s="30"/>
      <c r="AT21" s="3"/>
      <c r="AU21" s="30"/>
    </row>
    <row r="22" spans="3:47" ht="13.8" thickBot="1">
      <c r="C22" s="21"/>
      <c r="E22" s="21"/>
      <c r="G22" s="21"/>
      <c r="I22" s="21"/>
      <c r="K22" s="21"/>
      <c r="M22" s="21"/>
      <c r="O22" s="21"/>
      <c r="Q22" s="21"/>
      <c r="T22" s="6"/>
      <c r="U22" s="6"/>
      <c r="V22" s="37"/>
      <c r="W22" s="26"/>
      <c r="X22" s="37"/>
      <c r="Y22" s="26"/>
      <c r="Z22" s="37"/>
      <c r="AA22" s="26"/>
      <c r="AB22" s="37"/>
      <c r="AC22" s="26"/>
      <c r="AD22" s="37"/>
      <c r="AE22" s="26"/>
      <c r="AF22" s="37"/>
      <c r="AG22" s="39"/>
      <c r="AH22" s="46" t="s">
        <v>57</v>
      </c>
      <c r="AI22" s="35"/>
      <c r="AJ22" s="26"/>
      <c r="AK22" s="37"/>
      <c r="AL22" s="26"/>
      <c r="AM22" s="37"/>
      <c r="AN22" s="36"/>
      <c r="AO22" s="30"/>
      <c r="AP22" s="3"/>
      <c r="AQ22" s="30"/>
      <c r="AR22" s="3"/>
      <c r="AS22" s="30"/>
      <c r="AT22" s="3"/>
      <c r="AU22" s="30"/>
    </row>
    <row r="23" spans="3:47" ht="13.8" thickBot="1">
      <c r="C23" s="21"/>
      <c r="E23" s="21"/>
      <c r="G23" s="21"/>
      <c r="I23" s="21"/>
      <c r="K23" s="29"/>
      <c r="L23" s="22"/>
      <c r="M23" s="29"/>
      <c r="N23" s="22"/>
      <c r="O23" s="29"/>
      <c r="P23" s="22"/>
      <c r="Q23" s="29"/>
      <c r="R23" s="39"/>
      <c r="S23" s="44" t="s">
        <v>88</v>
      </c>
      <c r="T23" s="35"/>
      <c r="U23" s="36"/>
      <c r="V23" s="30"/>
      <c r="W23" s="6"/>
      <c r="X23" s="30"/>
      <c r="Y23" s="6"/>
      <c r="Z23" s="30"/>
      <c r="AA23" s="6"/>
      <c r="AB23" s="30"/>
      <c r="AC23" s="6"/>
      <c r="AD23" s="30"/>
      <c r="AE23" s="6"/>
      <c r="AF23" s="30"/>
      <c r="AI23" s="6"/>
      <c r="AJ23" s="3"/>
      <c r="AK23" s="30"/>
      <c r="AL23" s="3"/>
      <c r="AM23" s="30"/>
      <c r="AN23" s="3"/>
      <c r="AO23" s="30"/>
      <c r="AP23" s="3"/>
      <c r="AQ23" s="30"/>
      <c r="AR23" s="3"/>
      <c r="AS23" s="30"/>
      <c r="AT23" s="3"/>
      <c r="AU23" s="30"/>
    </row>
    <row r="24" spans="3:47" ht="13.8" thickBot="1">
      <c r="C24" s="21"/>
      <c r="E24" s="21"/>
      <c r="G24" s="21"/>
      <c r="I24" s="21"/>
      <c r="K24" s="21"/>
      <c r="M24" s="21"/>
      <c r="O24" s="21"/>
      <c r="Q24" s="21"/>
      <c r="T24" s="6"/>
      <c r="U24" s="6"/>
      <c r="V24" s="30"/>
      <c r="W24" s="6"/>
      <c r="X24" s="30"/>
      <c r="Y24" s="6"/>
      <c r="Z24" s="30"/>
      <c r="AA24" s="6"/>
      <c r="AB24" s="37"/>
      <c r="AC24" s="26"/>
      <c r="AD24" s="37"/>
      <c r="AE24" s="26"/>
      <c r="AF24" s="37"/>
      <c r="AG24" s="39"/>
      <c r="AH24" s="143" t="s">
        <v>58</v>
      </c>
      <c r="AI24" s="35"/>
      <c r="AJ24" s="26"/>
      <c r="AK24" s="37"/>
      <c r="AL24" s="38"/>
      <c r="AM24" s="37"/>
      <c r="AN24" s="26"/>
      <c r="AO24" s="37"/>
      <c r="AP24" s="36"/>
      <c r="AQ24" s="30"/>
      <c r="AR24" s="3"/>
      <c r="AS24" s="30"/>
      <c r="AT24" s="3"/>
      <c r="AU24" s="30"/>
    </row>
    <row r="25" spans="3:47" ht="13.8" thickBot="1">
      <c r="C25" s="21"/>
      <c r="E25" s="21"/>
      <c r="G25" s="21"/>
      <c r="I25" s="21"/>
      <c r="K25" s="21"/>
      <c r="M25" s="29"/>
      <c r="N25" s="22"/>
      <c r="O25" s="29"/>
      <c r="P25" s="22"/>
      <c r="Q25" s="29"/>
      <c r="R25" s="39"/>
      <c r="S25" s="45" t="s">
        <v>89</v>
      </c>
      <c r="T25" s="35"/>
      <c r="U25" s="36"/>
      <c r="V25" s="30"/>
      <c r="W25" s="6"/>
      <c r="X25" s="30"/>
      <c r="Y25" s="6"/>
      <c r="Z25" s="30"/>
      <c r="AA25" s="6"/>
      <c r="AB25" s="30"/>
      <c r="AC25" s="6"/>
      <c r="AD25" s="30"/>
      <c r="AE25" s="6"/>
      <c r="AF25" s="30"/>
      <c r="AI25" s="6"/>
      <c r="AJ25" s="3"/>
      <c r="AK25" s="30"/>
      <c r="AL25" s="34"/>
      <c r="AM25" s="30"/>
      <c r="AN25" s="3"/>
      <c r="AO25" s="30"/>
      <c r="AP25" s="3"/>
      <c r="AQ25" s="30"/>
      <c r="AR25" s="3"/>
      <c r="AS25" s="30"/>
      <c r="AT25" s="3"/>
      <c r="AU25" s="30"/>
    </row>
    <row r="26" spans="3:47" ht="13.8" thickBot="1">
      <c r="C26" s="21"/>
      <c r="E26" s="21"/>
      <c r="G26" s="21"/>
      <c r="I26" s="21"/>
      <c r="K26" s="21"/>
      <c r="M26" s="21"/>
      <c r="O26" s="21"/>
      <c r="Q26" s="21"/>
      <c r="T26" s="6"/>
      <c r="U26" s="6"/>
      <c r="V26" s="30"/>
      <c r="W26" s="6"/>
      <c r="X26" s="30"/>
      <c r="Y26" s="6"/>
      <c r="Z26" s="30"/>
      <c r="AA26" s="6"/>
      <c r="AB26" s="37"/>
      <c r="AC26" s="26"/>
      <c r="AD26" s="37"/>
      <c r="AE26" s="26"/>
      <c r="AF26" s="37"/>
      <c r="AG26" s="39"/>
      <c r="AH26" s="144" t="s">
        <v>59</v>
      </c>
      <c r="AI26" s="35"/>
      <c r="AJ26" s="26"/>
      <c r="AK26" s="37"/>
      <c r="AL26" s="26"/>
      <c r="AM26" s="37"/>
      <c r="AN26" s="26"/>
      <c r="AO26" s="37"/>
      <c r="AP26" s="36"/>
      <c r="AQ26" s="30"/>
      <c r="AR26" s="3"/>
      <c r="AS26" s="30"/>
      <c r="AT26" s="3"/>
      <c r="AU26" s="30"/>
    </row>
    <row r="27" spans="3:47" ht="13.8" thickBot="1">
      <c r="C27" s="29"/>
      <c r="D27" s="22"/>
      <c r="E27" s="29"/>
      <c r="F27" s="22"/>
      <c r="G27" s="29"/>
      <c r="H27" s="22"/>
      <c r="I27" s="29"/>
      <c r="J27" s="22"/>
      <c r="K27" s="29"/>
      <c r="L27" s="22"/>
      <c r="M27" s="29"/>
      <c r="N27" s="22"/>
      <c r="O27" s="29"/>
      <c r="P27" s="22"/>
      <c r="Q27" s="29"/>
      <c r="R27" s="39"/>
      <c r="S27" s="41" t="s">
        <v>90</v>
      </c>
      <c r="T27" s="35"/>
      <c r="U27" s="26"/>
      <c r="V27" s="37"/>
      <c r="W27" s="26"/>
      <c r="X27" s="37"/>
      <c r="Y27" s="26"/>
      <c r="Z27" s="37"/>
      <c r="AA27" s="36"/>
      <c r="AB27" s="30"/>
      <c r="AC27" s="6"/>
      <c r="AD27" s="30"/>
      <c r="AE27" s="6"/>
      <c r="AF27" s="30"/>
      <c r="AI27" s="6"/>
      <c r="AJ27" s="3"/>
      <c r="AK27" s="30"/>
      <c r="AL27" s="34"/>
      <c r="AM27" s="30"/>
      <c r="AN27" s="3"/>
      <c r="AO27" s="30"/>
      <c r="AP27" s="3"/>
      <c r="AQ27" s="30"/>
      <c r="AR27" s="3"/>
      <c r="AS27" s="30"/>
      <c r="AT27" s="3"/>
      <c r="AU27" s="30"/>
    </row>
    <row r="28" spans="3:47" ht="13.8" thickBot="1">
      <c r="C28" s="21"/>
      <c r="E28" s="21"/>
      <c r="G28" s="21"/>
      <c r="I28" s="21"/>
      <c r="K28" s="21"/>
      <c r="M28" s="21"/>
      <c r="O28" s="21"/>
      <c r="Q28" s="21"/>
      <c r="T28" s="6"/>
      <c r="U28" s="6"/>
      <c r="V28" s="30"/>
      <c r="W28" s="6"/>
      <c r="X28" s="30"/>
      <c r="Y28" s="6"/>
      <c r="Z28" s="30"/>
      <c r="AA28" s="6"/>
      <c r="AB28" s="30"/>
      <c r="AC28" s="6"/>
      <c r="AD28" s="37"/>
      <c r="AE28" s="26"/>
      <c r="AF28" s="37"/>
      <c r="AG28" s="39"/>
      <c r="AH28" s="144" t="s">
        <v>60</v>
      </c>
      <c r="AI28" s="35"/>
      <c r="AJ28" s="26"/>
      <c r="AK28" s="37"/>
      <c r="AL28" s="38"/>
      <c r="AM28" s="37"/>
      <c r="AN28" s="26"/>
      <c r="AO28" s="37"/>
      <c r="AP28" s="26"/>
      <c r="AQ28" s="37"/>
      <c r="AR28" s="36"/>
      <c r="AS28" s="30"/>
      <c r="AT28" s="3"/>
      <c r="AU28" s="30"/>
    </row>
    <row r="29" spans="3:47" ht="13.8" thickBot="1">
      <c r="C29" s="21"/>
      <c r="E29" s="29"/>
      <c r="F29" s="22"/>
      <c r="G29" s="29"/>
      <c r="H29" s="22"/>
      <c r="I29" s="29"/>
      <c r="J29" s="22"/>
      <c r="K29" s="29"/>
      <c r="L29" s="22"/>
      <c r="M29" s="29"/>
      <c r="N29" s="22"/>
      <c r="O29" s="29"/>
      <c r="P29" s="22"/>
      <c r="Q29" s="29"/>
      <c r="R29" s="39"/>
      <c r="S29" s="42" t="s">
        <v>91</v>
      </c>
      <c r="T29" s="35"/>
      <c r="U29" s="26"/>
      <c r="V29" s="37"/>
      <c r="W29" s="26"/>
      <c r="X29" s="37"/>
      <c r="Y29" s="26"/>
      <c r="Z29" s="37"/>
      <c r="AA29" s="36"/>
      <c r="AB29" s="30"/>
      <c r="AC29" s="6"/>
      <c r="AD29" s="30"/>
      <c r="AE29" s="6"/>
      <c r="AF29" s="30"/>
      <c r="AI29" s="6"/>
      <c r="AJ29" s="3"/>
      <c r="AK29" s="30"/>
      <c r="AL29" s="3"/>
      <c r="AM29" s="30"/>
      <c r="AN29" s="3"/>
      <c r="AO29" s="30"/>
      <c r="AP29" s="3"/>
      <c r="AQ29" s="30"/>
      <c r="AR29" s="3"/>
      <c r="AS29" s="30"/>
      <c r="AT29" s="3"/>
      <c r="AU29" s="30"/>
    </row>
    <row r="30" spans="3:47" ht="13.8" thickBot="1">
      <c r="C30" s="21"/>
      <c r="E30" s="21"/>
      <c r="G30" s="21"/>
      <c r="I30" s="21"/>
      <c r="K30" s="21"/>
      <c r="M30" s="21"/>
      <c r="O30" s="21"/>
      <c r="Q30" s="21"/>
      <c r="T30" s="6"/>
      <c r="U30" s="6"/>
      <c r="V30" s="30"/>
      <c r="W30" s="6"/>
      <c r="X30" s="30"/>
      <c r="Y30" s="6"/>
      <c r="Z30" s="30"/>
      <c r="AA30" s="6"/>
      <c r="AB30" s="30"/>
      <c r="AC30" s="6"/>
      <c r="AD30" s="37"/>
      <c r="AE30" s="26"/>
      <c r="AF30" s="37"/>
      <c r="AG30" s="39"/>
      <c r="AH30" s="144" t="s">
        <v>61</v>
      </c>
      <c r="AI30" s="35"/>
      <c r="AJ30" s="26"/>
      <c r="AK30" s="37"/>
      <c r="AL30" s="26"/>
      <c r="AM30" s="37"/>
      <c r="AN30" s="26"/>
      <c r="AO30" s="37"/>
      <c r="AP30" s="26"/>
      <c r="AQ30" s="37"/>
      <c r="AR30" s="36"/>
      <c r="AS30" s="30"/>
      <c r="AT30" s="3"/>
      <c r="AU30" s="30"/>
    </row>
    <row r="31" spans="3:47" ht="13.8" thickBot="1">
      <c r="C31" s="21"/>
      <c r="E31" s="21"/>
      <c r="G31" s="29"/>
      <c r="H31" s="22"/>
      <c r="I31" s="29"/>
      <c r="J31" s="22"/>
      <c r="K31" s="29"/>
      <c r="L31" s="22"/>
      <c r="M31" s="29"/>
      <c r="N31" s="22"/>
      <c r="O31" s="29"/>
      <c r="P31" s="22"/>
      <c r="Q31" s="29"/>
      <c r="R31" s="39"/>
      <c r="S31" s="43" t="s">
        <v>92</v>
      </c>
      <c r="T31" s="35"/>
      <c r="U31" s="26"/>
      <c r="V31" s="37"/>
      <c r="W31" s="26"/>
      <c r="X31" s="37"/>
      <c r="Y31" s="26"/>
      <c r="Z31" s="37"/>
      <c r="AA31" s="36"/>
      <c r="AB31" s="30"/>
      <c r="AC31" s="6"/>
      <c r="AD31" s="30"/>
      <c r="AE31" s="6"/>
      <c r="AF31" s="30"/>
      <c r="AI31" s="6"/>
      <c r="AJ31" s="3"/>
      <c r="AK31" s="30"/>
      <c r="AL31" s="3"/>
      <c r="AM31" s="30"/>
      <c r="AN31" s="3"/>
      <c r="AO31" s="30"/>
      <c r="AP31" s="3"/>
      <c r="AQ31" s="30"/>
      <c r="AR31" s="3"/>
      <c r="AS31" s="30"/>
      <c r="AT31" s="3"/>
      <c r="AU31" s="30"/>
    </row>
    <row r="32" spans="3:47" ht="13.8" thickBot="1">
      <c r="C32" s="21"/>
      <c r="E32" s="21"/>
      <c r="G32" s="21"/>
      <c r="I32" s="21"/>
      <c r="K32" s="21"/>
      <c r="M32" s="21"/>
      <c r="O32" s="21"/>
      <c r="Q32" s="21"/>
      <c r="T32" s="6"/>
      <c r="U32" s="6"/>
      <c r="V32" s="30"/>
      <c r="W32" s="6"/>
      <c r="X32" s="30"/>
      <c r="Y32" s="6"/>
      <c r="Z32" s="30"/>
      <c r="AA32" s="6"/>
      <c r="AB32" s="30"/>
      <c r="AC32" s="6"/>
      <c r="AD32" s="37"/>
      <c r="AE32" s="26"/>
      <c r="AF32" s="37"/>
      <c r="AG32" s="39"/>
      <c r="AH32" s="144" t="s">
        <v>62</v>
      </c>
      <c r="AI32" s="35"/>
      <c r="AJ32" s="26"/>
      <c r="AK32" s="37"/>
      <c r="AL32" s="26"/>
      <c r="AM32" s="37"/>
      <c r="AN32" s="26"/>
      <c r="AO32" s="37"/>
      <c r="AP32" s="26"/>
      <c r="AQ32" s="37"/>
      <c r="AR32" s="26"/>
      <c r="AS32" s="37"/>
      <c r="AT32" s="36"/>
      <c r="AU32" s="30"/>
    </row>
    <row r="33" spans="3:47" ht="13.8" thickBot="1">
      <c r="C33" s="21"/>
      <c r="E33" s="21"/>
      <c r="G33" s="21"/>
      <c r="I33" s="29"/>
      <c r="J33" s="22"/>
      <c r="K33" s="29"/>
      <c r="L33" s="22"/>
      <c r="M33" s="29"/>
      <c r="N33" s="22"/>
      <c r="O33" s="29"/>
      <c r="P33" s="22"/>
      <c r="Q33" s="29"/>
      <c r="R33" s="39"/>
      <c r="S33" s="43" t="s">
        <v>93</v>
      </c>
      <c r="T33" s="35"/>
      <c r="U33" s="26"/>
      <c r="V33" s="37"/>
      <c r="W33" s="26"/>
      <c r="X33" s="37"/>
      <c r="Y33" s="26"/>
      <c r="Z33" s="37"/>
      <c r="AA33" s="36"/>
      <c r="AB33" s="30"/>
      <c r="AC33" s="6"/>
      <c r="AD33" s="30"/>
      <c r="AE33" s="6"/>
      <c r="AF33" s="30"/>
      <c r="AI33" s="6"/>
      <c r="AJ33" s="3"/>
      <c r="AK33" s="30"/>
      <c r="AL33" s="3"/>
      <c r="AM33" s="30"/>
      <c r="AN33" s="3"/>
      <c r="AO33" s="30"/>
      <c r="AP33" s="3"/>
      <c r="AQ33" s="30"/>
      <c r="AR33" s="3"/>
      <c r="AS33" s="30"/>
      <c r="AT33" s="3"/>
      <c r="AU33" s="30"/>
    </row>
    <row r="34" spans="3:47" ht="13.8" thickBot="1">
      <c r="C34" s="21"/>
      <c r="E34" s="21"/>
      <c r="G34" s="21"/>
      <c r="I34" s="21"/>
      <c r="K34" s="21"/>
      <c r="M34" s="21"/>
      <c r="O34" s="21"/>
      <c r="Q34" s="21"/>
      <c r="T34" s="6"/>
      <c r="U34" s="6"/>
      <c r="V34" s="30"/>
      <c r="W34" s="6"/>
      <c r="X34" s="30"/>
      <c r="Y34" s="6"/>
      <c r="Z34" s="30"/>
      <c r="AA34" s="6"/>
      <c r="AB34" s="30"/>
      <c r="AC34" s="6"/>
      <c r="AD34" s="37"/>
      <c r="AE34" s="26"/>
      <c r="AF34" s="37"/>
      <c r="AG34" s="39"/>
      <c r="AH34" s="144" t="s">
        <v>63</v>
      </c>
      <c r="AI34" s="35"/>
      <c r="AJ34" s="26"/>
      <c r="AK34" s="37"/>
      <c r="AL34" s="26"/>
      <c r="AM34" s="37"/>
      <c r="AN34" s="26"/>
      <c r="AO34" s="37"/>
      <c r="AP34" s="26"/>
      <c r="AQ34" s="37"/>
      <c r="AR34" s="26"/>
      <c r="AS34" s="37"/>
      <c r="AT34" s="36"/>
      <c r="AU34" s="30"/>
    </row>
    <row r="35" spans="3:47" ht="13.8" thickBot="1">
      <c r="C35" s="21"/>
      <c r="E35" s="21"/>
      <c r="G35" s="21"/>
      <c r="I35" s="21"/>
      <c r="K35" s="21"/>
      <c r="M35" s="21"/>
      <c r="O35" s="29"/>
      <c r="P35" s="22"/>
      <c r="Q35" s="29"/>
      <c r="R35" s="39"/>
      <c r="S35" s="28" t="s">
        <v>94</v>
      </c>
      <c r="T35" s="35"/>
      <c r="U35" s="26"/>
      <c r="V35" s="37"/>
      <c r="W35" s="26"/>
      <c r="X35" s="37"/>
      <c r="Y35" s="26"/>
      <c r="Z35" s="37"/>
      <c r="AA35" s="26"/>
      <c r="AB35" s="37"/>
      <c r="AC35" s="36"/>
      <c r="AD35" s="30"/>
      <c r="AE35" s="6"/>
      <c r="AF35" s="30"/>
      <c r="AI35" s="6"/>
      <c r="AJ35" s="3"/>
      <c r="AK35" s="30"/>
      <c r="AL35" s="3"/>
      <c r="AM35" s="30"/>
      <c r="AN35" s="3"/>
      <c r="AO35" s="30"/>
      <c r="AP35" s="3"/>
      <c r="AQ35" s="30"/>
      <c r="AR35" s="3"/>
      <c r="AS35" s="30"/>
      <c r="AT35" s="3"/>
      <c r="AU35" s="30"/>
    </row>
    <row r="36" spans="3:47" ht="13.8" thickBot="1">
      <c r="C36" s="21"/>
      <c r="E36" s="21"/>
      <c r="G36" s="21"/>
      <c r="I36" s="21"/>
      <c r="K36" s="21"/>
      <c r="M36" s="21"/>
      <c r="O36" s="21"/>
      <c r="Q36" s="21"/>
      <c r="T36" s="6"/>
      <c r="U36" s="6"/>
      <c r="V36" s="30"/>
      <c r="W36" s="6"/>
      <c r="X36" s="30"/>
      <c r="Y36" s="6"/>
      <c r="Z36" s="30"/>
      <c r="AA36" s="6"/>
      <c r="AB36" s="30"/>
      <c r="AC36" s="6"/>
      <c r="AD36" s="30"/>
      <c r="AE36" s="6"/>
      <c r="AF36" s="30"/>
      <c r="AI36" s="6"/>
      <c r="AJ36" s="3"/>
      <c r="AK36" s="30"/>
      <c r="AL36" s="3"/>
      <c r="AM36" s="30"/>
      <c r="AN36" s="3"/>
      <c r="AO36" s="30"/>
      <c r="AP36" s="3"/>
      <c r="AQ36" s="30"/>
      <c r="AR36" s="3"/>
      <c r="AS36" s="30"/>
      <c r="AT36" s="3"/>
      <c r="AU36" s="30"/>
    </row>
    <row r="37" spans="3:47" ht="13.8" thickBot="1">
      <c r="C37" s="21"/>
      <c r="E37" s="21"/>
      <c r="G37" s="21"/>
      <c r="I37" s="21"/>
      <c r="K37" s="21"/>
      <c r="M37" s="21"/>
      <c r="O37" s="21"/>
      <c r="Q37" s="29"/>
      <c r="R37" s="39"/>
      <c r="S37" s="28" t="s">
        <v>95</v>
      </c>
      <c r="T37" s="35"/>
      <c r="U37" s="26"/>
      <c r="V37" s="37"/>
      <c r="W37" s="26"/>
      <c r="X37" s="37"/>
      <c r="Y37" s="26"/>
      <c r="Z37" s="37"/>
      <c r="AA37" s="26"/>
      <c r="AB37" s="37"/>
      <c r="AC37" s="26"/>
      <c r="AD37" s="37"/>
      <c r="AE37" s="36"/>
      <c r="AF37" s="30"/>
      <c r="AJ37" s="1"/>
      <c r="AK37" s="21"/>
      <c r="AL37" s="1"/>
      <c r="AM37" s="21"/>
      <c r="AN37" s="1"/>
      <c r="AO37" s="21"/>
      <c r="AP37" s="1"/>
      <c r="AQ37" s="21"/>
      <c r="AR37" s="1"/>
      <c r="AS37" s="21"/>
      <c r="AT37" s="1"/>
      <c r="AU37" s="21"/>
    </row>
    <row r="38" spans="3:47" ht="13.8" thickBot="1">
      <c r="C38" s="21"/>
      <c r="E38" s="21"/>
      <c r="G38" s="21"/>
      <c r="I38" s="21"/>
      <c r="K38" s="21"/>
      <c r="M38" s="21"/>
      <c r="O38" s="21"/>
      <c r="Q38" s="21"/>
      <c r="T38" s="6"/>
      <c r="U38" s="6"/>
      <c r="V38" s="30"/>
      <c r="W38" s="6"/>
      <c r="X38" s="30"/>
      <c r="Y38" s="6"/>
      <c r="Z38" s="30"/>
      <c r="AA38" s="6"/>
      <c r="AB38" s="30"/>
      <c r="AC38" s="6"/>
      <c r="AD38" s="30"/>
      <c r="AE38" s="6"/>
      <c r="AF38" s="30"/>
      <c r="AJ38" s="1"/>
      <c r="AK38" s="21"/>
      <c r="AL38" s="1"/>
      <c r="AM38" s="21"/>
      <c r="AN38" s="1"/>
      <c r="AO38" s="21"/>
      <c r="AP38" s="1"/>
      <c r="AQ38" s="21"/>
      <c r="AR38" s="1"/>
      <c r="AS38" s="21"/>
      <c r="AT38" s="1"/>
      <c r="AU38" s="21"/>
    </row>
    <row r="39" spans="3:47" ht="13.8" thickBot="1">
      <c r="C39" s="21"/>
      <c r="E39" s="21"/>
      <c r="G39" s="21"/>
      <c r="I39" s="21"/>
      <c r="K39" s="29"/>
      <c r="L39" s="22"/>
      <c r="M39" s="29"/>
      <c r="N39" s="22"/>
      <c r="O39" s="29"/>
      <c r="P39" s="22"/>
      <c r="Q39" s="29"/>
      <c r="R39" s="39"/>
      <c r="S39" s="44" t="s">
        <v>96</v>
      </c>
      <c r="T39" s="35"/>
      <c r="U39" s="26"/>
      <c r="V39" s="37"/>
      <c r="W39" s="26"/>
      <c r="X39" s="37"/>
      <c r="Y39" s="26"/>
      <c r="Z39" s="37"/>
      <c r="AA39" s="36"/>
      <c r="AB39" s="30"/>
      <c r="AC39" s="6"/>
      <c r="AD39" s="30"/>
      <c r="AE39" s="6"/>
      <c r="AF39" s="30"/>
      <c r="AJ39" s="1"/>
      <c r="AK39" s="21"/>
      <c r="AL39" s="1"/>
      <c r="AM39" s="21"/>
      <c r="AN39" s="1"/>
      <c r="AO39" s="21"/>
      <c r="AP39" s="1"/>
      <c r="AQ39" s="21"/>
      <c r="AR39" s="1"/>
      <c r="AS39" s="21"/>
      <c r="AT39" s="1"/>
      <c r="AU39" s="21"/>
    </row>
    <row r="40" spans="3:47" ht="13.8" thickBot="1">
      <c r="C40" s="21"/>
      <c r="E40" s="21"/>
      <c r="G40" s="21"/>
      <c r="I40" s="21"/>
      <c r="K40" s="21"/>
      <c r="M40" s="21"/>
      <c r="O40" s="21"/>
      <c r="Q40" s="21"/>
      <c r="T40" s="6"/>
      <c r="U40" s="6"/>
      <c r="V40" s="30"/>
      <c r="W40" s="6"/>
      <c r="X40" s="30"/>
      <c r="Y40" s="6"/>
      <c r="Z40" s="30"/>
      <c r="AA40" s="6"/>
      <c r="AB40" s="30"/>
      <c r="AC40" s="6"/>
      <c r="AD40" s="30"/>
      <c r="AE40" s="6"/>
      <c r="AF40" s="30"/>
      <c r="AJ40" s="1"/>
      <c r="AK40" s="21"/>
      <c r="AL40" s="1"/>
      <c r="AM40" s="21"/>
      <c r="AN40" s="1"/>
      <c r="AO40" s="21"/>
      <c r="AP40" s="1"/>
      <c r="AQ40" s="21"/>
      <c r="AR40" s="1"/>
      <c r="AS40" s="21"/>
      <c r="AT40" s="1"/>
      <c r="AU40" s="21"/>
    </row>
    <row r="41" spans="3:47" ht="13.8" thickBot="1">
      <c r="C41" s="21"/>
      <c r="E41" s="21"/>
      <c r="G41" s="21"/>
      <c r="I41" s="21"/>
      <c r="K41" s="21"/>
      <c r="M41" s="29"/>
      <c r="N41" s="22"/>
      <c r="O41" s="29"/>
      <c r="P41" s="22"/>
      <c r="Q41" s="29"/>
      <c r="R41" s="39"/>
      <c r="S41" s="45" t="s">
        <v>97</v>
      </c>
      <c r="T41" s="35"/>
      <c r="U41" s="26"/>
      <c r="V41" s="37"/>
      <c r="W41" s="26"/>
      <c r="X41" s="37"/>
      <c r="Y41" s="26"/>
      <c r="Z41" s="37"/>
      <c r="AA41" s="36"/>
      <c r="AB41" s="30"/>
      <c r="AC41" s="6"/>
      <c r="AD41" s="30"/>
      <c r="AE41" s="6"/>
      <c r="AF41" s="30"/>
      <c r="AJ41" s="1"/>
      <c r="AK41" s="21"/>
      <c r="AL41" s="1"/>
      <c r="AM41" s="21"/>
      <c r="AN41" s="1"/>
      <c r="AO41" s="21"/>
      <c r="AP41" s="1"/>
      <c r="AQ41" s="21"/>
      <c r="AR41" s="1"/>
      <c r="AS41" s="21"/>
      <c r="AT41" s="1"/>
      <c r="AU41" s="21"/>
    </row>
    <row r="42" spans="3:47">
      <c r="C42" s="21"/>
      <c r="E42" s="21"/>
      <c r="G42" s="21"/>
      <c r="I42" s="21"/>
      <c r="K42" s="21"/>
      <c r="M42" s="21"/>
      <c r="O42" s="21"/>
      <c r="Q42" s="21"/>
      <c r="T42" s="6"/>
      <c r="U42" s="6"/>
      <c r="V42" s="30"/>
      <c r="W42" s="6"/>
      <c r="X42" s="30"/>
      <c r="Y42" s="6"/>
      <c r="Z42" s="30"/>
      <c r="AA42" s="6"/>
      <c r="AB42" s="30"/>
      <c r="AC42" s="6"/>
      <c r="AD42" s="30"/>
      <c r="AE42" s="6"/>
      <c r="AF42" s="30"/>
      <c r="AJ42" s="1"/>
      <c r="AK42" s="21"/>
      <c r="AL42" s="1"/>
      <c r="AM42" s="21"/>
      <c r="AN42" s="1"/>
      <c r="AO42" s="21"/>
      <c r="AP42" s="1"/>
      <c r="AQ42" s="21"/>
      <c r="AR42" s="1"/>
      <c r="AS42" s="21"/>
      <c r="AT42" s="1"/>
      <c r="AU42" s="21"/>
    </row>
    <row r="43" spans="3:47">
      <c r="C43" s="21"/>
      <c r="E43" s="21"/>
      <c r="G43" s="21"/>
      <c r="I43" s="21"/>
      <c r="K43" s="21"/>
      <c r="M43" s="21"/>
      <c r="O43" s="21"/>
      <c r="Q43" s="21"/>
      <c r="T43" s="6"/>
      <c r="U43" s="6"/>
      <c r="V43" s="30"/>
      <c r="W43" s="6"/>
      <c r="X43" s="30"/>
      <c r="Y43" s="6"/>
      <c r="Z43" s="30"/>
      <c r="AA43" s="6"/>
      <c r="AB43" s="30"/>
      <c r="AC43" s="6"/>
      <c r="AD43" s="30"/>
      <c r="AE43" s="6"/>
      <c r="AF43" s="30"/>
      <c r="AJ43" s="1"/>
      <c r="AK43" s="21"/>
      <c r="AL43" s="1"/>
      <c r="AM43" s="21"/>
      <c r="AN43" s="1"/>
      <c r="AO43" s="21"/>
      <c r="AP43" s="1"/>
      <c r="AQ43" s="21"/>
      <c r="AR43" s="1"/>
      <c r="AS43" s="21"/>
      <c r="AT43" s="1"/>
      <c r="AU43" s="21"/>
    </row>
    <row r="44" spans="3:47">
      <c r="C44" s="21"/>
      <c r="E44" s="21"/>
      <c r="G44" s="21"/>
      <c r="I44" s="21"/>
      <c r="K44" s="21"/>
      <c r="M44" s="21"/>
      <c r="O44" s="21"/>
      <c r="Q44" s="21"/>
      <c r="T44" s="6"/>
      <c r="U44" s="6"/>
      <c r="V44" s="30"/>
      <c r="W44" s="6"/>
      <c r="X44" s="30"/>
      <c r="Y44" s="6"/>
      <c r="Z44" s="30"/>
      <c r="AA44" s="6"/>
      <c r="AB44" s="30"/>
      <c r="AC44" s="6"/>
      <c r="AD44" s="30"/>
      <c r="AE44" s="6"/>
      <c r="AF44" s="30"/>
      <c r="AJ44" s="1"/>
      <c r="AK44" s="21"/>
      <c r="AL44" s="1"/>
      <c r="AM44" s="21"/>
      <c r="AN44" s="1"/>
      <c r="AO44" s="21"/>
      <c r="AP44" s="1"/>
      <c r="AQ44" s="21"/>
      <c r="AR44" s="1"/>
      <c r="AS44" s="21"/>
      <c r="AT44" s="1"/>
      <c r="AU44" s="21"/>
    </row>
    <row r="45" spans="3:47">
      <c r="C45" s="21"/>
      <c r="E45" s="21"/>
      <c r="G45" s="21"/>
      <c r="I45" s="21"/>
      <c r="K45" s="21"/>
      <c r="M45" s="21"/>
      <c r="O45" s="21"/>
      <c r="Q45" s="21"/>
      <c r="T45" s="6"/>
      <c r="U45" s="6"/>
      <c r="V45" s="30"/>
      <c r="W45" s="6"/>
      <c r="X45" s="30"/>
      <c r="Y45" s="6"/>
      <c r="Z45" s="30"/>
      <c r="AA45" s="6"/>
      <c r="AB45" s="30"/>
      <c r="AC45" s="6"/>
      <c r="AD45" s="30"/>
      <c r="AE45" s="6"/>
      <c r="AF45" s="30"/>
      <c r="AJ45" s="1"/>
      <c r="AK45" s="21"/>
      <c r="AL45" s="1"/>
      <c r="AM45" s="21"/>
      <c r="AN45" s="1"/>
      <c r="AO45" s="21"/>
      <c r="AP45" s="1"/>
      <c r="AQ45" s="21"/>
      <c r="AR45" s="1"/>
      <c r="AS45" s="21"/>
      <c r="AT45" s="1"/>
      <c r="AU45" s="21"/>
    </row>
    <row r="46" spans="3:47">
      <c r="T46" s="6"/>
      <c r="U46" s="6"/>
      <c r="V46" s="6"/>
      <c r="W46" s="6"/>
      <c r="X46" s="6"/>
      <c r="Y46" s="6"/>
      <c r="Z46" s="6"/>
      <c r="AA46" s="6"/>
      <c r="AB46" s="6"/>
      <c r="AC46" s="6"/>
      <c r="AD46" s="6"/>
      <c r="AE46" s="6"/>
      <c r="AF46" s="6"/>
      <c r="AJ46" s="1"/>
      <c r="AL46" s="1"/>
      <c r="AM46" s="1"/>
      <c r="AN46" s="1"/>
      <c r="AO46" s="1"/>
      <c r="AP46" s="1"/>
      <c r="AQ46" s="1"/>
      <c r="AR46" s="1"/>
      <c r="AS46" s="1"/>
      <c r="AT46" s="1"/>
    </row>
    <row r="47" spans="3:47">
      <c r="T47" s="6"/>
      <c r="U47" s="6"/>
      <c r="V47" s="6"/>
      <c r="W47" s="6"/>
      <c r="X47" s="6"/>
      <c r="Y47" s="6"/>
      <c r="Z47" s="6"/>
      <c r="AA47" s="6"/>
      <c r="AB47" s="6"/>
      <c r="AC47" s="6"/>
      <c r="AD47" s="6"/>
      <c r="AE47" s="6"/>
      <c r="AF47" s="6"/>
      <c r="AL47" s="1"/>
      <c r="AM47" s="1"/>
      <c r="AN47" s="1"/>
      <c r="AO47" s="1"/>
      <c r="AP47" s="1"/>
      <c r="AQ47" s="1"/>
      <c r="AR47" s="1"/>
      <c r="AS47" s="1"/>
      <c r="AT47" s="1"/>
    </row>
    <row r="48" spans="3:47">
      <c r="AL48" s="1"/>
      <c r="AM48" s="1"/>
      <c r="AN48" s="1"/>
      <c r="AO48" s="1"/>
      <c r="AP48" s="1"/>
      <c r="AQ48" s="1"/>
      <c r="AR48" s="1"/>
      <c r="AS48" s="1"/>
      <c r="AT48" s="1"/>
    </row>
  </sheetData>
  <mergeCells count="17">
    <mergeCell ref="AT7:AU7"/>
    <mergeCell ref="U7:V7"/>
    <mergeCell ref="W7:X7"/>
    <mergeCell ref="Y7:Z7"/>
    <mergeCell ref="AJ7:AK7"/>
    <mergeCell ref="AL7:AM7"/>
    <mergeCell ref="AN7:AO7"/>
    <mergeCell ref="AP7:AQ7"/>
    <mergeCell ref="AR7:AS7"/>
    <mergeCell ref="L7:M7"/>
    <mergeCell ref="N7:O7"/>
    <mergeCell ref="P7:Q7"/>
    <mergeCell ref="B7:C7"/>
    <mergeCell ref="D7:E7"/>
    <mergeCell ref="F7:G7"/>
    <mergeCell ref="H7:I7"/>
    <mergeCell ref="J7:K7"/>
  </mergeCells>
  <pageMargins left="0.7" right="0.7" top="0.75" bottom="0.75" header="0.3" footer="0.3"/>
  <pageSetup paperSize="9"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1A5B476-9995-4557-AE25-AEDC181BD980}">
  <ds:schemaRefs>
    <ds:schemaRef ds:uri="http://schemas.microsoft.com/sharepoint/v3/contenttype/forms"/>
  </ds:schemaRefs>
</ds:datastoreItem>
</file>

<file path=customXml/itemProps2.xml><?xml version="1.0" encoding="utf-8"?>
<ds:datastoreItem xmlns:ds="http://schemas.openxmlformats.org/officeDocument/2006/customXml" ds:itemID="{D020374E-C720-4E4D-B591-73E5122EAD97}">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657B8A67-BA98-419D-9A9B-3BCD8319BD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19</vt:i4>
      </vt:variant>
    </vt:vector>
  </HeadingPairs>
  <TitlesOfParts>
    <vt:vector size="19" baseType="lpstr">
      <vt:lpstr>LOG</vt:lpstr>
      <vt:lpstr>Intro</vt:lpstr>
      <vt:lpstr>Commodities</vt:lpstr>
      <vt:lpstr>Processes</vt:lpstr>
      <vt:lpstr>RES_Fuel</vt:lpstr>
      <vt:lpstr>Cooling</vt:lpstr>
      <vt:lpstr>Boilers_DR</vt:lpstr>
      <vt:lpstr>Buildings_DR</vt:lpstr>
      <vt:lpstr>Appliances&amp;Cooking</vt:lpstr>
      <vt:lpstr>Dem</vt:lpstr>
      <vt:lpstr>Emis</vt:lpstr>
      <vt:lpstr>Data manipulation</vt:lpstr>
      <vt:lpstr>Raw_Data</vt:lpstr>
      <vt:lpstr>Regional split</vt:lpstr>
      <vt:lpstr>Sources</vt:lpstr>
      <vt:lpstr>Energy balance</vt:lpstr>
      <vt:lpstr>Workflow</vt:lpstr>
      <vt:lpstr>Legend</vt:lpstr>
      <vt:lpstr>RES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Henrik Juul Sørensen</cp:lastModifiedBy>
  <cp:lastPrinted>2017-04-25T15:34:18Z</cp:lastPrinted>
  <dcterms:created xsi:type="dcterms:W3CDTF">2000-12-13T15:53:11Z</dcterms:created>
  <dcterms:modified xsi:type="dcterms:W3CDTF">2022-05-04T11:55:26Z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955216944217681</vt:r8>
  </property>
  <property fmtid="{D5CDD505-2E9C-101B-9397-08002B2CF9AE}" pid="3" name="ContentTypeId">
    <vt:lpwstr>0x010100391E4ED4D6B5344984C5B5CBC1A28781</vt:lpwstr>
  </property>
</Properties>
</file>