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0"/>
  <workbookPr showObjects="placeholders" codeName="ThisWorkbook" hidePivotFieldList="1"/>
  <mc:AlternateContent xmlns:mc="http://schemas.openxmlformats.org/markup-compatibility/2006">
    <mc:Choice Requires="x15">
      <x15ac:absPath xmlns:x15ac="http://schemas.microsoft.com/office/spreadsheetml/2010/11/ac" url="/Users/AdamV/Desktop/Bachelor/GitHub/Bachelor_Git/TIMES-AZ/"/>
    </mc:Choice>
  </mc:AlternateContent>
  <xr:revisionPtr revIDLastSave="0" documentId="13_ncr:1_{601A8CCB-6891-E94A-9A0E-BE9D78A050B9}" xr6:coauthVersionLast="47" xr6:coauthVersionMax="47" xr10:uidLastSave="{00000000-0000-0000-0000-000000000000}"/>
  <bookViews>
    <workbookView xWindow="0" yWindow="460" windowWidth="25600" windowHeight="15540" tabRatio="883" firstSheet="14" activeTab="22"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AnnualProd_1">[3]Plants1!$N$14:$N$1884</definedName>
    <definedName name="BaseYear">[3]Start!$D$22</definedName>
    <definedName name="BiomassLargeCHP">[4]TechnologyData!$A$14:$M$41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[4]Subsidy!#REF!</definedName>
    <definedName name="ElPriceMix" localSheetId="23">[4]Subsidy!#REF!</definedName>
    <definedName name="ElPriceMix" localSheetId="24">[4]Subsidy!#REF!</definedName>
    <definedName name="ElPriceMix" localSheetId="1">[4]Subsidy!#REF!</definedName>
    <definedName name="ElPriceMix" localSheetId="17">[4]Subsidy!#REF!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 localSheetId="17">[11]LOG!#REF!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[3]Fuel!$T$12:$U$34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22">[4]General!#REF!</definedName>
    <definedName name="Inflation" localSheetId="23">[4]General!#REF!</definedName>
    <definedName name="Inflation" localSheetId="24">[4]General!#REF!</definedName>
    <definedName name="Inflation" localSheetId="1">[4]General!#REF!</definedName>
    <definedName name="Inflation" localSheetId="17">[4]General!#REF!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22">[4]General!#REF!</definedName>
    <definedName name="nhydro" localSheetId="23">[4]General!#REF!</definedName>
    <definedName name="nhydro" localSheetId="24">[4]General!#REF!</definedName>
    <definedName name="nhydro" localSheetId="17">[4]General!#REF!</definedName>
    <definedName name="nhydro">[4]General!#REF!</definedName>
    <definedName name="NyeNGCC">[4]Plants!$J$5</definedName>
    <definedName name="OffshoreWindPark">[4]TechnologyData!$O$43:$AA$70</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22">[14]Macro1!#REF!</definedName>
    <definedName name="RetBE" localSheetId="23">[14]Macro1!#REF!</definedName>
    <definedName name="RetBE" localSheetId="24">[14]Macro1!#REF!</definedName>
    <definedName name="RetBE" localSheetId="17">[14]Macro1!#REF!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'[2]Gas Works'!#REF!</definedName>
    <definedName name="åbyrelc" localSheetId="23">'[2]Gas Works'!#REF!</definedName>
    <definedName name="åbyrelc" localSheetId="24">'[2]Gas Works'!#REF!</definedName>
    <definedName name="åbyrelc" localSheetId="17">'[2]Gas Works'!#REF!</definedName>
    <definedName name="åbyrelc">'[2]Gas Works'!#REF!</definedName>
    <definedName name="åfjvbrselc" localSheetId="22">'[2]Heat Production'!#REF!</definedName>
    <definedName name="åfjvbrselc" localSheetId="23">'[2]Heat Production'!#REF!</definedName>
    <definedName name="åfjvbrselc" localSheetId="24">'[2]Heat Production'!#REF!</definedName>
    <definedName name="åfjvbrselc" localSheetId="17">'[2]Heat Production'!#REF!</definedName>
    <definedName name="åfjvbrselc">'[2]Heat Production'!#REF!</definedName>
    <definedName name="åfjvve" localSheetId="22">'[2]Heat Production'!#REF!</definedName>
    <definedName name="åfjvve" localSheetId="23">'[2]Heat Production'!#REF!</definedName>
    <definedName name="åfjvve" localSheetId="24">'[2]Heat Production'!#REF!</definedName>
    <definedName name="åfjvve" localSheetId="17">'[2]Heat Production'!#REF!</definedName>
    <definedName name="åfjvve">'[2]Heat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'[2]Heat Production'!#REF!</definedName>
    <definedName name="åfutbrsfjv" localSheetId="23">'[2]Heat Production'!#REF!</definedName>
    <definedName name="åfutbrsfjv" localSheetId="24">'[2]Heat Production'!#REF!</definedName>
    <definedName name="åfutbrsfjv" localSheetId="17">'[2]Heat Production'!#REF!</definedName>
    <definedName name="åfutbrsfjv">'[2]Heat Production'!#REF!</definedName>
    <definedName name="ågdtbrsfjv" localSheetId="22">'[2]Heat Production'!#REF!</definedName>
    <definedName name="ågdtbrsfjv" localSheetId="23">'[2]Heat Production'!#REF!</definedName>
    <definedName name="ågdtbrsfjv" localSheetId="24">'[2]Heat Production'!#REF!</definedName>
    <definedName name="ågdtbrsfjv" localSheetId="17">'[2]Heat Production'!#REF!</definedName>
    <definedName name="ågdtbrsfjv">'[2]Heat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'[2]Heat Production'!#REF!</definedName>
    <definedName name="åkulbrsfjv" localSheetId="23">'[2]Heat Production'!#REF!</definedName>
    <definedName name="åkulbrsfjv" localSheetId="24">'[2]Heat Production'!#REF!</definedName>
    <definedName name="åkulbrsfjv" localSheetId="17">'[2]Heat Production'!#REF!</definedName>
    <definedName name="åkulbrsfjv">'[2]Heat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ålpgbrsfjv" localSheetId="22">'[2]Heat Production'!#REF!</definedName>
    <definedName name="ålpgbrsfjv" localSheetId="23">'[2]Heat Production'!#REF!</definedName>
    <definedName name="ålpgbrsfjv" localSheetId="24">'[2]Heat Production'!#REF!</definedName>
    <definedName name="ålpgbrsfjv" localSheetId="17">'[2]Heat Production'!#REF!</definedName>
    <definedName name="ålpgbrsfjv">'[2]Heat Production'!#REF!</definedName>
    <definedName name="ålvnbrsfjv" localSheetId="22">'[2]Heat Production'!#REF!</definedName>
    <definedName name="ålvnbrsfjv" localSheetId="23">'[2]Heat Production'!#REF!</definedName>
    <definedName name="ålvnbrsfjv" localSheetId="24">'[2]Heat Production'!#REF!</definedName>
    <definedName name="ålvnbrsfjv" localSheetId="17">'[2]Heat Production'!#REF!</definedName>
    <definedName name="ålvnbrsfjv">'[2]Heat Production'!#REF!</definedName>
    <definedName name="ångabrsfjv" localSheetId="22">'[2]Heat Production'!#REF!</definedName>
    <definedName name="ångabrsfjv" localSheetId="23">'[2]Heat Production'!#REF!</definedName>
    <definedName name="ångabrsfjv" localSheetId="24">'[2]Heat Production'!#REF!</definedName>
    <definedName name="ångabrsfjv" localSheetId="17">'[2]Heat Production'!#REF!</definedName>
    <definedName name="ångabrsfjv">'[2]Heat Production'!#REF!</definedName>
    <definedName name="åoribrselc" localSheetId="22">'[2]Electricity Production'!#REF!</definedName>
    <definedName name="åoribrselc" localSheetId="23">'[2]Electricity Production'!#REF!</definedName>
    <definedName name="åoribrselc" localSheetId="24">'[2]Electricity Production'!#REF!</definedName>
    <definedName name="åoribrselc" localSheetId="17">'[2]Electricity Production'!#REF!</definedName>
    <definedName name="åoribrselc">'[2]Electricity Production'!#REF!</definedName>
    <definedName name="åpkobrsfjv" localSheetId="22">'[2]Heat Production'!#REF!</definedName>
    <definedName name="åpkobrsfjv" localSheetId="23">'[2]Heat Production'!#REF!</definedName>
    <definedName name="åpkobrsfjv" localSheetId="24">'[2]Heat Production'!#REF!</definedName>
    <definedName name="åpkobrsfjv" localSheetId="17">'[2]Heat Production'!#REF!</definedName>
    <definedName name="åpkobrsfjv">'[2]Heat Production'!#REF!</definedName>
    <definedName name="årgabrsfjv" localSheetId="17">'[2]Heat Production'!#REF!</definedName>
    <definedName name="årgabrsfjv">'[2]Heat Production'!#REF!</definedName>
    <definedName name="åspobrselc" localSheetId="22">'[2]Electricity Production'!#REF!</definedName>
    <definedName name="åspobrselc" localSheetId="23">'[2]Electricity Production'!#REF!</definedName>
    <definedName name="åspobrselc" localSheetId="24">'[2]Electricity Production'!#REF!</definedName>
    <definedName name="åspobrselc" localSheetId="17">'[2]Electricity Production'!#REF!</definedName>
    <definedName name="åspobrselc">'[2]Electricity Production'!#REF!</definedName>
    <definedName name="åspobrsfjv" localSheetId="17">'[2]Heat Production'!#REF!</definedName>
    <definedName name="åspobrsfjv">'[2]Heat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'[2]Gross Energy Consumption (obs.)'!#REF!</definedName>
    <definedName name="åudvraf" localSheetId="23">'[2]Gross Energy Consumption (obs.)'!#REF!</definedName>
    <definedName name="åudvraf" localSheetId="24">'[2]Gross Energy Consumption (obs.)'!#REF!</definedName>
    <definedName name="åudvraf" localSheetId="17">'[2]Gross Energy Consumption (obs.)'!#REF!</definedName>
    <definedName name="åudvraf">'[2]Gross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2" i="246" l="1"/>
  <c r="D62" i="246"/>
  <c r="E62" i="246"/>
  <c r="F62" i="246"/>
  <c r="G62" i="246"/>
  <c r="H62" i="246"/>
  <c r="I62" i="246"/>
  <c r="J62" i="246"/>
  <c r="K62" i="246"/>
  <c r="L62" i="246"/>
  <c r="M62" i="246"/>
  <c r="N62" i="246"/>
  <c r="O62" i="246"/>
  <c r="C63" i="246"/>
  <c r="D63" i="246"/>
  <c r="E63" i="246"/>
  <c r="F63" i="246"/>
  <c r="G63" i="246"/>
  <c r="H63" i="246"/>
  <c r="I63" i="246"/>
  <c r="J63" i="246"/>
  <c r="K63" i="246"/>
  <c r="L63" i="246"/>
  <c r="M63" i="246"/>
  <c r="N63" i="246"/>
  <c r="O63" i="246"/>
  <c r="C64" i="246"/>
  <c r="D64" i="246"/>
  <c r="E64" i="246"/>
  <c r="F64" i="246"/>
  <c r="G64" i="246"/>
  <c r="H64" i="246"/>
  <c r="I64" i="246"/>
  <c r="J64" i="246"/>
  <c r="K64" i="246"/>
  <c r="L64" i="246"/>
  <c r="M64" i="246"/>
  <c r="N64" i="246"/>
  <c r="O64" i="246"/>
  <c r="D61" i="246"/>
  <c r="E61" i="246"/>
  <c r="F61" i="246"/>
  <c r="G61" i="246"/>
  <c r="H61" i="246"/>
  <c r="I61" i="246"/>
  <c r="J61" i="246"/>
  <c r="K61" i="246"/>
  <c r="L61" i="246"/>
  <c r="M61" i="246"/>
  <c r="N61" i="246"/>
  <c r="O61" i="246"/>
  <c r="C61"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C39" i="246"/>
  <c r="D39" i="246"/>
  <c r="E39" i="246"/>
  <c r="F39" i="246"/>
  <c r="G39" i="246"/>
  <c r="H39" i="246"/>
  <c r="I39" i="246"/>
  <c r="J39" i="246"/>
  <c r="K39" i="246"/>
  <c r="L39" i="246"/>
  <c r="M39" i="246"/>
  <c r="N39" i="246"/>
  <c r="O39" i="246"/>
  <c r="C40" i="246"/>
  <c r="D40" i="246"/>
  <c r="E40" i="246"/>
  <c r="F40" i="246"/>
  <c r="G40" i="246"/>
  <c r="H40" i="246"/>
  <c r="I40" i="246"/>
  <c r="J40" i="246"/>
  <c r="K40" i="246"/>
  <c r="L40" i="246"/>
  <c r="M40" i="246"/>
  <c r="N40" i="246"/>
  <c r="O40" i="246"/>
  <c r="D36" i="246"/>
  <c r="E36" i="246"/>
  <c r="F36" i="246"/>
  <c r="G36" i="246"/>
  <c r="H36" i="246"/>
  <c r="I36" i="246"/>
  <c r="J36" i="246"/>
  <c r="K36" i="246"/>
  <c r="L36" i="246"/>
  <c r="M36" i="246"/>
  <c r="N36" i="246"/>
  <c r="O36" i="246"/>
  <c r="C36" i="246"/>
  <c r="C41" i="246"/>
  <c r="D41" i="246"/>
  <c r="E41" i="246"/>
  <c r="F41" i="246"/>
  <c r="G41" i="246"/>
  <c r="H41" i="246"/>
  <c r="I41" i="246"/>
  <c r="J41" i="246"/>
  <c r="K41" i="246"/>
  <c r="L41" i="246"/>
  <c r="M41" i="246"/>
  <c r="N41" i="246"/>
  <c r="O41" i="246"/>
  <c r="C42" i="246"/>
  <c r="D42" i="246"/>
  <c r="E42" i="246"/>
  <c r="F42" i="246"/>
  <c r="G42" i="246"/>
  <c r="H42" i="246"/>
  <c r="I42" i="246"/>
  <c r="J42" i="246"/>
  <c r="K42" i="246"/>
  <c r="L42" i="246"/>
  <c r="M42" i="246"/>
  <c r="N42" i="246"/>
  <c r="O42" i="246"/>
  <c r="R42" i="246"/>
  <c r="C43" i="246"/>
  <c r="D43" i="246"/>
  <c r="E43" i="246"/>
  <c r="F43" i="246"/>
  <c r="G43" i="246"/>
  <c r="H43" i="246"/>
  <c r="I43" i="246"/>
  <c r="J43" i="246"/>
  <c r="K43" i="246"/>
  <c r="L43" i="246"/>
  <c r="M43" i="246"/>
  <c r="N43" i="246"/>
  <c r="O43" i="246"/>
  <c r="C44" i="246"/>
  <c r="D44" i="246"/>
  <c r="E44" i="246"/>
  <c r="F44" i="246"/>
  <c r="G44" i="246"/>
  <c r="H44" i="246"/>
  <c r="I44" i="246"/>
  <c r="J44" i="246"/>
  <c r="K44" i="246"/>
  <c r="L44" i="246"/>
  <c r="M44" i="246"/>
  <c r="N44" i="246"/>
  <c r="O44" i="246"/>
  <c r="K45" i="246"/>
  <c r="G45" i="246"/>
  <c r="D13" i="246"/>
  <c r="E13" i="246"/>
  <c r="F13" i="246"/>
  <c r="G13" i="246"/>
  <c r="H13" i="246"/>
  <c r="I13" i="246"/>
  <c r="J13" i="246"/>
  <c r="K13" i="246"/>
  <c r="L13" i="246"/>
  <c r="M13" i="246"/>
  <c r="N13" i="246"/>
  <c r="O13"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C14" i="246"/>
  <c r="C15" i="246"/>
  <c r="C16" i="246"/>
  <c r="C13" i="246"/>
  <c r="D71" i="246"/>
  <c r="E71" i="246"/>
  <c r="F71" i="246"/>
  <c r="G71" i="246"/>
  <c r="H71" i="246"/>
  <c r="I71" i="246"/>
  <c r="J71" i="246"/>
  <c r="K71" i="246"/>
  <c r="L71" i="246"/>
  <c r="M71" i="246"/>
  <c r="N71" i="246"/>
  <c r="O71" i="246"/>
  <c r="C71" i="246"/>
  <c r="C54" i="246"/>
  <c r="D54" i="246"/>
  <c r="E54" i="246"/>
  <c r="F54" i="246"/>
  <c r="G54" i="246"/>
  <c r="H54" i="246"/>
  <c r="I54" i="246"/>
  <c r="J54" i="246"/>
  <c r="K54" i="246"/>
  <c r="L54" i="246"/>
  <c r="M54" i="246"/>
  <c r="N54" i="246"/>
  <c r="O54" i="246"/>
  <c r="C55" i="246"/>
  <c r="D55" i="246"/>
  <c r="E55" i="246"/>
  <c r="F55" i="246"/>
  <c r="G55" i="246"/>
  <c r="H55" i="246"/>
  <c r="I55" i="246"/>
  <c r="J55" i="246"/>
  <c r="K55" i="246"/>
  <c r="L55" i="246"/>
  <c r="M55" i="246"/>
  <c r="N55" i="246"/>
  <c r="O55"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C65" i="246"/>
  <c r="D65" i="246"/>
  <c r="E65" i="246"/>
  <c r="F65" i="246"/>
  <c r="G65" i="246"/>
  <c r="H65" i="246"/>
  <c r="I65" i="246"/>
  <c r="J65" i="246"/>
  <c r="K65" i="246"/>
  <c r="L65" i="246"/>
  <c r="M65" i="246"/>
  <c r="N65" i="246"/>
  <c r="O65" i="246"/>
  <c r="C66" i="246"/>
  <c r="D66" i="246"/>
  <c r="E66" i="246"/>
  <c r="F66" i="246"/>
  <c r="G66" i="246"/>
  <c r="H66" i="246"/>
  <c r="I66" i="246"/>
  <c r="J66" i="246"/>
  <c r="K66" i="246"/>
  <c r="L66" i="246"/>
  <c r="M66" i="246"/>
  <c r="N66" i="246"/>
  <c r="O66" i="246"/>
  <c r="C67" i="246"/>
  <c r="D67" i="246"/>
  <c r="E67" i="246"/>
  <c r="F67" i="246"/>
  <c r="G67" i="246"/>
  <c r="H67" i="246"/>
  <c r="I67" i="246"/>
  <c r="J67" i="246"/>
  <c r="K67" i="246"/>
  <c r="L67" i="246"/>
  <c r="M67" i="246"/>
  <c r="N67" i="246"/>
  <c r="O67" i="246"/>
  <c r="C68" i="246"/>
  <c r="D68" i="246"/>
  <c r="E68" i="246"/>
  <c r="F68" i="246"/>
  <c r="G68" i="246"/>
  <c r="H68" i="246"/>
  <c r="I68" i="246"/>
  <c r="J68" i="246"/>
  <c r="K68" i="246"/>
  <c r="L68" i="246"/>
  <c r="M68" i="246"/>
  <c r="N68" i="246"/>
  <c r="O68" i="246"/>
  <c r="C69" i="246"/>
  <c r="D69" i="246"/>
  <c r="E69" i="246"/>
  <c r="F69" i="246"/>
  <c r="G69" i="246"/>
  <c r="H69" i="246"/>
  <c r="I69" i="246"/>
  <c r="J69" i="246"/>
  <c r="K69" i="246"/>
  <c r="L69" i="246"/>
  <c r="M69" i="246"/>
  <c r="N69" i="246"/>
  <c r="O69" i="246"/>
  <c r="D53" i="246"/>
  <c r="E53" i="246"/>
  <c r="F53" i="246"/>
  <c r="G53" i="246"/>
  <c r="H53" i="246"/>
  <c r="I53" i="246"/>
  <c r="J53" i="246"/>
  <c r="K53" i="246"/>
  <c r="L53" i="246"/>
  <c r="M53" i="246"/>
  <c r="N53" i="246"/>
  <c r="O53" i="246"/>
  <c r="C53" i="246"/>
  <c r="D47" i="246"/>
  <c r="E47" i="246"/>
  <c r="F47" i="246"/>
  <c r="G47" i="246"/>
  <c r="H47" i="246"/>
  <c r="I47" i="246"/>
  <c r="J47" i="246"/>
  <c r="K47" i="246"/>
  <c r="L47" i="246"/>
  <c r="M47" i="246"/>
  <c r="N47" i="246"/>
  <c r="O47" i="246"/>
  <c r="C47" i="246"/>
  <c r="D29" i="246"/>
  <c r="E29" i="246"/>
  <c r="F29" i="246"/>
  <c r="G29" i="246"/>
  <c r="H29" i="246"/>
  <c r="I29" i="246"/>
  <c r="J29" i="246"/>
  <c r="K29" i="246"/>
  <c r="L29" i="246"/>
  <c r="M29" i="246"/>
  <c r="N29" i="246"/>
  <c r="O29"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D33" i="246"/>
  <c r="E33" i="246"/>
  <c r="F33" i="246"/>
  <c r="G33" i="246"/>
  <c r="H33" i="246"/>
  <c r="I33" i="246"/>
  <c r="J33" i="246"/>
  <c r="K33" i="246"/>
  <c r="L33" i="246"/>
  <c r="M33" i="246"/>
  <c r="N33" i="246"/>
  <c r="O33" i="246"/>
  <c r="D34" i="246"/>
  <c r="E34" i="246"/>
  <c r="F34" i="246"/>
  <c r="G34" i="246"/>
  <c r="H34" i="246"/>
  <c r="I34" i="246"/>
  <c r="J34" i="246"/>
  <c r="K34" i="246"/>
  <c r="L34" i="246"/>
  <c r="M34" i="246"/>
  <c r="N34" i="246"/>
  <c r="O34" i="246"/>
  <c r="D35" i="246"/>
  <c r="E35" i="246"/>
  <c r="F35" i="246"/>
  <c r="G35" i="246"/>
  <c r="H35" i="246"/>
  <c r="I35" i="246"/>
  <c r="J35" i="246"/>
  <c r="K35" i="246"/>
  <c r="L35" i="246"/>
  <c r="M35" i="246"/>
  <c r="N35" i="246"/>
  <c r="O35" i="246"/>
  <c r="I45" i="246"/>
  <c r="C30" i="246"/>
  <c r="C31" i="246"/>
  <c r="C32" i="246"/>
  <c r="C33" i="246"/>
  <c r="C34" i="246"/>
  <c r="C35" i="246"/>
  <c r="C29" i="246"/>
  <c r="L45" i="246"/>
  <c r="D23" i="246"/>
  <c r="E23" i="246"/>
  <c r="F23" i="246"/>
  <c r="G23" i="246"/>
  <c r="H23" i="246"/>
  <c r="I23" i="246"/>
  <c r="J23" i="246"/>
  <c r="K23" i="246"/>
  <c r="L23" i="246"/>
  <c r="M23" i="246"/>
  <c r="N23" i="246"/>
  <c r="O23" i="246"/>
  <c r="C23"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7" i="246"/>
  <c r="E17" i="246"/>
  <c r="F17" i="246"/>
  <c r="G17" i="246"/>
  <c r="H17" i="246"/>
  <c r="I17" i="246"/>
  <c r="J17" i="246"/>
  <c r="K17" i="246"/>
  <c r="L17" i="246"/>
  <c r="M17" i="246"/>
  <c r="N17" i="246"/>
  <c r="O17" i="246"/>
  <c r="D18" i="246"/>
  <c r="E18" i="246"/>
  <c r="F18" i="246"/>
  <c r="G18" i="246"/>
  <c r="H18" i="246"/>
  <c r="I18" i="246"/>
  <c r="J18" i="246"/>
  <c r="K18" i="246"/>
  <c r="L18" i="246"/>
  <c r="M18" i="246"/>
  <c r="N18" i="246"/>
  <c r="O18" i="246"/>
  <c r="D19" i="246"/>
  <c r="E19" i="246"/>
  <c r="F19" i="246"/>
  <c r="G19" i="246"/>
  <c r="H19" i="246"/>
  <c r="I19" i="246"/>
  <c r="J19" i="246"/>
  <c r="K19" i="246"/>
  <c r="L19" i="246"/>
  <c r="M19" i="246"/>
  <c r="N19" i="246"/>
  <c r="O19" i="246"/>
  <c r="D20" i="246"/>
  <c r="E20" i="246"/>
  <c r="F20" i="246"/>
  <c r="G20" i="246"/>
  <c r="H20" i="246"/>
  <c r="I20" i="246"/>
  <c r="J20" i="246"/>
  <c r="K20" i="246"/>
  <c r="L20" i="246"/>
  <c r="M20" i="246"/>
  <c r="N20" i="246"/>
  <c r="O20" i="246"/>
  <c r="C6" i="246"/>
  <c r="C7" i="246"/>
  <c r="C8" i="246"/>
  <c r="C9" i="246"/>
  <c r="C10" i="246"/>
  <c r="C11" i="246"/>
  <c r="C12" i="246"/>
  <c r="C17" i="246"/>
  <c r="C18" i="246"/>
  <c r="C19" i="246"/>
  <c r="C20" i="246"/>
  <c r="C5" i="246"/>
  <c r="L22" i="246"/>
  <c r="AB6" i="281"/>
  <c r="AB7" i="281"/>
  <c r="AB8" i="281"/>
  <c r="AB9" i="281"/>
  <c r="AB10" i="281"/>
  <c r="AB11" i="281"/>
  <c r="AB12" i="281"/>
  <c r="AB13" i="281"/>
  <c r="AB14" i="281"/>
  <c r="AB15" i="281"/>
  <c r="AB16" i="281"/>
  <c r="AB17" i="281"/>
  <c r="AC17" i="281"/>
  <c r="AE17" i="281"/>
  <c r="AB18" i="281"/>
  <c r="AC18" i="281"/>
  <c r="AB19" i="281"/>
  <c r="AC19" i="281"/>
  <c r="AB20" i="281"/>
  <c r="AB21" i="281"/>
  <c r="A22" i="281"/>
  <c r="AB22" i="281"/>
  <c r="AB23" i="281"/>
  <c r="AB24" i="281"/>
  <c r="AB25" i="281"/>
  <c r="AB26" i="281"/>
  <c r="AC26" i="281"/>
  <c r="AD23" i="281" s="1"/>
  <c r="AB27" i="281"/>
  <c r="AB28" i="281"/>
  <c r="P29" i="281"/>
  <c r="AB29" i="281"/>
  <c r="P30" i="281"/>
  <c r="AB30" i="281" s="1"/>
  <c r="P31" i="281"/>
  <c r="AB31" i="281"/>
  <c r="P32" i="281"/>
  <c r="AB32" i="281" s="1"/>
  <c r="P33" i="281"/>
  <c r="AB33" i="281"/>
  <c r="P34" i="281"/>
  <c r="AB34" i="281" s="1"/>
  <c r="P35" i="281"/>
  <c r="AB35" i="281"/>
  <c r="P36" i="281"/>
  <c r="AB36" i="281" s="1"/>
  <c r="P37" i="281"/>
  <c r="AB37" i="281"/>
  <c r="P38" i="281"/>
  <c r="AB38" i="281" s="1"/>
  <c r="P39" i="281"/>
  <c r="AB39" i="281"/>
  <c r="P40" i="281"/>
  <c r="AB40" i="281" s="1"/>
  <c r="P41" i="281"/>
  <c r="AB41" i="281"/>
  <c r="P42" i="281"/>
  <c r="AB42" i="281" s="1"/>
  <c r="AB43" i="281"/>
  <c r="AB44" i="281"/>
  <c r="AB45" i="281"/>
  <c r="AB46" i="281"/>
  <c r="AB47" i="281"/>
  <c r="AB48" i="281"/>
  <c r="AB49" i="281"/>
  <c r="AB50" i="281"/>
  <c r="P51" i="281"/>
  <c r="AB51" i="281"/>
  <c r="AB52" i="281"/>
  <c r="AB53" i="281"/>
  <c r="AB54" i="281"/>
  <c r="AB55" i="280"/>
  <c r="AB54" i="280"/>
  <c r="AB53" i="280"/>
  <c r="AB52" i="280"/>
  <c r="P51" i="280"/>
  <c r="AB51" i="280" s="1"/>
  <c r="AB50" i="280"/>
  <c r="AB49" i="280"/>
  <c r="AB48" i="280"/>
  <c r="AB47" i="280"/>
  <c r="AB46" i="280"/>
  <c r="AB45" i="280"/>
  <c r="AB44" i="280"/>
  <c r="AB43" i="280"/>
  <c r="P42" i="280"/>
  <c r="AB42" i="280" s="1"/>
  <c r="P41" i="280"/>
  <c r="AB41" i="280" s="1"/>
  <c r="P40" i="280"/>
  <c r="AB40" i="280" s="1"/>
  <c r="P39" i="280"/>
  <c r="AB39" i="280" s="1"/>
  <c r="P38" i="280"/>
  <c r="AB38" i="280" s="1"/>
  <c r="P37" i="280"/>
  <c r="AB37" i="280" s="1"/>
  <c r="P36" i="280"/>
  <c r="AB36" i="280" s="1"/>
  <c r="P35" i="280"/>
  <c r="AB35" i="280" s="1"/>
  <c r="P34" i="280"/>
  <c r="AB34" i="280" s="1"/>
  <c r="P33" i="280"/>
  <c r="AB33" i="280" s="1"/>
  <c r="P32" i="280"/>
  <c r="AB32" i="280" s="1"/>
  <c r="P31" i="280"/>
  <c r="AB31" i="280" s="1"/>
  <c r="P30" i="280"/>
  <c r="AB30" i="280" s="1"/>
  <c r="P29" i="280"/>
  <c r="AB29" i="280" s="1"/>
  <c r="AB28" i="280"/>
  <c r="AB27" i="280"/>
  <c r="AB26" i="280"/>
  <c r="AB25" i="280"/>
  <c r="AB24" i="280"/>
  <c r="AB23" i="280"/>
  <c r="AB22" i="280"/>
  <c r="AB21" i="280"/>
  <c r="AB20" i="280"/>
  <c r="AB19" i="280"/>
  <c r="AB18" i="280"/>
  <c r="AB17" i="280"/>
  <c r="AB16" i="280"/>
  <c r="AB15" i="280"/>
  <c r="AB14" i="280"/>
  <c r="AB13" i="280"/>
  <c r="AB12" i="280"/>
  <c r="AB11" i="280"/>
  <c r="AB10" i="280"/>
  <c r="AB9" i="280"/>
  <c r="AB8" i="280"/>
  <c r="AB7" i="280"/>
  <c r="AB6" i="280"/>
  <c r="AB55" i="279"/>
  <c r="AB54" i="279"/>
  <c r="AB53" i="279"/>
  <c r="AB52" i="279"/>
  <c r="P51" i="279"/>
  <c r="AB51" i="279" s="1"/>
  <c r="AB50" i="279"/>
  <c r="AB49" i="279"/>
  <c r="AB48" i="279"/>
  <c r="AB47" i="279"/>
  <c r="AB46" i="279"/>
  <c r="AB45" i="279"/>
  <c r="AB44" i="279"/>
  <c r="AB43" i="279"/>
  <c r="P42" i="279"/>
  <c r="AB42" i="279" s="1"/>
  <c r="P41" i="279"/>
  <c r="AB41" i="279" s="1"/>
  <c r="P40" i="279"/>
  <c r="AB40" i="279" s="1"/>
  <c r="P39" i="279"/>
  <c r="AB39" i="279" s="1"/>
  <c r="P38" i="279"/>
  <c r="AB38" i="279" s="1"/>
  <c r="P37" i="279"/>
  <c r="AB37" i="279" s="1"/>
  <c r="P36" i="279"/>
  <c r="AB36" i="279" s="1"/>
  <c r="P35" i="279"/>
  <c r="AB35" i="279" s="1"/>
  <c r="P34" i="279"/>
  <c r="AB34" i="279" s="1"/>
  <c r="P33" i="279"/>
  <c r="AB33" i="279" s="1"/>
  <c r="P32" i="279"/>
  <c r="AB32" i="279" s="1"/>
  <c r="P31" i="279"/>
  <c r="AB31" i="279" s="1"/>
  <c r="P30" i="279"/>
  <c r="AB30" i="279" s="1"/>
  <c r="P29" i="279"/>
  <c r="AB29" i="279" s="1"/>
  <c r="AB28" i="279"/>
  <c r="AB27" i="279"/>
  <c r="AB26" i="279"/>
  <c r="AB25" i="279"/>
  <c r="AB24" i="279"/>
  <c r="AB23" i="279"/>
  <c r="AB22" i="279"/>
  <c r="AB21" i="279"/>
  <c r="AB20" i="279"/>
  <c r="AB19" i="279"/>
  <c r="AB18" i="279"/>
  <c r="AB17" i="279"/>
  <c r="AB16" i="279"/>
  <c r="AB15" i="279"/>
  <c r="AB14" i="279"/>
  <c r="AB13" i="279"/>
  <c r="AB12" i="279"/>
  <c r="AB11" i="279"/>
  <c r="AB10" i="279"/>
  <c r="AB9" i="279"/>
  <c r="AB8" i="279"/>
  <c r="AB7" i="279"/>
  <c r="AB6" i="279"/>
  <c r="P63" i="246" l="1"/>
  <c r="P64" i="246"/>
  <c r="P62" i="246"/>
  <c r="P61" i="246"/>
  <c r="M45" i="246"/>
  <c r="P16" i="246"/>
  <c r="E45" i="246"/>
  <c r="P29" i="246"/>
  <c r="P40" i="246"/>
  <c r="P30" i="246"/>
  <c r="P36" i="246"/>
  <c r="P15" i="246"/>
  <c r="P37" i="246"/>
  <c r="P14" i="246"/>
  <c r="P38" i="246"/>
  <c r="P13" i="246"/>
  <c r="P39" i="246"/>
  <c r="P42" i="246"/>
  <c r="P43" i="246"/>
  <c r="P44" i="246"/>
  <c r="P41" i="246"/>
  <c r="H45" i="246"/>
  <c r="D45" i="246"/>
  <c r="F22" i="246"/>
  <c r="D70" i="246"/>
  <c r="P32" i="246"/>
  <c r="P34" i="246"/>
  <c r="I22" i="246"/>
  <c r="H22" i="246"/>
  <c r="D22" i="246"/>
  <c r="L46" i="246"/>
  <c r="D46" i="246"/>
  <c r="H46" i="246"/>
  <c r="O45" i="246"/>
  <c r="F70" i="246"/>
  <c r="G46" i="246"/>
  <c r="M70" i="246"/>
  <c r="I70" i="246"/>
  <c r="E70" i="246"/>
  <c r="P71" i="246"/>
  <c r="N45" i="246"/>
  <c r="J45" i="246"/>
  <c r="F45" i="246"/>
  <c r="P33" i="246"/>
  <c r="N46" i="246"/>
  <c r="J46" i="246"/>
  <c r="F46" i="246"/>
  <c r="P65" i="246"/>
  <c r="P57" i="246"/>
  <c r="P56" i="246"/>
  <c r="P54" i="246"/>
  <c r="P68" i="246"/>
  <c r="P60" i="246"/>
  <c r="P67" i="246"/>
  <c r="N70" i="246"/>
  <c r="J70" i="246"/>
  <c r="P59" i="246"/>
  <c r="P35" i="246"/>
  <c r="P31" i="246"/>
  <c r="O46" i="246"/>
  <c r="K46" i="246"/>
  <c r="P53" i="246"/>
  <c r="H70" i="246"/>
  <c r="P66" i="246"/>
  <c r="P58" i="246"/>
  <c r="P55" i="246"/>
  <c r="L70" i="246"/>
  <c r="G70" i="246"/>
  <c r="C70" i="246"/>
  <c r="O70" i="246"/>
  <c r="K70" i="246"/>
  <c r="E22" i="246"/>
  <c r="C21" i="246"/>
  <c r="C45" i="246"/>
  <c r="J22" i="246"/>
  <c r="N21" i="246"/>
  <c r="J21" i="246"/>
  <c r="F21" i="246"/>
  <c r="M21" i="246"/>
  <c r="I21" i="246"/>
  <c r="E21" i="246"/>
  <c r="L21" i="246"/>
  <c r="H21" i="246"/>
  <c r="D21" i="246"/>
  <c r="O21" i="246"/>
  <c r="K21" i="246"/>
  <c r="G21" i="246"/>
  <c r="P23" i="246"/>
  <c r="K22" i="246"/>
  <c r="G22" i="246"/>
  <c r="P47" i="246"/>
  <c r="E46" i="246"/>
  <c r="M46" i="246"/>
  <c r="I46" i="246"/>
  <c r="C46" i="246"/>
  <c r="C22" i="246"/>
  <c r="AD24" i="281"/>
  <c r="AD22" i="281"/>
  <c r="AD25" i="281"/>
  <c r="P10" i="246"/>
  <c r="P69" i="246" l="1"/>
  <c r="P70" i="246"/>
  <c r="P45" i="246"/>
  <c r="P46"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BE36" i="264" s="1"/>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BA36" i="235"/>
  <c r="BA36" i="250"/>
  <c r="BA36" i="255"/>
  <c r="BA36" i="257"/>
  <c r="BA36" i="260"/>
  <c r="BA36" i="251"/>
  <c r="BA36" i="253"/>
  <c r="BA36" i="254"/>
  <c r="BA36" i="256"/>
  <c r="BA36" i="263"/>
  <c r="BA36" i="264"/>
  <c r="BA36" i="272"/>
  <c r="BA36"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N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O156" i="250"/>
  <c r="M156" i="250"/>
  <c r="L156" i="250"/>
  <c r="K156" i="250"/>
  <c r="J156" i="250"/>
  <c r="I156" i="250"/>
  <c r="H156" i="250"/>
  <c r="G156" i="250"/>
  <c r="F156" i="250"/>
  <c r="O156" i="251"/>
  <c r="N156" i="251"/>
  <c r="M156" i="251"/>
  <c r="L156" i="251"/>
  <c r="K156" i="251"/>
  <c r="J156" i="251"/>
  <c r="I156" i="251"/>
  <c r="H156" i="251"/>
  <c r="G156" i="251"/>
  <c r="F156" i="251"/>
  <c r="O156" i="252"/>
  <c r="N156" i="252"/>
  <c r="M156" i="252"/>
  <c r="L156" i="252"/>
  <c r="K156" i="252"/>
  <c r="J156" i="252"/>
  <c r="I156" i="252"/>
  <c r="H156" i="252"/>
  <c r="G156" i="252"/>
  <c r="F156" i="252"/>
  <c r="O156" i="253"/>
  <c r="N156" i="253"/>
  <c r="M156" i="253"/>
  <c r="L156" i="253"/>
  <c r="K156" i="253"/>
  <c r="J156" i="253"/>
  <c r="I156" i="253"/>
  <c r="H156" i="253"/>
  <c r="G156" i="253"/>
  <c r="F156" i="253"/>
  <c r="O156" i="254"/>
  <c r="N156" i="254"/>
  <c r="M156" i="254"/>
  <c r="L156" i="254"/>
  <c r="K156" i="254"/>
  <c r="J156" i="254"/>
  <c r="I156" i="254"/>
  <c r="H156" i="254"/>
  <c r="G156" i="254"/>
  <c r="F156" i="254"/>
  <c r="O156" i="255"/>
  <c r="N156" i="255"/>
  <c r="M156" i="255"/>
  <c r="L156" i="255"/>
  <c r="K156" i="255"/>
  <c r="J156" i="255"/>
  <c r="I156" i="255"/>
  <c r="H156" i="255"/>
  <c r="G156" i="255"/>
  <c r="F156" i="255"/>
  <c r="O156" i="256"/>
  <c r="N156" i="256"/>
  <c r="M156" i="256"/>
  <c r="L156" i="256"/>
  <c r="K156" i="256"/>
  <c r="J156" i="256"/>
  <c r="I156" i="256"/>
  <c r="H156" i="256"/>
  <c r="G156" i="256"/>
  <c r="F156" i="256"/>
  <c r="O156" i="257"/>
  <c r="N156" i="257"/>
  <c r="M156" i="257"/>
  <c r="L156" i="257"/>
  <c r="K156" i="257"/>
  <c r="J156" i="257"/>
  <c r="I156" i="257"/>
  <c r="H156" i="257"/>
  <c r="G156" i="257"/>
  <c r="F156" i="257"/>
  <c r="O156" i="260"/>
  <c r="N156" i="260"/>
  <c r="M156" i="260"/>
  <c r="L156" i="260"/>
  <c r="K156" i="260"/>
  <c r="J156" i="260"/>
  <c r="I156" i="260"/>
  <c r="H156" i="260"/>
  <c r="G156" i="260"/>
  <c r="F156" i="260"/>
  <c r="O156" i="263"/>
  <c r="N156" i="263"/>
  <c r="M156" i="263"/>
  <c r="L156" i="263"/>
  <c r="K156" i="263"/>
  <c r="J156" i="263"/>
  <c r="I156" i="263"/>
  <c r="H156" i="263"/>
  <c r="G156" i="263"/>
  <c r="F156" i="263"/>
  <c r="O156" i="264"/>
  <c r="N156" i="264"/>
  <c r="M156" i="264"/>
  <c r="L156" i="264"/>
  <c r="K156" i="264"/>
  <c r="J156" i="264"/>
  <c r="I156" i="264"/>
  <c r="H156" i="264"/>
  <c r="G156" i="264"/>
  <c r="F156" i="264"/>
  <c r="O156" i="272"/>
  <c r="N156" i="272"/>
  <c r="M156" i="272"/>
  <c r="L156" i="272"/>
  <c r="K156" i="272"/>
  <c r="J156" i="272"/>
  <c r="I156" i="272"/>
  <c r="H156" i="272"/>
  <c r="G156" i="272"/>
  <c r="F156" i="272"/>
  <c r="O156" i="235"/>
  <c r="N156" i="235"/>
  <c r="M156" i="235"/>
  <c r="L156" i="235"/>
  <c r="K156" i="235"/>
  <c r="J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65" i="246"/>
  <c r="R18" i="246"/>
  <c r="E27" i="232"/>
  <c r="E509" i="231"/>
  <c r="C27" i="232" s="1"/>
  <c r="B27" i="232"/>
  <c r="G27" i="232"/>
  <c r="G28" i="232" s="1"/>
  <c r="G29" i="232" s="1"/>
  <c r="F27" i="232"/>
  <c r="F28" i="232" s="1"/>
  <c r="F29" i="232" s="1"/>
  <c r="BS57" i="251" l="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V79" i="264"/>
  <c r="V121"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22" i="246"/>
  <c r="N22"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22" i="246"/>
  <c r="P11" i="246"/>
  <c r="P12" i="246"/>
  <c r="P6" i="246"/>
  <c r="P7" i="246"/>
  <c r="P9" i="246"/>
  <c r="P8" i="246"/>
  <c r="P19" i="246"/>
  <c r="P20"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1" i="251"/>
  <c r="I131" i="252"/>
  <c r="I131" i="253"/>
  <c r="I131" i="254"/>
  <c r="I131" i="255"/>
  <c r="I131" i="256"/>
  <c r="I131" i="257"/>
  <c r="I131" i="260"/>
  <c r="I131" i="263"/>
  <c r="I131" i="264"/>
  <c r="I131" i="272"/>
  <c r="W26" i="272" s="1"/>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I132" i="250" l="1"/>
  <c r="W26" i="250"/>
  <c r="I132" i="253"/>
  <c r="W26" i="253"/>
  <c r="I132" i="255"/>
  <c r="W26" i="255"/>
  <c r="I132" i="254"/>
  <c r="W26" i="254"/>
  <c r="I132" i="235"/>
  <c r="I132" i="252"/>
  <c r="W26" i="252"/>
  <c r="I132" i="263"/>
  <c r="W26" i="263"/>
  <c r="I132" i="251"/>
  <c r="W26" i="251"/>
  <c r="I132" i="264"/>
  <c r="W26" i="264"/>
  <c r="I132" i="260"/>
  <c r="W26" i="260"/>
  <c r="I132" i="257"/>
  <c r="W26" i="257"/>
  <c r="I132" i="256"/>
  <c r="W26" i="256"/>
  <c r="P17"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I132" i="272"/>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27" i="264"/>
  <c r="V127" i="272"/>
  <c r="V124" i="272"/>
  <c r="V126" i="252"/>
  <c r="V128" i="253"/>
  <c r="V128" i="251"/>
  <c r="V126" i="250"/>
  <c r="V119" i="254"/>
  <c r="V127" i="263"/>
  <c r="V128" i="263"/>
  <c r="V126" i="263"/>
  <c r="V124" i="263"/>
  <c r="V122" i="263"/>
  <c r="V126" i="264"/>
  <c r="V122" i="264"/>
  <c r="V128" i="255"/>
  <c r="V124" i="255"/>
  <c r="V123" i="255"/>
  <c r="V124" i="250"/>
  <c r="V128" i="272"/>
  <c r="V126" i="272"/>
  <c r="V123" i="272"/>
  <c r="V119" i="272"/>
  <c r="V122" i="272"/>
  <c r="V128" i="257"/>
  <c r="V119" i="257"/>
  <c r="V124" i="252"/>
  <c r="V123" i="252"/>
  <c r="V119" i="252"/>
  <c r="V124" i="253"/>
  <c r="V119" i="253"/>
  <c r="V127" i="251"/>
  <c r="V124" i="251"/>
  <c r="V121" i="251"/>
  <c r="V126" i="256"/>
  <c r="V119" i="256"/>
  <c r="V122" i="256"/>
  <c r="V100" i="254"/>
  <c r="V108" i="263"/>
  <c r="V108" i="264"/>
  <c r="V108" i="255"/>
  <c r="V104" i="250"/>
  <c r="V101" i="250"/>
  <c r="V107" i="272"/>
  <c r="V107" i="257"/>
  <c r="V104" i="252"/>
  <c r="V108" i="251"/>
  <c r="V105" i="251"/>
  <c r="V108" i="256"/>
  <c r="V105" i="235"/>
  <c r="V104" i="255"/>
  <c r="V107" i="254"/>
  <c r="V105" i="254"/>
  <c r="V107" i="263"/>
  <c r="V106" i="263"/>
  <c r="V104" i="263"/>
  <c r="V101" i="263"/>
  <c r="V107" i="264"/>
  <c r="V106" i="264"/>
  <c r="V104" i="264"/>
  <c r="V103" i="264"/>
  <c r="V102" i="264"/>
  <c r="V107" i="255"/>
  <c r="V106" i="255"/>
  <c r="V100" i="255"/>
  <c r="V101" i="255"/>
  <c r="V102" i="255"/>
  <c r="V107" i="250"/>
  <c r="V106" i="250"/>
  <c r="V99" i="250"/>
  <c r="V100" i="250"/>
  <c r="V106" i="272"/>
  <c r="V104" i="272"/>
  <c r="V101" i="272"/>
  <c r="V104" i="257"/>
  <c r="V101" i="257"/>
  <c r="V106" i="257"/>
  <c r="V107" i="252"/>
  <c r="V108" i="252"/>
  <c r="V105" i="252"/>
  <c r="V99" i="252"/>
  <c r="V107" i="253"/>
  <c r="V108" i="253"/>
  <c r="V106" i="253"/>
  <c r="V105" i="253"/>
  <c r="V104" i="253"/>
  <c r="V103" i="253"/>
  <c r="V101" i="253"/>
  <c r="V107" i="251"/>
  <c r="V104" i="251"/>
  <c r="V103" i="251"/>
  <c r="V100" i="251"/>
  <c r="V102" i="251"/>
  <c r="V107" i="256"/>
  <c r="V106" i="256"/>
  <c r="V105" i="256"/>
  <c r="V104" i="256"/>
  <c r="V101" i="256"/>
  <c r="V88" i="254"/>
  <c r="V86" i="250"/>
  <c r="V86" i="252"/>
  <c r="V85" i="263"/>
  <c r="V85" i="264"/>
  <c r="V84" i="264"/>
  <c r="V84" i="250"/>
  <c r="V84" i="251"/>
  <c r="V85" i="252"/>
  <c r="V85" i="251"/>
  <c r="V83" i="272"/>
  <c r="V79" i="272"/>
  <c r="V81" i="257"/>
  <c r="V81" i="251"/>
  <c r="V82" i="263"/>
  <c r="V82" i="264"/>
  <c r="V82" i="251"/>
  <c r="V78" i="250"/>
  <c r="D97" i="249"/>
  <c r="D96" i="249"/>
  <c r="D95" i="249"/>
  <c r="D94" i="249"/>
  <c r="D296" i="249" s="1"/>
  <c r="D93" i="249"/>
  <c r="I92" i="249"/>
  <c r="D92" i="249"/>
  <c r="D91" i="249"/>
  <c r="D293" i="249" s="1"/>
  <c r="V121" i="272"/>
  <c r="V108" i="272"/>
  <c r="V77" i="272"/>
  <c r="D14" i="272"/>
  <c r="D6" i="235"/>
  <c r="C150" i="235" s="1"/>
  <c r="C156" i="235" s="1"/>
  <c r="D5" i="235"/>
  <c r="D6" i="272"/>
  <c r="C150" i="272" s="1"/>
  <c r="C156" i="272" s="1"/>
  <c r="D5" i="272"/>
  <c r="E134" i="216"/>
  <c r="E133" i="216"/>
  <c r="B476" i="231"/>
  <c r="B467" i="231"/>
  <c r="B455" i="231"/>
  <c r="T128" i="272"/>
  <c r="T127" i="272"/>
  <c r="T126" i="272"/>
  <c r="T125" i="272"/>
  <c r="T124" i="272"/>
  <c r="T123" i="272"/>
  <c r="T122" i="272"/>
  <c r="T121" i="272"/>
  <c r="T120" i="272"/>
  <c r="T119" i="272"/>
  <c r="E115" i="272"/>
  <c r="F115" i="272" s="1"/>
  <c r="G115" i="272" s="1"/>
  <c r="H115" i="272" s="1"/>
  <c r="I115" i="272" s="1"/>
  <c r="J115" i="272" s="1"/>
  <c r="K115" i="272" s="1"/>
  <c r="L115" i="272" s="1"/>
  <c r="M115" i="272" s="1"/>
  <c r="N115" i="272" s="1"/>
  <c r="T118" i="272"/>
  <c r="V116" i="272"/>
  <c r="T108" i="272"/>
  <c r="T107" i="272"/>
  <c r="T106" i="272"/>
  <c r="T105" i="272"/>
  <c r="T104" i="272"/>
  <c r="T103" i="272"/>
  <c r="T102" i="272"/>
  <c r="T101" i="272"/>
  <c r="T100" i="272"/>
  <c r="T99" i="272"/>
  <c r="E95" i="272"/>
  <c r="F95" i="272" s="1"/>
  <c r="G95" i="272" s="1"/>
  <c r="H95" i="272" s="1"/>
  <c r="I95" i="272" s="1"/>
  <c r="J95" i="272" s="1"/>
  <c r="K95" i="272" s="1"/>
  <c r="L95" i="272" s="1"/>
  <c r="M95" i="272" s="1"/>
  <c r="N95" i="272" s="1"/>
  <c r="T98" i="272"/>
  <c r="T88" i="272"/>
  <c r="T87" i="272"/>
  <c r="T86" i="272"/>
  <c r="T85" i="272"/>
  <c r="T84" i="272"/>
  <c r="T83" i="272"/>
  <c r="T82" i="272"/>
  <c r="T81" i="272"/>
  <c r="T80" i="272"/>
  <c r="T79"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V101" i="260"/>
  <c r="V108" i="257"/>
  <c r="V101" i="252"/>
  <c r="V87" i="263"/>
  <c r="V88" i="260"/>
  <c r="V88" i="263"/>
  <c r="V81" i="264"/>
  <c r="V88" i="250"/>
  <c r="V87" i="272"/>
  <c r="V88" i="272"/>
  <c r="V86" i="272"/>
  <c r="V84" i="272"/>
  <c r="V84" i="235"/>
  <c r="X84" i="235" s="1"/>
  <c r="V83" i="263"/>
  <c r="V88" i="252"/>
  <c r="V84" i="252"/>
  <c r="V81" i="263"/>
  <c r="V81" i="272"/>
  <c r="V81" i="253"/>
  <c r="V86" i="253"/>
  <c r="V84" i="253"/>
  <c r="V80" i="250"/>
  <c r="V86" i="251"/>
  <c r="V79" i="263"/>
  <c r="V83" i="251"/>
  <c r="V78" i="251"/>
  <c r="V87" i="260"/>
  <c r="V83" i="264"/>
  <c r="V80" i="251"/>
  <c r="V82" i="253"/>
  <c r="V86" i="254"/>
  <c r="V87" i="256"/>
  <c r="V87" i="255"/>
  <c r="V108" i="250"/>
  <c r="V102" i="250"/>
  <c r="V106" i="251"/>
  <c r="V101" i="251"/>
  <c r="V106" i="252"/>
  <c r="V102" i="252"/>
  <c r="V105" i="255"/>
  <c r="V99" i="255"/>
  <c r="V102" i="256"/>
  <c r="V103" i="263"/>
  <c r="V101" i="264"/>
  <c r="V100" i="264"/>
  <c r="T99" i="250"/>
  <c r="T100" i="250"/>
  <c r="T101" i="250"/>
  <c r="T102" i="250"/>
  <c r="T103" i="250"/>
  <c r="T104" i="250"/>
  <c r="T105" i="250"/>
  <c r="T106" i="250"/>
  <c r="T107" i="250"/>
  <c r="T108" i="250"/>
  <c r="T99" i="251"/>
  <c r="T100" i="251"/>
  <c r="T101" i="251"/>
  <c r="T102" i="251"/>
  <c r="T103" i="251"/>
  <c r="T104" i="251"/>
  <c r="T105" i="251"/>
  <c r="T106" i="251"/>
  <c r="T107" i="251"/>
  <c r="T108" i="251"/>
  <c r="T99" i="252"/>
  <c r="T100" i="252"/>
  <c r="T101" i="252"/>
  <c r="T102" i="252"/>
  <c r="T103" i="252"/>
  <c r="T104" i="252"/>
  <c r="T105" i="252"/>
  <c r="T106" i="252"/>
  <c r="T107" i="252"/>
  <c r="T108" i="252"/>
  <c r="T99" i="253"/>
  <c r="T100" i="253"/>
  <c r="T101" i="253"/>
  <c r="T102" i="253"/>
  <c r="T103" i="253"/>
  <c r="T104" i="253"/>
  <c r="T105" i="253"/>
  <c r="T106" i="253"/>
  <c r="T107" i="253"/>
  <c r="T108" i="253"/>
  <c r="T99" i="254"/>
  <c r="T100" i="254"/>
  <c r="T101" i="254"/>
  <c r="T102" i="254"/>
  <c r="T103" i="254"/>
  <c r="T104" i="254"/>
  <c r="T105" i="254"/>
  <c r="T106" i="254"/>
  <c r="T107" i="254"/>
  <c r="T108" i="254"/>
  <c r="T99" i="255"/>
  <c r="T100" i="255"/>
  <c r="T101" i="255"/>
  <c r="T102" i="255"/>
  <c r="T103" i="255"/>
  <c r="T104" i="255"/>
  <c r="T105" i="255"/>
  <c r="T106" i="255"/>
  <c r="T107" i="255"/>
  <c r="T108" i="255"/>
  <c r="T99" i="256"/>
  <c r="T100" i="256"/>
  <c r="T101" i="256"/>
  <c r="T102" i="256"/>
  <c r="T103" i="256"/>
  <c r="T104" i="256"/>
  <c r="T105" i="256"/>
  <c r="T106" i="256"/>
  <c r="T107" i="256"/>
  <c r="T108" i="256"/>
  <c r="T99" i="257"/>
  <c r="T100" i="257"/>
  <c r="T101" i="257"/>
  <c r="T102" i="257"/>
  <c r="T103" i="257"/>
  <c r="T104" i="257"/>
  <c r="T105" i="257"/>
  <c r="T106" i="257"/>
  <c r="T107" i="257"/>
  <c r="T108" i="257"/>
  <c r="T99" i="260"/>
  <c r="T100" i="260"/>
  <c r="T101" i="260"/>
  <c r="T102" i="260"/>
  <c r="T103" i="260"/>
  <c r="T104" i="260"/>
  <c r="T105" i="260"/>
  <c r="T106" i="260"/>
  <c r="T107" i="260"/>
  <c r="T108" i="260"/>
  <c r="T99" i="263"/>
  <c r="T100" i="263"/>
  <c r="T101" i="263"/>
  <c r="T102" i="263"/>
  <c r="T103" i="263"/>
  <c r="T104" i="263"/>
  <c r="T105" i="263"/>
  <c r="T106" i="263"/>
  <c r="T107" i="263"/>
  <c r="T108" i="263"/>
  <c r="T99" i="264"/>
  <c r="T100" i="264"/>
  <c r="T101" i="264"/>
  <c r="T102" i="264"/>
  <c r="T103" i="264"/>
  <c r="T104" i="264"/>
  <c r="T105" i="264"/>
  <c r="T106" i="264"/>
  <c r="T107" i="264"/>
  <c r="T108" i="264"/>
  <c r="T99" i="235"/>
  <c r="T100" i="235"/>
  <c r="T101" i="235"/>
  <c r="T102" i="235"/>
  <c r="T103" i="235"/>
  <c r="T104" i="235"/>
  <c r="T105" i="235"/>
  <c r="T106" i="235"/>
  <c r="T107" i="235"/>
  <c r="T108" i="235"/>
  <c r="T98" i="250"/>
  <c r="T98" i="251"/>
  <c r="T98" i="252"/>
  <c r="T98" i="253"/>
  <c r="T98" i="254"/>
  <c r="T98" i="255"/>
  <c r="T98" i="256"/>
  <c r="T98" i="257"/>
  <c r="T98" i="260"/>
  <c r="T98" i="263"/>
  <c r="T98" i="264"/>
  <c r="T98" i="235"/>
  <c r="V97" i="260"/>
  <c r="V97" i="263"/>
  <c r="E95" i="250"/>
  <c r="F95" i="250" s="1"/>
  <c r="G95" i="250" s="1"/>
  <c r="H95" i="250" s="1"/>
  <c r="I95" i="250" s="1"/>
  <c r="J95" i="250" s="1"/>
  <c r="K95" i="250" s="1"/>
  <c r="L95" i="250" s="1"/>
  <c r="M95" i="250" s="1"/>
  <c r="N95" i="250" s="1"/>
  <c r="E95" i="251"/>
  <c r="F95" i="251" s="1"/>
  <c r="G95" i="251" s="1"/>
  <c r="H95" i="251" s="1"/>
  <c r="I95" i="251" s="1"/>
  <c r="J95" i="251" s="1"/>
  <c r="K95" i="251" s="1"/>
  <c r="L95" i="251" s="1"/>
  <c r="M95" i="251" s="1"/>
  <c r="N95" i="251" s="1"/>
  <c r="E95" i="252"/>
  <c r="F95" i="252" s="1"/>
  <c r="G95" i="252" s="1"/>
  <c r="H95" i="252" s="1"/>
  <c r="I95" i="252" s="1"/>
  <c r="J95" i="252" s="1"/>
  <c r="K95" i="252" s="1"/>
  <c r="L95" i="252" s="1"/>
  <c r="M95" i="252" s="1"/>
  <c r="N95" i="252" s="1"/>
  <c r="E95" i="253"/>
  <c r="F95" i="253" s="1"/>
  <c r="G95" i="253" s="1"/>
  <c r="H95" i="253" s="1"/>
  <c r="I95" i="253" s="1"/>
  <c r="J95" i="253" s="1"/>
  <c r="K95" i="253" s="1"/>
  <c r="L95" i="253" s="1"/>
  <c r="M95" i="253" s="1"/>
  <c r="N95" i="253" s="1"/>
  <c r="E95" i="254"/>
  <c r="F95" i="254" s="1"/>
  <c r="G95" i="254" s="1"/>
  <c r="H95" i="254" s="1"/>
  <c r="I95" i="254" s="1"/>
  <c r="J95" i="254" s="1"/>
  <c r="K95" i="254" s="1"/>
  <c r="L95" i="254" s="1"/>
  <c r="M95" i="254" s="1"/>
  <c r="N95" i="254" s="1"/>
  <c r="E95" i="255"/>
  <c r="F95" i="255" s="1"/>
  <c r="G95" i="255" s="1"/>
  <c r="H95" i="255" s="1"/>
  <c r="I95" i="255" s="1"/>
  <c r="J95" i="255" s="1"/>
  <c r="K95" i="255" s="1"/>
  <c r="L95" i="255" s="1"/>
  <c r="M95" i="255" s="1"/>
  <c r="N95" i="255" s="1"/>
  <c r="E95" i="256"/>
  <c r="F95" i="256" s="1"/>
  <c r="G95" i="256" s="1"/>
  <c r="H95" i="256" s="1"/>
  <c r="I95" i="256" s="1"/>
  <c r="J95" i="256" s="1"/>
  <c r="K95" i="256" s="1"/>
  <c r="L95" i="256" s="1"/>
  <c r="M95" i="256" s="1"/>
  <c r="N95" i="256" s="1"/>
  <c r="E95" i="257"/>
  <c r="F95" i="257" s="1"/>
  <c r="G95" i="257" s="1"/>
  <c r="H95" i="257" s="1"/>
  <c r="I95" i="257" s="1"/>
  <c r="J95" i="257" s="1"/>
  <c r="K95" i="257" s="1"/>
  <c r="L95" i="257" s="1"/>
  <c r="M95" i="257" s="1"/>
  <c r="E95" i="260"/>
  <c r="F95" i="260" s="1"/>
  <c r="G95" i="260" s="1"/>
  <c r="H95" i="260" s="1"/>
  <c r="I95" i="260" s="1"/>
  <c r="J95" i="260" s="1"/>
  <c r="K95" i="260" s="1"/>
  <c r="L95" i="260" s="1"/>
  <c r="M95" i="260" s="1"/>
  <c r="N95" i="260" s="1"/>
  <c r="E95" i="263"/>
  <c r="F95" i="263" s="1"/>
  <c r="G95" i="263" s="1"/>
  <c r="H95" i="263" s="1"/>
  <c r="I95" i="263" s="1"/>
  <c r="J95" i="263" s="1"/>
  <c r="K95" i="263" s="1"/>
  <c r="L95" i="263" s="1"/>
  <c r="M95" i="263" s="1"/>
  <c r="N95" i="263" s="1"/>
  <c r="E95" i="264"/>
  <c r="F95" i="264" s="1"/>
  <c r="G95" i="264" s="1"/>
  <c r="H95" i="264" s="1"/>
  <c r="I95" i="264" s="1"/>
  <c r="J95" i="264" s="1"/>
  <c r="K95" i="264" s="1"/>
  <c r="L95" i="264" s="1"/>
  <c r="M95" i="264" s="1"/>
  <c r="N95" i="264" s="1"/>
  <c r="E95" i="235"/>
  <c r="F95" i="235" s="1"/>
  <c r="G95" i="235" s="1"/>
  <c r="H95" i="235" s="1"/>
  <c r="I95" i="235" s="1"/>
  <c r="J95" i="235" s="1"/>
  <c r="K95" i="235" s="1"/>
  <c r="L95" i="235" s="1"/>
  <c r="M95" i="235" s="1"/>
  <c r="N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I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I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I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I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I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20" i="250"/>
  <c r="V121" i="250"/>
  <c r="V123" i="250"/>
  <c r="V127" i="250"/>
  <c r="V119" i="251"/>
  <c r="V123" i="251"/>
  <c r="V126" i="251"/>
  <c r="V125" i="252"/>
  <c r="V127" i="252"/>
  <c r="V128" i="252"/>
  <c r="V121" i="253"/>
  <c r="V122" i="253"/>
  <c r="V123" i="253"/>
  <c r="V126" i="253"/>
  <c r="V127" i="253"/>
  <c r="V127" i="254"/>
  <c r="V128" i="254"/>
  <c r="V121" i="255"/>
  <c r="V122" i="255"/>
  <c r="V126" i="255"/>
  <c r="V127" i="255"/>
  <c r="V121" i="256"/>
  <c r="V123" i="256"/>
  <c r="V124" i="256"/>
  <c r="V127" i="256"/>
  <c r="V128" i="256"/>
  <c r="V124" i="257"/>
  <c r="V126" i="257"/>
  <c r="V121" i="260"/>
  <c r="V119" i="263"/>
  <c r="V121" i="263"/>
  <c r="V125" i="263"/>
  <c r="V119" i="264"/>
  <c r="V121" i="264"/>
  <c r="V123" i="264"/>
  <c r="V124" i="264"/>
  <c r="V125" i="264"/>
  <c r="V128" i="264"/>
  <c r="V123" i="235"/>
  <c r="V128" i="235"/>
  <c r="V118" i="263"/>
  <c r="V117" i="260"/>
  <c r="V117" i="263"/>
  <c r="T119" i="250"/>
  <c r="T120" i="250"/>
  <c r="T121" i="250"/>
  <c r="T122" i="250"/>
  <c r="T123" i="250"/>
  <c r="T124" i="250"/>
  <c r="T125" i="250"/>
  <c r="T126" i="250"/>
  <c r="T127" i="250"/>
  <c r="T128" i="250"/>
  <c r="T119" i="251"/>
  <c r="T120" i="251"/>
  <c r="T121" i="251"/>
  <c r="T122" i="251"/>
  <c r="T123" i="251"/>
  <c r="T124" i="251"/>
  <c r="T125" i="251"/>
  <c r="T126" i="251"/>
  <c r="T127" i="251"/>
  <c r="T128" i="251"/>
  <c r="T119" i="252"/>
  <c r="T120" i="252"/>
  <c r="T121" i="252"/>
  <c r="T122" i="252"/>
  <c r="T123" i="252"/>
  <c r="T124" i="252"/>
  <c r="T125" i="252"/>
  <c r="T126" i="252"/>
  <c r="T127" i="252"/>
  <c r="T128" i="252"/>
  <c r="T119" i="253"/>
  <c r="T120" i="253"/>
  <c r="T121" i="253"/>
  <c r="T122" i="253"/>
  <c r="T123" i="253"/>
  <c r="T124" i="253"/>
  <c r="T125" i="253"/>
  <c r="T126" i="253"/>
  <c r="T127" i="253"/>
  <c r="T128" i="253"/>
  <c r="T119" i="254"/>
  <c r="T120" i="254"/>
  <c r="T121" i="254"/>
  <c r="T122" i="254"/>
  <c r="T123" i="254"/>
  <c r="T124" i="254"/>
  <c r="T125" i="254"/>
  <c r="T126" i="254"/>
  <c r="T127" i="254"/>
  <c r="T128" i="254"/>
  <c r="T119" i="255"/>
  <c r="T120" i="255"/>
  <c r="T121" i="255"/>
  <c r="T122" i="255"/>
  <c r="T123" i="255"/>
  <c r="T124" i="255"/>
  <c r="T125" i="255"/>
  <c r="T126" i="255"/>
  <c r="T127" i="255"/>
  <c r="T128" i="255"/>
  <c r="T119" i="256"/>
  <c r="T120" i="256"/>
  <c r="T121" i="256"/>
  <c r="T122" i="256"/>
  <c r="T123" i="256"/>
  <c r="T124" i="256"/>
  <c r="T125" i="256"/>
  <c r="T126" i="256"/>
  <c r="T127" i="256"/>
  <c r="T128" i="256"/>
  <c r="T119" i="257"/>
  <c r="T120" i="257"/>
  <c r="T121" i="257"/>
  <c r="T122" i="257"/>
  <c r="T123" i="257"/>
  <c r="T124" i="257"/>
  <c r="T125" i="257"/>
  <c r="T126" i="257"/>
  <c r="T127" i="257"/>
  <c r="T128" i="257"/>
  <c r="T119" i="260"/>
  <c r="T120" i="260"/>
  <c r="T121" i="260"/>
  <c r="T122" i="260"/>
  <c r="T123" i="260"/>
  <c r="T124" i="260"/>
  <c r="T125" i="260"/>
  <c r="T126" i="260"/>
  <c r="T127" i="260"/>
  <c r="T128" i="260"/>
  <c r="T119" i="263"/>
  <c r="T120" i="263"/>
  <c r="T121" i="263"/>
  <c r="T122" i="263"/>
  <c r="T123" i="263"/>
  <c r="T124" i="263"/>
  <c r="T125" i="263"/>
  <c r="T126" i="263"/>
  <c r="T127" i="263"/>
  <c r="T128" i="263"/>
  <c r="T119" i="264"/>
  <c r="T120" i="264"/>
  <c r="T121" i="264"/>
  <c r="T122" i="264"/>
  <c r="T123" i="264"/>
  <c r="T124" i="264"/>
  <c r="T125" i="264"/>
  <c r="T126" i="264"/>
  <c r="T127" i="264"/>
  <c r="T128" i="264"/>
  <c r="T119" i="235"/>
  <c r="T120" i="235"/>
  <c r="T121" i="235"/>
  <c r="T122" i="235"/>
  <c r="T123" i="235"/>
  <c r="T124" i="235"/>
  <c r="T125" i="235"/>
  <c r="T126" i="235"/>
  <c r="T127" i="235"/>
  <c r="T128" i="235"/>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87" i="250"/>
  <c r="V82" i="250"/>
  <c r="V81" i="250"/>
  <c r="V77" i="250"/>
  <c r="V76" i="250"/>
  <c r="V88" i="251"/>
  <c r="V87" i="251"/>
  <c r="V77" i="251"/>
  <c r="V76" i="251"/>
  <c r="V87" i="252"/>
  <c r="V83" i="252"/>
  <c r="V82" i="252"/>
  <c r="V81" i="252"/>
  <c r="V79" i="252"/>
  <c r="V77" i="252"/>
  <c r="V76" i="252"/>
  <c r="V88" i="253"/>
  <c r="V87" i="253"/>
  <c r="V80" i="253"/>
  <c r="V79" i="253"/>
  <c r="V77" i="253"/>
  <c r="V76" i="253"/>
  <c r="V87" i="254"/>
  <c r="V77" i="254"/>
  <c r="V76" i="254"/>
  <c r="V88" i="255"/>
  <c r="V77" i="255"/>
  <c r="V76" i="255"/>
  <c r="V88" i="256"/>
  <c r="V84" i="256"/>
  <c r="V77" i="256"/>
  <c r="V76" i="256"/>
  <c r="V88" i="257"/>
  <c r="V79" i="257"/>
  <c r="V77" i="257"/>
  <c r="V76" i="257"/>
  <c r="V86" i="260"/>
  <c r="V77" i="260"/>
  <c r="V76" i="260"/>
  <c r="V88" i="264"/>
  <c r="V87" i="264"/>
  <c r="V86" i="264"/>
  <c r="V78" i="264"/>
  <c r="V77" i="264"/>
  <c r="V76" i="264"/>
  <c r="V86" i="263"/>
  <c r="V80" i="263"/>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T88" i="264"/>
  <c r="T87" i="264"/>
  <c r="T86" i="264"/>
  <c r="T85" i="264"/>
  <c r="T84" i="264"/>
  <c r="T83" i="264"/>
  <c r="T82" i="264"/>
  <c r="T81" i="264"/>
  <c r="T80" i="264"/>
  <c r="T79" i="264"/>
  <c r="E75" i="264"/>
  <c r="F75" i="264" s="1"/>
  <c r="G75" i="264" s="1"/>
  <c r="H75" i="264" s="1"/>
  <c r="I75" i="264" s="1"/>
  <c r="T78" i="264"/>
  <c r="I96" i="264"/>
  <c r="D10" i="264"/>
  <c r="D11" i="264" s="1"/>
  <c r="F6" i="264"/>
  <c r="T88" i="263"/>
  <c r="T87" i="263"/>
  <c r="T86" i="263"/>
  <c r="T85" i="263"/>
  <c r="T84" i="263"/>
  <c r="T83" i="263"/>
  <c r="T82" i="263"/>
  <c r="T81" i="263"/>
  <c r="T80" i="263"/>
  <c r="T79" i="263"/>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T88" i="260"/>
  <c r="T87" i="260"/>
  <c r="T86" i="260"/>
  <c r="T85" i="260"/>
  <c r="T84" i="260"/>
  <c r="T83" i="260"/>
  <c r="T82" i="260"/>
  <c r="T81" i="260"/>
  <c r="T80" i="260"/>
  <c r="T79" i="260"/>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T88" i="257"/>
  <c r="T87" i="257"/>
  <c r="T86" i="257"/>
  <c r="T85" i="257"/>
  <c r="T84" i="257"/>
  <c r="T83" i="257"/>
  <c r="T82" i="257"/>
  <c r="T81" i="257"/>
  <c r="T80" i="257"/>
  <c r="T79" i="257"/>
  <c r="E75" i="257"/>
  <c r="F75" i="257" s="1"/>
  <c r="G75" i="257" s="1"/>
  <c r="H75" i="257" s="1"/>
  <c r="I75" i="257" s="1"/>
  <c r="J75" i="257" s="1"/>
  <c r="K75" i="257" s="1"/>
  <c r="L75" i="257" s="1"/>
  <c r="M75" i="257" s="1"/>
  <c r="T78" i="257"/>
  <c r="H76" i="257"/>
  <c r="H116" i="257" s="1"/>
  <c r="E96" i="257"/>
  <c r="D76" i="257"/>
  <c r="D116" i="257" s="1"/>
  <c r="D10" i="257"/>
  <c r="D11" i="257" s="1"/>
  <c r="T88" i="256"/>
  <c r="T87" i="256"/>
  <c r="T86" i="256"/>
  <c r="T85" i="256"/>
  <c r="T84" i="256"/>
  <c r="T83" i="256"/>
  <c r="T82" i="256"/>
  <c r="T81" i="256"/>
  <c r="T80" i="256"/>
  <c r="T79" i="256"/>
  <c r="E75" i="256"/>
  <c r="F75" i="256" s="1"/>
  <c r="G75" i="256" s="1"/>
  <c r="H75" i="256" s="1"/>
  <c r="I75" i="256" s="1"/>
  <c r="J75" i="256" s="1"/>
  <c r="K75" i="256" s="1"/>
  <c r="L75" i="256" s="1"/>
  <c r="M75" i="256" s="1"/>
  <c r="N75" i="256" s="1"/>
  <c r="T78" i="256"/>
  <c r="N96" i="256"/>
  <c r="M76" i="256"/>
  <c r="M116" i="256" s="1"/>
  <c r="D10" i="256"/>
  <c r="D11" i="256" s="1"/>
  <c r="T88" i="255"/>
  <c r="T87" i="255"/>
  <c r="T86" i="255"/>
  <c r="T85" i="255"/>
  <c r="T84" i="255"/>
  <c r="T83" i="255"/>
  <c r="T82" i="255"/>
  <c r="T81" i="255"/>
  <c r="T80" i="255"/>
  <c r="T79" i="255"/>
  <c r="E75" i="255"/>
  <c r="T78" i="255"/>
  <c r="N96" i="255"/>
  <c r="J76" i="255"/>
  <c r="J116" i="255" s="1"/>
  <c r="E76" i="255"/>
  <c r="E116" i="255" s="1"/>
  <c r="C76" i="255"/>
  <c r="C116" i="255" s="1"/>
  <c r="D10" i="255"/>
  <c r="D11" i="255" s="1"/>
  <c r="T88" i="254"/>
  <c r="T87" i="254"/>
  <c r="T86" i="254"/>
  <c r="T85" i="254"/>
  <c r="T84" i="254"/>
  <c r="T83" i="254"/>
  <c r="T82" i="254"/>
  <c r="T81" i="254"/>
  <c r="T80" i="254"/>
  <c r="T79" i="254"/>
  <c r="E75" i="254"/>
  <c r="F75" i="254" s="1"/>
  <c r="T78" i="254"/>
  <c r="C96" i="254"/>
  <c r="D10" i="254"/>
  <c r="D11" i="254" s="1"/>
  <c r="T88" i="253"/>
  <c r="T87" i="253"/>
  <c r="T86" i="253"/>
  <c r="T85" i="253"/>
  <c r="T84" i="253"/>
  <c r="T83" i="253"/>
  <c r="T82" i="253"/>
  <c r="T81" i="253"/>
  <c r="T80" i="253"/>
  <c r="T79" i="253"/>
  <c r="E75" i="253"/>
  <c r="F75" i="253" s="1"/>
  <c r="G75" i="253" s="1"/>
  <c r="H75" i="253" s="1"/>
  <c r="I75" i="253" s="1"/>
  <c r="J75" i="253" s="1"/>
  <c r="K75" i="253" s="1"/>
  <c r="L75" i="253" s="1"/>
  <c r="M75" i="253" s="1"/>
  <c r="N75" i="253" s="1"/>
  <c r="T78" i="253"/>
  <c r="C76" i="253"/>
  <c r="C116" i="253" s="1"/>
  <c r="D10" i="253"/>
  <c r="D11" i="253" s="1"/>
  <c r="T88" i="252"/>
  <c r="T87" i="252"/>
  <c r="T86" i="252"/>
  <c r="T85" i="252"/>
  <c r="T84" i="252"/>
  <c r="T83" i="252"/>
  <c r="T82" i="252"/>
  <c r="T81" i="252"/>
  <c r="T80" i="252"/>
  <c r="T79" i="252"/>
  <c r="E75" i="252"/>
  <c r="F75" i="252" s="1"/>
  <c r="G75" i="252" s="1"/>
  <c r="H75" i="252" s="1"/>
  <c r="I75" i="252" s="1"/>
  <c r="T78" i="252"/>
  <c r="C76" i="252"/>
  <c r="C116" i="252" s="1"/>
  <c r="D10" i="252"/>
  <c r="D11" i="252" s="1"/>
  <c r="T88" i="251"/>
  <c r="T87" i="251"/>
  <c r="T86" i="251"/>
  <c r="T85" i="251"/>
  <c r="T84" i="251"/>
  <c r="T83" i="251"/>
  <c r="T82" i="251"/>
  <c r="T81" i="251"/>
  <c r="T80" i="251"/>
  <c r="T79" i="251"/>
  <c r="E75" i="251"/>
  <c r="T78" i="251"/>
  <c r="N96" i="251"/>
  <c r="J76" i="251"/>
  <c r="J116" i="251" s="1"/>
  <c r="C76" i="251"/>
  <c r="C116" i="251" s="1"/>
  <c r="D10" i="251"/>
  <c r="D11" i="251" s="1"/>
  <c r="T88" i="250"/>
  <c r="T87" i="250"/>
  <c r="T86" i="250"/>
  <c r="T85" i="250"/>
  <c r="T84" i="250"/>
  <c r="T83" i="250"/>
  <c r="T82" i="250"/>
  <c r="T81" i="250"/>
  <c r="T80" i="250"/>
  <c r="T79" i="250"/>
  <c r="E75" i="250"/>
  <c r="F75" i="250" s="1"/>
  <c r="T78" i="250"/>
  <c r="J96" i="250"/>
  <c r="D10" i="250"/>
  <c r="D11" i="250" s="1"/>
  <c r="L96" i="257"/>
  <c r="M96" i="255"/>
  <c r="P41" i="231"/>
  <c r="P40" i="231"/>
  <c r="P39" i="231"/>
  <c r="P37" i="231"/>
  <c r="P36" i="231"/>
  <c r="P34" i="231"/>
  <c r="P33" i="231"/>
  <c r="P31" i="231"/>
  <c r="P30" i="231"/>
  <c r="P29" i="231"/>
  <c r="P28" i="231"/>
  <c r="D10" i="235"/>
  <c r="D11" i="235" s="1"/>
  <c r="B12" i="232"/>
  <c r="D12" i="232" s="1"/>
  <c r="T81" i="235"/>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I96" i="235"/>
  <c r="H76" i="235"/>
  <c r="H116" i="235" s="1"/>
  <c r="F76" i="235"/>
  <c r="F116" i="235" s="1"/>
  <c r="C96" i="235"/>
  <c r="E54" i="264"/>
  <c r="C19" i="232"/>
  <c r="C18" i="232"/>
  <c r="C12" i="232"/>
  <c r="C11" i="232"/>
  <c r="T88" i="235"/>
  <c r="T87" i="235"/>
  <c r="T86" i="235"/>
  <c r="T85" i="235"/>
  <c r="T84" i="235"/>
  <c r="T83" i="235"/>
  <c r="T82" i="235"/>
  <c r="T80" i="235"/>
  <c r="T79" i="235"/>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BR30" i="264" l="1"/>
  <c r="BR42" i="264"/>
  <c r="BR51" i="264"/>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I45" i="260"/>
  <c r="I45" i="257"/>
  <c r="I45" i="256"/>
  <c r="I38" i="255"/>
  <c r="AS43" i="255"/>
  <c r="AV43" i="255" s="1"/>
  <c r="I45" i="255"/>
  <c r="I38" i="254"/>
  <c r="I45" i="254"/>
  <c r="I38" i="253"/>
  <c r="AS43" i="253"/>
  <c r="AV43" i="253" s="1"/>
  <c r="I45" i="253"/>
  <c r="I38" i="252"/>
  <c r="AS43" i="252"/>
  <c r="AV43" i="252" s="1"/>
  <c r="I45" i="252"/>
  <c r="I38" i="251"/>
  <c r="I45" i="25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I46" i="257"/>
  <c r="I46" i="256"/>
  <c r="I46" i="255"/>
  <c r="AS46" i="255" s="1"/>
  <c r="AV46" i="255" s="1"/>
  <c r="I46" i="254"/>
  <c r="AS46" i="254" s="1"/>
  <c r="AV46" i="254" s="1"/>
  <c r="I46" i="253"/>
  <c r="I46" i="252"/>
  <c r="AS46" i="252" s="1"/>
  <c r="AV46" i="252" s="1"/>
  <c r="I46" i="251"/>
  <c r="BR42" i="272"/>
  <c r="BR51" i="272"/>
  <c r="BR30" i="272"/>
  <c r="BR57" i="272"/>
  <c r="BR36" i="272"/>
  <c r="K118" i="252"/>
  <c r="I46" i="235"/>
  <c r="AS46" i="235" s="1"/>
  <c r="AV46" i="235" s="1"/>
  <c r="BU51" i="264"/>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AS41" i="264"/>
  <c r="AV41" i="264" s="1"/>
  <c r="I41" i="264"/>
  <c r="AS45" i="264"/>
  <c r="AV45" i="264" s="1"/>
  <c r="I39" i="263"/>
  <c r="AS39" i="263" s="1"/>
  <c r="AV39" i="263" s="1"/>
  <c r="AS45" i="260"/>
  <c r="AV45" i="260" s="1"/>
  <c r="AS41" i="257"/>
  <c r="AV41" i="257" s="1"/>
  <c r="I41" i="257"/>
  <c r="AS45" i="257"/>
  <c r="AV45" i="257" s="1"/>
  <c r="I39" i="256"/>
  <c r="AS39" i="256" s="1"/>
  <c r="AV39" i="256" s="1"/>
  <c r="AS45" i="255"/>
  <c r="AV45" i="255" s="1"/>
  <c r="AS41" i="253"/>
  <c r="AV41" i="253" s="1"/>
  <c r="I41" i="253"/>
  <c r="AS45" i="253"/>
  <c r="AV45" i="253" s="1"/>
  <c r="I39" i="252"/>
  <c r="AS39" i="252" s="1"/>
  <c r="AV39" i="252" s="1"/>
  <c r="AS45" i="251"/>
  <c r="AV45" i="251"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63"/>
  <c r="AV45" i="263" s="1"/>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60"/>
  <c r="AV46" i="260" s="1"/>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J96" i="264"/>
  <c r="I97" i="264"/>
  <c r="AZ26" i="264" s="1"/>
  <c r="BH42" i="254"/>
  <c r="C76" i="254"/>
  <c r="C116" i="254" s="1"/>
  <c r="F76" i="253"/>
  <c r="F116" i="253" s="1"/>
  <c r="I76" i="254"/>
  <c r="I116" i="254" s="1"/>
  <c r="L76" i="253"/>
  <c r="L116" i="253" s="1"/>
  <c r="J96" i="235"/>
  <c r="K76" i="254"/>
  <c r="K116" i="254" s="1"/>
  <c r="L96" i="264"/>
  <c r="B203" i="249"/>
  <c r="BT51" i="253"/>
  <c r="E96" i="272"/>
  <c r="N76" i="255"/>
  <c r="N116" i="255" s="1"/>
  <c r="D76" i="254"/>
  <c r="D116" i="254" s="1"/>
  <c r="BU51" i="272"/>
  <c r="BU51" i="251"/>
  <c r="X36" i="250"/>
  <c r="AG36" i="250" s="1"/>
  <c r="E79" i="272"/>
  <c r="K96" i="257"/>
  <c r="BG51" i="252"/>
  <c r="I76" i="264"/>
  <c r="I116" i="264" s="1"/>
  <c r="BG30" i="252"/>
  <c r="BG42" i="252"/>
  <c r="BU42" i="256"/>
  <c r="J96" i="253"/>
  <c r="J76" i="253"/>
  <c r="J116" i="253" s="1"/>
  <c r="W54" i="263"/>
  <c r="X54" i="263" s="1"/>
  <c r="Y54" i="263" s="1"/>
  <c r="H131" i="263"/>
  <c r="E76" i="256"/>
  <c r="E116" i="256" s="1"/>
  <c r="W52" i="263"/>
  <c r="X52" i="263" s="1"/>
  <c r="Y52" i="263" s="1"/>
  <c r="J131" i="263"/>
  <c r="BT51" i="257"/>
  <c r="X29" i="250"/>
  <c r="W52" i="254"/>
  <c r="X52" i="254" s="1"/>
  <c r="Y52" i="254" s="1"/>
  <c r="J131" i="254"/>
  <c r="F96" i="256"/>
  <c r="M76" i="251"/>
  <c r="M116" i="251" s="1"/>
  <c r="W54" i="253"/>
  <c r="X54" i="253" s="1"/>
  <c r="Y54" i="253" s="1"/>
  <c r="H131" i="253"/>
  <c r="BT42" i="257"/>
  <c r="L96" i="235"/>
  <c r="W52" i="253"/>
  <c r="X52" i="253" s="1"/>
  <c r="Y52" i="253" s="1"/>
  <c r="J131" i="253"/>
  <c r="BT30" i="257"/>
  <c r="D96" i="252"/>
  <c r="I96" i="252"/>
  <c r="G96" i="263"/>
  <c r="W54" i="260"/>
  <c r="X54" i="260" s="1"/>
  <c r="Y54" i="260" s="1"/>
  <c r="H131" i="260"/>
  <c r="K96" i="260"/>
  <c r="C76" i="263"/>
  <c r="C116" i="263" s="1"/>
  <c r="W52" i="260"/>
  <c r="X52" i="260" s="1"/>
  <c r="Y52" i="260" s="1"/>
  <c r="J131" i="260"/>
  <c r="W54" i="252"/>
  <c r="X54" i="252" s="1"/>
  <c r="Y54" i="252" s="1"/>
  <c r="H131" i="252"/>
  <c r="W52" i="272"/>
  <c r="X52" i="272" s="1"/>
  <c r="Y52" i="272" s="1"/>
  <c r="J131" i="272"/>
  <c r="L76" i="255"/>
  <c r="L116" i="255" s="1"/>
  <c r="N96" i="263"/>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BA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F96" i="263"/>
  <c r="N96" i="264"/>
  <c r="N76" i="264"/>
  <c r="N116" i="264" s="1"/>
  <c r="I76" i="257"/>
  <c r="I116" i="257" s="1"/>
  <c r="I96" i="257"/>
  <c r="E96" i="252"/>
  <c r="E76" i="252"/>
  <c r="E116" i="252" s="1"/>
  <c r="X55" i="235"/>
  <c r="Y55" i="235" s="1"/>
  <c r="BG42" i="254"/>
  <c r="E76" i="257"/>
  <c r="E116" i="257" s="1"/>
  <c r="BG51" i="254"/>
  <c r="X57" i="251"/>
  <c r="AG57" i="251" s="1"/>
  <c r="BG30" i="254"/>
  <c r="F96" i="251"/>
  <c r="BU51" i="255"/>
  <c r="X36" i="256"/>
  <c r="AG36" i="256" s="1"/>
  <c r="X30" i="272"/>
  <c r="AI30" i="272" s="1"/>
  <c r="H96" i="257"/>
  <c r="E96" i="255"/>
  <c r="F76" i="264"/>
  <c r="F116" i="264" s="1"/>
  <c r="BT30" i="253"/>
  <c r="X57" i="252"/>
  <c r="AH57" i="252" s="1"/>
  <c r="K96" i="253"/>
  <c r="BT42" i="253"/>
  <c r="BT42" i="256"/>
  <c r="G96" i="253"/>
  <c r="X36" i="264"/>
  <c r="AG36" i="264" s="1"/>
  <c r="H96" i="235"/>
  <c r="C76" i="235"/>
  <c r="C116" i="235" s="1"/>
  <c r="H76" i="256"/>
  <c r="H116" i="256" s="1"/>
  <c r="L76" i="264"/>
  <c r="L116" i="264" s="1"/>
  <c r="D96" i="257"/>
  <c r="K76" i="263"/>
  <c r="K116" i="263" s="1"/>
  <c r="BU42" i="253"/>
  <c r="BT30" i="256"/>
  <c r="BU42" i="263"/>
  <c r="BH51" i="253"/>
  <c r="X57" i="264"/>
  <c r="AI57" i="264" s="1"/>
  <c r="H96" i="254"/>
  <c r="BH42" i="260"/>
  <c r="BT42" i="260"/>
  <c r="BG30" i="264"/>
  <c r="BH51" i="260"/>
  <c r="C96" i="253"/>
  <c r="L76" i="260"/>
  <c r="L116" i="260" s="1"/>
  <c r="E96" i="263"/>
  <c r="L76" i="263"/>
  <c r="L116" i="263" s="1"/>
  <c r="X30" i="235"/>
  <c r="AI30" i="235" s="1"/>
  <c r="K96" i="251"/>
  <c r="J76" i="260"/>
  <c r="J116" i="260" s="1"/>
  <c r="D76" i="263"/>
  <c r="BU51" i="256"/>
  <c r="BH42" i="250"/>
  <c r="K96" i="254"/>
  <c r="BT30" i="250"/>
  <c r="X30" i="251"/>
  <c r="AG30" i="251" s="1"/>
  <c r="M96" i="256"/>
  <c r="J76" i="250"/>
  <c r="J116" i="250" s="1"/>
  <c r="K76" i="260"/>
  <c r="K116" i="260" s="1"/>
  <c r="I76" i="250"/>
  <c r="I116" i="250" s="1"/>
  <c r="I96" i="250"/>
  <c r="D66" i="231"/>
  <c r="B66" i="231" s="1"/>
  <c r="C48" i="250" s="1"/>
  <c r="D57" i="231"/>
  <c r="B57" i="231" s="1"/>
  <c r="C39" i="250" s="1"/>
  <c r="N76" i="252"/>
  <c r="N116" i="252" s="1"/>
  <c r="N96" i="252"/>
  <c r="F96" i="252"/>
  <c r="F76" i="252"/>
  <c r="F116" i="252" s="1"/>
  <c r="E59" i="250"/>
  <c r="E27" i="264"/>
  <c r="E27" i="252"/>
  <c r="E33" i="250"/>
  <c r="D260" i="249"/>
  <c r="H76" i="264"/>
  <c r="H116" i="264" s="1"/>
  <c r="H96" i="264"/>
  <c r="E59" i="252"/>
  <c r="E31" i="231"/>
  <c r="D50" i="235" s="1"/>
  <c r="O71" i="231"/>
  <c r="E28" i="253"/>
  <c r="M81" i="231"/>
  <c r="M118" i="231" s="1"/>
  <c r="M47" i="231"/>
  <c r="M49" i="231"/>
  <c r="M48" i="231"/>
  <c r="D9" i="250" s="1"/>
  <c r="J96" i="251"/>
  <c r="E58" i="272"/>
  <c r="E58" i="235"/>
  <c r="E58" i="255"/>
  <c r="E59" i="251"/>
  <c r="D7" i="216"/>
  <c r="B8" i="249" s="1"/>
  <c r="B109" i="249" s="1"/>
  <c r="M8" i="216"/>
  <c r="M13" i="216" s="1"/>
  <c r="E30" i="231"/>
  <c r="D49" i="235" s="1"/>
  <c r="D40" i="231"/>
  <c r="B40" i="231" s="1"/>
  <c r="C59" i="235" s="1"/>
  <c r="E33" i="272"/>
  <c r="E33" i="257"/>
  <c r="E33" i="260"/>
  <c r="E33" i="264"/>
  <c r="L96" i="252"/>
  <c r="L76" i="252"/>
  <c r="L116" i="252" s="1"/>
  <c r="G96" i="252"/>
  <c r="E59" i="254"/>
  <c r="E59" i="264"/>
  <c r="F60" i="235"/>
  <c r="AK60" i="235" s="1"/>
  <c r="AX60" i="235" s="1"/>
  <c r="E59" i="255"/>
  <c r="E31" i="260"/>
  <c r="E31" i="251"/>
  <c r="E31" i="254"/>
  <c r="E31" i="257"/>
  <c r="E31" i="263"/>
  <c r="F28" i="235"/>
  <c r="F55" i="235"/>
  <c r="D76" i="252"/>
  <c r="D116" i="252" s="1"/>
  <c r="F76" i="250"/>
  <c r="F116" i="250" s="1"/>
  <c r="F96" i="250"/>
  <c r="D123" i="249"/>
  <c r="D224" i="249"/>
  <c r="E33" i="254"/>
  <c r="E59" i="263"/>
  <c r="F48" i="235"/>
  <c r="E59" i="257"/>
  <c r="E51" i="252"/>
  <c r="E32" i="263"/>
  <c r="E32" i="255"/>
  <c r="E32" i="264"/>
  <c r="F34" i="235"/>
  <c r="F59" i="235"/>
  <c r="AK59" i="235" s="1"/>
  <c r="BK59" i="235" s="1"/>
  <c r="F96" i="235"/>
  <c r="E51" i="254"/>
  <c r="E32" i="251"/>
  <c r="E35" i="260"/>
  <c r="E35" i="256"/>
  <c r="E32" i="254"/>
  <c r="N76" i="256"/>
  <c r="N116" i="256" s="1"/>
  <c r="E35" i="255"/>
  <c r="E35" i="264"/>
  <c r="E35" i="263"/>
  <c r="E35" i="257"/>
  <c r="E35" i="253"/>
  <c r="E35" i="251"/>
  <c r="E35" i="252"/>
  <c r="H96" i="253"/>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G96" i="260"/>
  <c r="D131" i="249"/>
  <c r="D232" i="249"/>
  <c r="E59" i="235"/>
  <c r="E47" i="257"/>
  <c r="E58" i="252"/>
  <c r="E28" i="260"/>
  <c r="E53" i="263"/>
  <c r="F96" i="255"/>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H35" i="235" s="1"/>
  <c r="AR35" i="235" s="1"/>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V79" i="260"/>
  <c r="E43" i="256"/>
  <c r="BT30" i="263"/>
  <c r="L96" i="260"/>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V84" i="263"/>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I96" i="263"/>
  <c r="C96" i="264"/>
  <c r="C76" i="264"/>
  <c r="C116" i="264" s="1"/>
  <c r="E25" i="231"/>
  <c r="D44" i="235" s="1"/>
  <c r="V79" i="255"/>
  <c r="V86" i="256"/>
  <c r="V80" i="254"/>
  <c r="V103" i="257"/>
  <c r="BG51" i="272"/>
  <c r="V82" i="254"/>
  <c r="V80" i="260"/>
  <c r="V83" i="250"/>
  <c r="V100" i="272"/>
  <c r="V106" i="260"/>
  <c r="X35" i="252"/>
  <c r="H35" i="252" s="1"/>
  <c r="X36" i="252"/>
  <c r="AH36" i="252" s="1"/>
  <c r="V84" i="254"/>
  <c r="V86" i="257"/>
  <c r="V103" i="272"/>
  <c r="V102" i="263"/>
  <c r="V122" i="250"/>
  <c r="V119" i="255"/>
  <c r="V121" i="254"/>
  <c r="V97" i="254"/>
  <c r="V117" i="254"/>
  <c r="D13" i="232"/>
  <c r="X36" i="255"/>
  <c r="AI36" i="255" s="1"/>
  <c r="V80" i="256"/>
  <c r="V117" i="252"/>
  <c r="V97" i="252"/>
  <c r="V124" i="260"/>
  <c r="V126" i="254"/>
  <c r="BG30" i="272"/>
  <c r="V103" i="255"/>
  <c r="V81" i="254"/>
  <c r="V123" i="254"/>
  <c r="V87" i="257"/>
  <c r="V86" i="255"/>
  <c r="V127" i="257"/>
  <c r="V125" i="254"/>
  <c r="V105" i="263"/>
  <c r="V125" i="250"/>
  <c r="V79" i="254"/>
  <c r="V108" i="235"/>
  <c r="V117" i="264"/>
  <c r="V97" i="264"/>
  <c r="V85" i="272"/>
  <c r="V120" i="251"/>
  <c r="V125" i="260"/>
  <c r="V80" i="252"/>
  <c r="V84" i="255"/>
  <c r="E40" i="231"/>
  <c r="D59" i="235" s="1"/>
  <c r="C96" i="255"/>
  <c r="D115" i="249"/>
  <c r="D216" i="249"/>
  <c r="X41" i="235"/>
  <c r="Y41" i="235" s="1"/>
  <c r="E42" i="254"/>
  <c r="E42" i="250"/>
  <c r="E42" i="235"/>
  <c r="E35" i="231"/>
  <c r="D54" i="235" s="1"/>
  <c r="V102" i="257"/>
  <c r="V106" i="254"/>
  <c r="V82" i="257"/>
  <c r="V80" i="272"/>
  <c r="V105" i="250"/>
  <c r="V101" i="254"/>
  <c r="BU42" i="272"/>
  <c r="V85" i="260"/>
  <c r="I99" i="264"/>
  <c r="V102" i="260"/>
  <c r="V79" i="256"/>
  <c r="V104" i="260"/>
  <c r="H96" i="272"/>
  <c r="H76" i="272"/>
  <c r="H116" i="272" s="1"/>
  <c r="V121" i="257"/>
  <c r="D254" i="249"/>
  <c r="V85" i="253"/>
  <c r="V103" i="252"/>
  <c r="V120" i="264"/>
  <c r="V120" i="256"/>
  <c r="V125" i="251"/>
  <c r="V122" i="257"/>
  <c r="V125" i="272"/>
  <c r="V82" i="272"/>
  <c r="V100" i="256"/>
  <c r="V102" i="253"/>
  <c r="V125" i="257"/>
  <c r="V103" i="256"/>
  <c r="V103" i="250"/>
  <c r="V120" i="252"/>
  <c r="D195" i="249"/>
  <c r="V84" i="257"/>
  <c r="V102" i="272"/>
  <c r="V125" i="255"/>
  <c r="V83" i="257"/>
  <c r="V99" i="257"/>
  <c r="V105" i="264"/>
  <c r="V126" i="260"/>
  <c r="V99" i="260"/>
  <c r="V124" i="254"/>
  <c r="V122" i="251"/>
  <c r="V83" i="254"/>
  <c r="V85" i="257"/>
  <c r="V99" i="251"/>
  <c r="V105" i="272"/>
  <c r="V125" i="253"/>
  <c r="V79" i="250"/>
  <c r="V99" i="263"/>
  <c r="V107" i="260"/>
  <c r="V97" i="272"/>
  <c r="V127" i="260"/>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96" i="252"/>
  <c r="J75" i="252"/>
  <c r="K75" i="252" s="1"/>
  <c r="N96" i="260"/>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96" i="251"/>
  <c r="G76" i="251"/>
  <c r="G116" i="251" s="1"/>
  <c r="G96" i="250"/>
  <c r="G76" i="250"/>
  <c r="G116" i="250" s="1"/>
  <c r="M76" i="257"/>
  <c r="M116" i="257" s="1"/>
  <c r="M96" i="257"/>
  <c r="N96" i="253"/>
  <c r="N76" i="253"/>
  <c r="N116" i="253" s="1"/>
  <c r="H76" i="252"/>
  <c r="H116" i="252" s="1"/>
  <c r="H96" i="252"/>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96" i="254"/>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96" i="264"/>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96" i="252"/>
  <c r="M76" i="252"/>
  <c r="M116" i="252" s="1"/>
  <c r="M96" i="253"/>
  <c r="M76" i="253"/>
  <c r="M116" i="253" s="1"/>
  <c r="G115" i="255"/>
  <c r="H115" i="255" s="1"/>
  <c r="N95" i="257"/>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I96" i="256"/>
  <c r="K76" i="255"/>
  <c r="K116" i="255" s="1"/>
  <c r="K96" i="255"/>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J96" i="255"/>
  <c r="L76" i="257"/>
  <c r="L116" i="257" s="1"/>
  <c r="H76" i="253"/>
  <c r="H116" i="253" s="1"/>
  <c r="L120" i="251"/>
  <c r="L117" i="251"/>
  <c r="BM34" i="251" s="1"/>
  <c r="L102" i="251"/>
  <c r="AZ55" i="251" s="1"/>
  <c r="C96" i="251"/>
  <c r="B209" i="249"/>
  <c r="J115" i="264"/>
  <c r="I119" i="264"/>
  <c r="I117" i="264"/>
  <c r="BM26" i="264" s="1"/>
  <c r="D193" i="249"/>
  <c r="D294" i="249"/>
  <c r="D299" i="249"/>
  <c r="D198" i="249"/>
  <c r="V84" i="260"/>
  <c r="V103" i="260"/>
  <c r="V104" i="235"/>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V82" i="256"/>
  <c r="V82" i="255"/>
  <c r="V82" i="260"/>
  <c r="V81" i="256"/>
  <c r="V81" i="255"/>
  <c r="V83" i="256"/>
  <c r="V83" i="255"/>
  <c r="V83" i="260"/>
  <c r="V83" i="235"/>
  <c r="X83" i="235" s="1"/>
  <c r="V85" i="256"/>
  <c r="V85" i="255"/>
  <c r="V85" i="254"/>
  <c r="D154" i="249"/>
  <c r="L18" i="216"/>
  <c r="L19" i="216" s="1"/>
  <c r="D163" i="249"/>
  <c r="D264" i="249"/>
  <c r="D171" i="249"/>
  <c r="D272" i="249"/>
  <c r="H96" i="263"/>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V81" i="235"/>
  <c r="X81" i="235" s="1"/>
  <c r="D186" i="249"/>
  <c r="D287" i="249"/>
  <c r="D178" i="249"/>
  <c r="D279" i="249"/>
  <c r="V87" i="235"/>
  <c r="X87" i="235" s="1"/>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V80" i="255"/>
  <c r="E39" i="272"/>
  <c r="E39" i="255"/>
  <c r="E39" i="250"/>
  <c r="E39" i="263"/>
  <c r="E43" i="272"/>
  <c r="E43" i="254"/>
  <c r="E43" i="252"/>
  <c r="E43" i="251"/>
  <c r="BG42" i="253"/>
  <c r="BG51" i="253"/>
  <c r="BG30" i="253"/>
  <c r="BG30" i="235"/>
  <c r="BT30" i="235"/>
  <c r="X29" i="257"/>
  <c r="X30" i="257"/>
  <c r="AI30" i="257" s="1"/>
  <c r="V79" i="235"/>
  <c r="X79" i="235" s="1"/>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V88" i="235"/>
  <c r="X88" i="235" s="1"/>
  <c r="V106" i="235"/>
  <c r="X56" i="272"/>
  <c r="H56" i="272" s="1"/>
  <c r="X57" i="272"/>
  <c r="AG57" i="272" s="1"/>
  <c r="C96" i="272"/>
  <c r="C76" i="272"/>
  <c r="C116" i="272" s="1"/>
  <c r="V128" i="250"/>
  <c r="BG51" i="263"/>
  <c r="BG30" i="263"/>
  <c r="BG42" i="257"/>
  <c r="BG51" i="257"/>
  <c r="BG30" i="255"/>
  <c r="BU51" i="254"/>
  <c r="BU42" i="254"/>
  <c r="BU42" i="251"/>
  <c r="BU51" i="250"/>
  <c r="BU42" i="250"/>
  <c r="X56" i="256"/>
  <c r="N56" i="256" s="1"/>
  <c r="BR56" i="256" s="1"/>
  <c r="X57" i="256"/>
  <c r="AG57" i="256" s="1"/>
  <c r="X29" i="255"/>
  <c r="X30" i="255"/>
  <c r="AH30" i="255" s="1"/>
  <c r="E122" i="272"/>
  <c r="BM53" i="272" s="1"/>
  <c r="E81" i="272"/>
  <c r="D298" i="249"/>
  <c r="D197" i="249"/>
  <c r="V104" i="254"/>
  <c r="V101" i="235"/>
  <c r="G99" i="235" s="1"/>
  <c r="X36" i="272"/>
  <c r="AI36" i="272" s="1"/>
  <c r="X35" i="272"/>
  <c r="N35" i="272" s="1"/>
  <c r="BR35" i="272" s="1"/>
  <c r="V102" i="254"/>
  <c r="V103" i="254"/>
  <c r="V117" i="256"/>
  <c r="V97" i="256"/>
  <c r="BT51" i="272"/>
  <c r="V108" i="254"/>
  <c r="V107" i="235"/>
  <c r="V117" i="272"/>
  <c r="BU51" i="263"/>
  <c r="V81" i="260"/>
  <c r="I96" i="272"/>
  <c r="BH42" i="272"/>
  <c r="BT42" i="272"/>
  <c r="D194" i="249"/>
  <c r="D295" i="249"/>
  <c r="V80" i="257"/>
  <c r="V83" i="253"/>
  <c r="V100" i="253"/>
  <c r="V100" i="252"/>
  <c r="V100" i="257"/>
  <c r="V100" i="263"/>
  <c r="V108" i="260"/>
  <c r="V119" i="260"/>
  <c r="V128" i="260"/>
  <c r="V122" i="235"/>
  <c r="V99" i="256"/>
  <c r="V99" i="253"/>
  <c r="V99" i="272"/>
  <c r="V99" i="264"/>
  <c r="V99" i="254"/>
  <c r="V120" i="253"/>
  <c r="V120" i="272"/>
  <c r="V120" i="254"/>
  <c r="V125" i="256"/>
  <c r="V122" i="252"/>
  <c r="V123" i="257"/>
  <c r="V119" i="250"/>
  <c r="V123" i="263"/>
  <c r="V122" i="254"/>
  <c r="V122" i="260"/>
  <c r="V120" i="260"/>
  <c r="G50" i="249"/>
  <c r="G85" i="249"/>
  <c r="G57" i="249"/>
  <c r="I35" i="272" l="1"/>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A26" i="264"/>
  <c r="J26" i="264" s="1"/>
  <c r="BB26" i="264"/>
  <c r="K26" i="264" s="1"/>
  <c r="BC26" i="264"/>
  <c r="BH35" i="255"/>
  <c r="BI35" i="255"/>
  <c r="BB55" i="251"/>
  <c r="BC55" i="251"/>
  <c r="BP34" i="251"/>
  <c r="O34" i="251" s="1"/>
  <c r="BS34" i="251" s="1"/>
  <c r="BO34" i="251"/>
  <c r="N34" i="251" s="1"/>
  <c r="BR34" i="251" s="1"/>
  <c r="BB28" i="255"/>
  <c r="BC28" i="255"/>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BA35" i="253" s="1"/>
  <c r="J35" i="253" s="1"/>
  <c r="BD35" i="253" s="1"/>
  <c r="G78" i="253"/>
  <c r="M121" i="253"/>
  <c r="BM60" i="253" s="1"/>
  <c r="G120" i="253"/>
  <c r="J120" i="253"/>
  <c r="AI57" i="252"/>
  <c r="I96" i="254"/>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F96" i="264"/>
  <c r="H80" i="251"/>
  <c r="M102" i="251"/>
  <c r="AZ58" i="251" s="1"/>
  <c r="L121" i="252"/>
  <c r="M121" i="251"/>
  <c r="BM60" i="251" s="1"/>
  <c r="K76" i="251"/>
  <c r="K116" i="251" s="1"/>
  <c r="H79" i="251"/>
  <c r="AM62" i="251" s="1"/>
  <c r="AG30" i="253"/>
  <c r="L96" i="255"/>
  <c r="L96" i="26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F96" i="253"/>
  <c r="AH36" i="255"/>
  <c r="K81" i="272"/>
  <c r="AG36" i="255"/>
  <c r="L122" i="252"/>
  <c r="BM55" i="252" s="1"/>
  <c r="K122" i="251"/>
  <c r="BM50" i="251" s="1"/>
  <c r="AH30" i="256"/>
  <c r="L96" i="253"/>
  <c r="K96" i="263"/>
  <c r="L97" i="252"/>
  <c r="AZ34" i="252" s="1"/>
  <c r="AI57" i="251"/>
  <c r="BH30" i="235"/>
  <c r="L120" i="252"/>
  <c r="AH57" i="251"/>
  <c r="M97" i="251"/>
  <c r="AZ37" i="251" s="1"/>
  <c r="G82" i="235"/>
  <c r="F76" i="251"/>
  <c r="F116" i="251" s="1"/>
  <c r="M96" i="254"/>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M96" i="251"/>
  <c r="J132" i="272"/>
  <c r="W31" i="272"/>
  <c r="X31" i="272" s="1"/>
  <c r="Y31" i="272" s="1"/>
  <c r="H132" i="252"/>
  <c r="W44" i="252" s="1"/>
  <c r="X44" i="252" s="1"/>
  <c r="Y44" i="252" s="1"/>
  <c r="W33" i="252"/>
  <c r="X33" i="252" s="1"/>
  <c r="Y33" i="252" s="1"/>
  <c r="J132" i="253"/>
  <c r="W31" i="253"/>
  <c r="X31" i="253" s="1"/>
  <c r="Y31" i="253" s="1"/>
  <c r="K96" i="256"/>
  <c r="AG30" i="256"/>
  <c r="J96" i="260"/>
  <c r="H96" i="256"/>
  <c r="J132" i="260"/>
  <c r="W31" i="260"/>
  <c r="X31" i="260" s="1"/>
  <c r="Y31" i="260" s="1"/>
  <c r="M76" i="250"/>
  <c r="M116" i="250" s="1"/>
  <c r="M96" i="250"/>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BA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BU30" i="254"/>
  <c r="J96" i="254"/>
  <c r="G117" i="253"/>
  <c r="N120" i="254"/>
  <c r="J98" i="250"/>
  <c r="G76" i="252"/>
  <c r="G116" i="252" s="1"/>
  <c r="K82" i="252"/>
  <c r="AM50" i="252" s="1"/>
  <c r="J99" i="272"/>
  <c r="K76" i="253"/>
  <c r="K116" i="253" s="1"/>
  <c r="D96" i="256"/>
  <c r="D76" i="256"/>
  <c r="D116" i="256" s="1"/>
  <c r="G96" i="272"/>
  <c r="G76" i="272"/>
  <c r="G116" i="272" s="1"/>
  <c r="G96" i="255"/>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V105" i="260"/>
  <c r="I101" i="255"/>
  <c r="AH30" i="264"/>
  <c r="G100" i="252"/>
  <c r="H102" i="255"/>
  <c r="AZ54" i="255" s="1"/>
  <c r="N101" i="250"/>
  <c r="F32" i="251"/>
  <c r="F47" i="250"/>
  <c r="AK47" i="250" s="1"/>
  <c r="AX47" i="250" s="1"/>
  <c r="D65" i="231"/>
  <c r="B65" i="231" s="1"/>
  <c r="C47" i="250" s="1"/>
  <c r="N96" i="235"/>
  <c r="N76" i="235"/>
  <c r="N116" i="235" s="1"/>
  <c r="L76" i="256"/>
  <c r="L116" i="256" s="1"/>
  <c r="L96" i="256"/>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I96" i="255"/>
  <c r="V117" i="235"/>
  <c r="V97" i="235"/>
  <c r="M76" i="264"/>
  <c r="M116" i="264" s="1"/>
  <c r="M96" i="264"/>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96" i="253"/>
  <c r="I76" i="253"/>
  <c r="I116" i="253" s="1"/>
  <c r="K96" i="250"/>
  <c r="K76" i="250"/>
  <c r="K116" i="250" s="1"/>
  <c r="AI36" i="257"/>
  <c r="K99" i="252"/>
  <c r="F43" i="251"/>
  <c r="F41" i="250"/>
  <c r="D43" i="231"/>
  <c r="B43" i="231" s="1"/>
  <c r="C62" i="235" s="1"/>
  <c r="B210" i="249"/>
  <c r="E76" i="251"/>
  <c r="E116" i="251" s="1"/>
  <c r="E96" i="251"/>
  <c r="J96" i="256"/>
  <c r="J76" i="256"/>
  <c r="J116" i="256" s="1"/>
  <c r="J100" i="257"/>
  <c r="F49" i="251"/>
  <c r="G79" i="235"/>
  <c r="M96" i="272"/>
  <c r="M76" i="272"/>
  <c r="M116" i="272" s="1"/>
  <c r="I76" i="251"/>
  <c r="I116" i="251" s="1"/>
  <c r="I96" i="251"/>
  <c r="BA28" i="255"/>
  <c r="J28" i="255" s="1"/>
  <c r="BD28" i="255" s="1"/>
  <c r="M117" i="257"/>
  <c r="BM37" i="257" s="1"/>
  <c r="AG36" i="252"/>
  <c r="AI36" i="252"/>
  <c r="N96" i="250"/>
  <c r="N76" i="250"/>
  <c r="N116" i="250" s="1"/>
  <c r="F29" i="251"/>
  <c r="N96" i="272"/>
  <c r="N76" i="272"/>
  <c r="N116" i="272" s="1"/>
  <c r="F76" i="254"/>
  <c r="F116" i="254" s="1"/>
  <c r="F96" i="254"/>
  <c r="G76" i="257"/>
  <c r="G116" i="257" s="1"/>
  <c r="G96" i="257"/>
  <c r="F41" i="251"/>
  <c r="J96" i="263"/>
  <c r="J76" i="263"/>
  <c r="J116" i="263" s="1"/>
  <c r="K81" i="260"/>
  <c r="F26" i="251"/>
  <c r="AK26" i="251" s="1"/>
  <c r="AX26" i="251" s="1"/>
  <c r="F44" i="251"/>
  <c r="H76" i="260"/>
  <c r="H116" i="260" s="1"/>
  <c r="H96" i="260"/>
  <c r="E102" i="250"/>
  <c r="AZ53" i="250" s="1"/>
  <c r="M82" i="257"/>
  <c r="AM58" i="257" s="1"/>
  <c r="F53" i="251"/>
  <c r="AI57" i="250"/>
  <c r="H96" i="255"/>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V123" i="260"/>
  <c r="J102" i="257"/>
  <c r="AZ52" i="257" s="1"/>
  <c r="E119" i="256"/>
  <c r="F37" i="251"/>
  <c r="F53" i="250"/>
  <c r="G76" i="254"/>
  <c r="G116" i="254" s="1"/>
  <c r="G96" i="254"/>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BA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V100" i="260"/>
  <c r="E78" i="272"/>
  <c r="AM43" i="272" s="1"/>
  <c r="V120" i="235"/>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0" i="263" s="1"/>
  <c r="V85" i="250"/>
  <c r="V90" i="250" s="1"/>
  <c r="K75" i="254"/>
  <c r="E96" i="254"/>
  <c r="E76" i="254"/>
  <c r="G76" i="235"/>
  <c r="G116" i="235" s="1"/>
  <c r="G96" i="235"/>
  <c r="E121" i="272"/>
  <c r="I81" i="235"/>
  <c r="I82" i="235"/>
  <c r="AM47" i="235" s="1"/>
  <c r="L80" i="256"/>
  <c r="J76" i="272"/>
  <c r="J116" i="272" s="1"/>
  <c r="J96" i="272"/>
  <c r="K96" i="272"/>
  <c r="K76" i="272"/>
  <c r="K116" i="272" s="1"/>
  <c r="AH57" i="250"/>
  <c r="I77" i="251"/>
  <c r="AM26" i="251" s="1"/>
  <c r="D76" i="250"/>
  <c r="D96" i="250"/>
  <c r="N76" i="257"/>
  <c r="N116" i="257" s="1"/>
  <c r="N96" i="257"/>
  <c r="M124" i="216"/>
  <c r="L125" i="216"/>
  <c r="E124" i="216"/>
  <c r="F119" i="254"/>
  <c r="BM61" i="254" s="1"/>
  <c r="M99" i="252"/>
  <c r="G120" i="256"/>
  <c r="I100" i="257"/>
  <c r="K97" i="255"/>
  <c r="AZ29" i="255" s="1"/>
  <c r="I80" i="235"/>
  <c r="F97" i="257"/>
  <c r="AZ28" i="257" s="1"/>
  <c r="I101" i="252"/>
  <c r="J79" i="235"/>
  <c r="V126" i="235"/>
  <c r="V118" i="255"/>
  <c r="V124" i="235"/>
  <c r="V105" i="257"/>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J82" i="254"/>
  <c r="AM52" i="254" s="1"/>
  <c r="H96" i="250"/>
  <c r="H76" i="250"/>
  <c r="H116" i="250" s="1"/>
  <c r="G96" i="256"/>
  <c r="G76" i="256"/>
  <c r="K76" i="252"/>
  <c r="K116" i="252" s="1"/>
  <c r="K96" i="252"/>
  <c r="E93" i="252" s="1" a="1"/>
  <c r="E93" i="252" s="1"/>
  <c r="J76" i="257"/>
  <c r="J116" i="257" s="1"/>
  <c r="J96" i="257"/>
  <c r="F76" i="257"/>
  <c r="F9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96" i="260"/>
  <c r="M76" i="260"/>
  <c r="M116" i="260" s="1"/>
  <c r="K96" i="235"/>
  <c r="K76" i="235"/>
  <c r="K116" i="235" s="1"/>
  <c r="H117" i="235"/>
  <c r="BM33" i="235" s="1"/>
  <c r="V102" i="235"/>
  <c r="H101" i="235" s="1"/>
  <c r="M96" i="263"/>
  <c r="M76" i="263"/>
  <c r="M116" i="263" s="1"/>
  <c r="V80" i="235"/>
  <c r="X80" i="235" s="1"/>
  <c r="C211" i="249"/>
  <c r="C110" i="249"/>
  <c r="G96" i="264"/>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L75" i="252"/>
  <c r="M75" i="252" s="1"/>
  <c r="V125" i="235"/>
  <c r="V99" i="235"/>
  <c r="AG36" i="260"/>
  <c r="L96" i="272"/>
  <c r="L76" i="272"/>
  <c r="L116" i="272" s="1"/>
  <c r="K115" i="264"/>
  <c r="D116" i="263"/>
  <c r="I115" i="255"/>
  <c r="L96" i="254"/>
  <c r="L76" i="254"/>
  <c r="L116" i="254" s="1"/>
  <c r="G75" i="255"/>
  <c r="F77" i="255"/>
  <c r="AM28" i="255" s="1"/>
  <c r="L76" i="251"/>
  <c r="L116" i="251" s="1"/>
  <c r="L96" i="251"/>
  <c r="I76" i="260"/>
  <c r="I116" i="260" s="1"/>
  <c r="I96" i="260"/>
  <c r="J97" i="251"/>
  <c r="AZ31" i="251" s="1"/>
  <c r="G102" i="251"/>
  <c r="L122" i="251"/>
  <c r="BM55" i="251" s="1"/>
  <c r="J121" i="263"/>
  <c r="I78" i="251"/>
  <c r="AM38" i="251" s="1"/>
  <c r="L100" i="251"/>
  <c r="J78" i="263"/>
  <c r="N82" i="263"/>
  <c r="AM56" i="263" s="1"/>
  <c r="AN56" i="263" s="1"/>
  <c r="G56" i="263" s="1"/>
  <c r="M98" i="250"/>
  <c r="AZ46" i="250" s="1"/>
  <c r="V121" i="235"/>
  <c r="V127" i="235"/>
  <c r="V120" i="257"/>
  <c r="BU30" i="257"/>
  <c r="D96" i="272"/>
  <c r="D76" i="272"/>
  <c r="AH57" i="272"/>
  <c r="V100" i="235"/>
  <c r="AG36" i="272"/>
  <c r="BH30" i="255"/>
  <c r="BU30" i="255"/>
  <c r="F76" i="272"/>
  <c r="F116" i="272" s="1"/>
  <c r="F96" i="272"/>
  <c r="BH30" i="260"/>
  <c r="AI30" i="263"/>
  <c r="BH30" i="263"/>
  <c r="AG30" i="263"/>
  <c r="AH30" i="263"/>
  <c r="BU30" i="263"/>
  <c r="V82" i="235"/>
  <c r="X82" i="235" s="1"/>
  <c r="V78" i="255"/>
  <c r="V78" i="256"/>
  <c r="J120" i="249"/>
  <c r="J127" i="249" s="1"/>
  <c r="J134" i="249" s="1"/>
  <c r="J141" i="249" s="1"/>
  <c r="J148" i="249" s="1"/>
  <c r="J155" i="249" s="1"/>
  <c r="J162" i="249" s="1"/>
  <c r="J169" i="249" s="1"/>
  <c r="J176" i="249" s="1"/>
  <c r="J183" i="249" s="1"/>
  <c r="J190" i="249" s="1"/>
  <c r="V85" i="235"/>
  <c r="X85" i="235" s="1"/>
  <c r="K11" i="249"/>
  <c r="K17" i="249"/>
  <c r="K24" i="249" s="1"/>
  <c r="K31" i="249" s="1"/>
  <c r="F96" i="260"/>
  <c r="F76" i="260"/>
  <c r="F116" i="260" s="1"/>
  <c r="E96" i="253"/>
  <c r="E76" i="253"/>
  <c r="E116" i="253" s="1"/>
  <c r="L76" i="250"/>
  <c r="L116" i="250" s="1"/>
  <c r="L96" i="250"/>
  <c r="D14" i="216"/>
  <c r="B15" i="249" s="1"/>
  <c r="D76" i="235"/>
  <c r="D96" i="235"/>
  <c r="J75" i="251"/>
  <c r="H96"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BA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BB37" i="264"/>
  <c r="K37" i="264" s="1"/>
  <c r="BE37" i="264" s="1"/>
  <c r="BH37" i="264" s="1"/>
  <c r="BC37" i="264"/>
  <c r="AN62" i="263"/>
  <c r="AO62" i="263"/>
  <c r="H62" i="263" s="1"/>
  <c r="AP62" i="263"/>
  <c r="AP32" i="264"/>
  <c r="AO32" i="264"/>
  <c r="H32" i="264" s="1"/>
  <c r="BC60" i="272"/>
  <c r="BB60" i="272"/>
  <c r="BP58" i="260"/>
  <c r="O58" i="260" s="1"/>
  <c r="BS58" i="260" s="1"/>
  <c r="BO58" i="260"/>
  <c r="Q35" i="250"/>
  <c r="BC34" i="257"/>
  <c r="BB34" i="257"/>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BB37" i="254"/>
  <c r="K37" i="254" s="1"/>
  <c r="BE37" i="254" s="1"/>
  <c r="BC37" i="254"/>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BB38" i="272"/>
  <c r="BC38" i="272"/>
  <c r="L38" i="272" s="1"/>
  <c r="BF38" i="272" s="1"/>
  <c r="BP31" i="260"/>
  <c r="O31" i="260" s="1"/>
  <c r="BS31" i="260" s="1"/>
  <c r="BO31" i="260"/>
  <c r="BC34" i="251"/>
  <c r="BB34" i="251"/>
  <c r="BP55" i="254"/>
  <c r="O55" i="254" s="1"/>
  <c r="BS55" i="254" s="1"/>
  <c r="BO55" i="254"/>
  <c r="AN59" i="264"/>
  <c r="G59" i="264" s="1"/>
  <c r="AO59" i="264"/>
  <c r="H59" i="264" s="1"/>
  <c r="AP59" i="264"/>
  <c r="BC34" i="252"/>
  <c r="BB34" i="252"/>
  <c r="K34" i="252" s="1"/>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BC32" i="255"/>
  <c r="BB32" i="255"/>
  <c r="K32" i="255" s="1"/>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BC33" i="253"/>
  <c r="BB33" i="253"/>
  <c r="K33" i="253" s="1"/>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C31" i="254"/>
  <c r="BB31" i="25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BB34" i="256"/>
  <c r="BC34" i="256"/>
  <c r="AN49" i="263"/>
  <c r="AO49" i="263"/>
  <c r="H49" i="263" s="1"/>
  <c r="AP49" i="263"/>
  <c r="AP32" i="260"/>
  <c r="AO32" i="260"/>
  <c r="H32" i="260" s="1"/>
  <c r="BI35" i="253"/>
  <c r="BB43" i="272"/>
  <c r="K43" i="272" s="1"/>
  <c r="BE43" i="272" s="1"/>
  <c r="BC43" i="272"/>
  <c r="BC31" i="255"/>
  <c r="BB31" i="255"/>
  <c r="AP26" i="235"/>
  <c r="AO26" i="235"/>
  <c r="AN26" i="235"/>
  <c r="BP41" i="260"/>
  <c r="O41" i="260" s="1"/>
  <c r="BS41" i="260" s="1"/>
  <c r="BO41" i="260"/>
  <c r="AP47" i="250"/>
  <c r="AO47" i="250"/>
  <c r="H47" i="250" s="1"/>
  <c r="AN47" i="250"/>
  <c r="G47" i="250" s="1"/>
  <c r="AP27" i="264"/>
  <c r="AO27" i="264"/>
  <c r="H27" i="264" s="1"/>
  <c r="BB28" i="263"/>
  <c r="BC28" i="263"/>
  <c r="BH56" i="254"/>
  <c r="BI56" i="254"/>
  <c r="BP50" i="263"/>
  <c r="O50" i="263" s="1"/>
  <c r="BS50" i="263" s="1"/>
  <c r="BO50" i="263"/>
  <c r="BA26" i="263"/>
  <c r="J26" i="263" s="1"/>
  <c r="BB26" i="263"/>
  <c r="K26" i="263" s="1"/>
  <c r="BC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BB29" i="235"/>
  <c r="K29" i="235" s="1"/>
  <c r="BE29" i="235" s="1"/>
  <c r="BC29" i="235"/>
  <c r="BO49" i="254"/>
  <c r="N49" i="254" s="1"/>
  <c r="BR49" i="254" s="1"/>
  <c r="BP49" i="254"/>
  <c r="O49" i="254" s="1"/>
  <c r="BS49" i="254" s="1"/>
  <c r="BB60" i="250"/>
  <c r="K60" i="250" s="1"/>
  <c r="BE60" i="250" s="1"/>
  <c r="BC60" i="250"/>
  <c r="BB29" i="263"/>
  <c r="K29" i="263" s="1"/>
  <c r="BE29" i="263" s="1"/>
  <c r="BC29" i="263"/>
  <c r="BC31" i="250"/>
  <c r="BB31" i="250"/>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BB37" i="255"/>
  <c r="K37" i="255" s="1"/>
  <c r="BE37" i="255" s="1"/>
  <c r="BC37" i="255"/>
  <c r="BB60" i="264"/>
  <c r="K60" i="264" s="1"/>
  <c r="BE60" i="264" s="1"/>
  <c r="BC60" i="264"/>
  <c r="BB59" i="260"/>
  <c r="BC59" i="260"/>
  <c r="BV34" i="251"/>
  <c r="U34" i="251"/>
  <c r="R34" i="251"/>
  <c r="BB31" i="251"/>
  <c r="K31" i="251" s="1"/>
  <c r="BE31" i="251" s="1"/>
  <c r="BH31" i="251" s="1"/>
  <c r="BC31" i="251"/>
  <c r="BP60" i="272"/>
  <c r="O60" i="272" s="1"/>
  <c r="BS60" i="272" s="1"/>
  <c r="BO60" i="272"/>
  <c r="N60" i="272" s="1"/>
  <c r="BR60" i="272" s="1"/>
  <c r="BP31" i="272"/>
  <c r="O31" i="272" s="1"/>
  <c r="BS31" i="272" s="1"/>
  <c r="BO31" i="272"/>
  <c r="N31" i="272" s="1"/>
  <c r="BR31" i="272" s="1"/>
  <c r="BP49" i="256"/>
  <c r="O49" i="256" s="1"/>
  <c r="BS49" i="256" s="1"/>
  <c r="BO49" i="256"/>
  <c r="BC34" i="235"/>
  <c r="BB34" i="235"/>
  <c r="K34" i="235" s="1"/>
  <c r="BE34" i="235" s="1"/>
  <c r="BH34" i="235" s="1"/>
  <c r="AP48" i="250"/>
  <c r="AO48" i="250"/>
  <c r="H48" i="250" s="1"/>
  <c r="AN48" i="250"/>
  <c r="G48" i="250" s="1"/>
  <c r="AP54" i="264"/>
  <c r="AN54" i="264"/>
  <c r="AO54" i="264"/>
  <c r="H54" i="264" s="1"/>
  <c r="BB33" i="252"/>
  <c r="BC33" i="252"/>
  <c r="BH35" i="256"/>
  <c r="BI35" i="256"/>
  <c r="BB58" i="251"/>
  <c r="K58" i="251" s="1"/>
  <c r="BE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BC28" i="257"/>
  <c r="BB28" i="257"/>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BB37" i="253"/>
  <c r="K37" i="253" s="1"/>
  <c r="BE37" i="253" s="1"/>
  <c r="BH37" i="253" s="1"/>
  <c r="BC37" i="253"/>
  <c r="AO26" i="260"/>
  <c r="AP26" i="260"/>
  <c r="AN26" i="260"/>
  <c r="G26" i="260" s="1"/>
  <c r="AQ26" i="260" s="1"/>
  <c r="BB53" i="272"/>
  <c r="BC53" i="272"/>
  <c r="AP54" i="256"/>
  <c r="AN54" i="256"/>
  <c r="AO54" i="256"/>
  <c r="H54" i="256" s="1"/>
  <c r="BC31" i="252"/>
  <c r="BB31" i="252"/>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BB29" i="251"/>
  <c r="BC29" i="251"/>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B29" i="255"/>
  <c r="BC29" i="255"/>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B33" i="264"/>
  <c r="BC33" i="26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BB29" i="264"/>
  <c r="K29" i="264" s="1"/>
  <c r="BE29" i="264" s="1"/>
  <c r="BH29" i="264" s="1"/>
  <c r="BC29" i="264"/>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BC34" i="255"/>
  <c r="BB34" i="255"/>
  <c r="K34" i="255" s="1"/>
  <c r="BE34" i="255" s="1"/>
  <c r="BP31" i="264"/>
  <c r="O31" i="264" s="1"/>
  <c r="BS31" i="264" s="1"/>
  <c r="BO31" i="264"/>
  <c r="BB45" i="260"/>
  <c r="BC45" i="260"/>
  <c r="BB37" i="251"/>
  <c r="BC37" i="251"/>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BA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BA37" i="254"/>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BA34" i="255"/>
  <c r="J34" i="255" s="1"/>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BA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BA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BA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BA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BA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BA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BA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H55" i="253"/>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BA29" i="251"/>
  <c r="J29" i="251" s="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BA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BA32" i="255"/>
  <c r="J32" i="255" s="1"/>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8" i="255"/>
  <c r="V118" i="252"/>
  <c r="V118" i="256"/>
  <c r="D122" i="256" s="1"/>
  <c r="BM48" i="256" s="1"/>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V90" i="255"/>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D102" i="256" s="1"/>
  <c r="AZ48" i="256" s="1"/>
  <c r="V98" i="257"/>
  <c r="V98" i="254"/>
  <c r="J122" i="251"/>
  <c r="BM52" i="251" s="1"/>
  <c r="J102" i="251"/>
  <c r="AZ52" i="251" s="1"/>
  <c r="M80" i="252"/>
  <c r="AM59" i="252" s="1"/>
  <c r="M100" i="252"/>
  <c r="AZ59" i="252" s="1"/>
  <c r="M120" i="252"/>
  <c r="BM59" i="252" s="1"/>
  <c r="V130" i="264"/>
  <c r="D122" i="264"/>
  <c r="BM48" i="264" s="1"/>
  <c r="D117" i="264"/>
  <c r="BM27" i="264" s="1"/>
  <c r="D119" i="264"/>
  <c r="H99" i="260"/>
  <c r="AZ62" i="260" s="1"/>
  <c r="H79" i="260"/>
  <c r="AM62" i="260" s="1"/>
  <c r="H119" i="260"/>
  <c r="BM62" i="260" s="1"/>
  <c r="V98" i="251"/>
  <c r="V78" i="257"/>
  <c r="L119" i="272"/>
  <c r="L79" i="272"/>
  <c r="L99" i="272"/>
  <c r="J78" i="254"/>
  <c r="E93" i="250" a="1"/>
  <c r="E93" i="250" s="1"/>
  <c r="J120" i="251"/>
  <c r="J100" i="251"/>
  <c r="V98" i="235"/>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D99" i="272" s="1"/>
  <c r="M99" i="272"/>
  <c r="M79" i="272"/>
  <c r="M119" i="272"/>
  <c r="E93" i="272" a="1"/>
  <c r="E93" i="272" s="1"/>
  <c r="H79" i="235"/>
  <c r="AM62" i="235" s="1"/>
  <c r="J81" i="263"/>
  <c r="J101" i="263"/>
  <c r="L81" i="272"/>
  <c r="L101" i="272"/>
  <c r="L121" i="272"/>
  <c r="V118" i="253"/>
  <c r="L81" i="257"/>
  <c r="L101" i="257"/>
  <c r="L121" i="257"/>
  <c r="V110" i="260"/>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D121" i="250" s="1"/>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V78" i="272"/>
  <c r="D81" i="272" s="1"/>
  <c r="V98" i="263"/>
  <c r="D97" i="263" s="1"/>
  <c r="AZ27" i="263" s="1"/>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V90" i="256"/>
  <c r="D80" i="256"/>
  <c r="N118" i="263"/>
  <c r="N98" i="263"/>
  <c r="N78" i="263"/>
  <c r="V79" i="251"/>
  <c r="V103" i="235"/>
  <c r="I101" i="235" s="1"/>
  <c r="H75" i="255"/>
  <c r="G80" i="255"/>
  <c r="G81" i="255"/>
  <c r="G78" i="255"/>
  <c r="G77" i="255"/>
  <c r="AT26" i="264"/>
  <c r="I98" i="252"/>
  <c r="AZ38" i="252" s="1"/>
  <c r="I118" i="252"/>
  <c r="BM38" i="252" s="1"/>
  <c r="I78" i="252"/>
  <c r="AM38" i="252" s="1"/>
  <c r="V98" i="250"/>
  <c r="D101" i="250" s="1"/>
  <c r="V118" i="251"/>
  <c r="K81" i="235"/>
  <c r="I120" i="255"/>
  <c r="Q56" i="251"/>
  <c r="P56" i="251"/>
  <c r="V98" i="253"/>
  <c r="V98" i="264"/>
  <c r="V78" i="254"/>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BA31" i="250"/>
  <c r="J31" i="250" s="1"/>
  <c r="BD31" i="250" s="1"/>
  <c r="G77" i="251"/>
  <c r="G117" i="251"/>
  <c r="G97" i="251"/>
  <c r="B212" i="249"/>
  <c r="B111" i="249"/>
  <c r="D118" i="263"/>
  <c r="BM39" i="263" s="1"/>
  <c r="D78" i="263"/>
  <c r="AM39" i="263" s="1"/>
  <c r="V118" i="254"/>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BA29" i="235"/>
  <c r="J29" i="235" s="1"/>
  <c r="BD29" i="235" s="1"/>
  <c r="BA60" i="254"/>
  <c r="J60" i="254" s="1"/>
  <c r="BD60" i="254" s="1"/>
  <c r="BH55" i="235"/>
  <c r="H123" i="235"/>
  <c r="BA31" i="255"/>
  <c r="J31" i="255" s="1"/>
  <c r="BD31" i="255" s="1"/>
  <c r="AO38" i="253"/>
  <c r="H38" i="253" s="1"/>
  <c r="AN38" i="253"/>
  <c r="G38" i="253" s="1"/>
  <c r="BA60" i="250"/>
  <c r="J60" i="250" s="1"/>
  <c r="BD60" i="250" s="1"/>
  <c r="BN50" i="250"/>
  <c r="BA46" i="254"/>
  <c r="J46" i="254" s="1"/>
  <c r="BD46" i="254" s="1"/>
  <c r="BN31" i="253"/>
  <c r="BA33" i="264"/>
  <c r="J33" i="264" s="1"/>
  <c r="BD33" i="264" s="1"/>
  <c r="BA34" i="256"/>
  <c r="J34" i="256" s="1"/>
  <c r="BD34" i="256" s="1"/>
  <c r="D83" i="251"/>
  <c r="BA53" i="255"/>
  <c r="J53" i="255" s="1"/>
  <c r="BD53" i="255" s="1"/>
  <c r="BA62" i="264"/>
  <c r="J62" i="264" s="1"/>
  <c r="BD62" i="264" s="1"/>
  <c r="BH35" i="252"/>
  <c r="BA44" i="272"/>
  <c r="J44" i="272" s="1"/>
  <c r="BD44" i="272" s="1"/>
  <c r="BA52" i="255"/>
  <c r="J52" i="255" s="1"/>
  <c r="BD52" i="255" s="1"/>
  <c r="BH56" i="264"/>
  <c r="BN50" i="251"/>
  <c r="BA31" i="254"/>
  <c r="J31" i="254" s="1"/>
  <c r="BD31" i="254" s="1"/>
  <c r="BA55" i="256"/>
  <c r="J55" i="256" s="1"/>
  <c r="BD55" i="256" s="1"/>
  <c r="P35" i="252"/>
  <c r="AO45" i="256"/>
  <c r="H45" i="256" s="1"/>
  <c r="AN45" i="256"/>
  <c r="BA37" i="264"/>
  <c r="J37" i="264" s="1"/>
  <c r="BD37" i="264" s="1"/>
  <c r="AN32" i="257"/>
  <c r="G32" i="257" s="1"/>
  <c r="BA59" i="255"/>
  <c r="J59" i="255" s="1"/>
  <c r="BD59" i="255" s="1"/>
  <c r="BN53" i="264"/>
  <c r="AN33" i="257"/>
  <c r="BA33" i="253"/>
  <c r="J33" i="253" s="1"/>
  <c r="BD33" i="253" s="1"/>
  <c r="BA60" i="255"/>
  <c r="J60" i="255" s="1"/>
  <c r="BD60" i="255" s="1"/>
  <c r="BA38" i="272"/>
  <c r="J38" i="272" s="1"/>
  <c r="BD38" i="272" s="1"/>
  <c r="BA45" i="235"/>
  <c r="J45" i="235" s="1"/>
  <c r="BD45" i="235" s="1"/>
  <c r="BN58" i="260"/>
  <c r="BA59" i="251"/>
  <c r="J59" i="251" s="1"/>
  <c r="BD59" i="251" s="1"/>
  <c r="BA34" i="257"/>
  <c r="J34" i="257" s="1"/>
  <c r="BD34" i="257" s="1"/>
  <c r="BA41" i="264"/>
  <c r="J41" i="264" s="1"/>
  <c r="BD41" i="264" s="1"/>
  <c r="BN31" i="256"/>
  <c r="AO45" i="253"/>
  <c r="H45" i="253" s="1"/>
  <c r="AN45" i="253"/>
  <c r="AN32" i="252"/>
  <c r="BA50" i="264"/>
  <c r="J50" i="264" s="1"/>
  <c r="BD50" i="264" s="1"/>
  <c r="BN34" i="253"/>
  <c r="BN52" i="264"/>
  <c r="BN60" i="251"/>
  <c r="BN58" i="263"/>
  <c r="BH58" i="251"/>
  <c r="BA58" i="251"/>
  <c r="J58" i="251" s="1"/>
  <c r="BD58" i="251" s="1"/>
  <c r="P35" i="250"/>
  <c r="BA55" i="257"/>
  <c r="J55" i="257" s="1"/>
  <c r="BD55" i="257" s="1"/>
  <c r="BH55" i="257"/>
  <c r="BN52" i="263"/>
  <c r="BA28" i="263"/>
  <c r="J28" i="263" s="1"/>
  <c r="BD28" i="263" s="1"/>
  <c r="BA43" i="252"/>
  <c r="J43" i="252" s="1"/>
  <c r="BD43" i="252" s="1"/>
  <c r="BA29" i="255"/>
  <c r="J29" i="255" s="1"/>
  <c r="BD29" i="255" s="1"/>
  <c r="BA61" i="256"/>
  <c r="J61" i="256" s="1"/>
  <c r="BD61" i="256" s="1"/>
  <c r="BN47" i="263"/>
  <c r="AN29" i="272"/>
  <c r="G29" i="272" s="1"/>
  <c r="N103" i="255"/>
  <c r="BN46" i="256"/>
  <c r="BA41" i="254"/>
  <c r="J41" i="254" s="1"/>
  <c r="BD41" i="254" s="1"/>
  <c r="BA29" i="264"/>
  <c r="J29" i="264" s="1"/>
  <c r="BD29" i="264" s="1"/>
  <c r="BN38" i="256"/>
  <c r="BA40" i="263"/>
  <c r="J40" i="263" s="1"/>
  <c r="BD40" i="263" s="1"/>
  <c r="BA47" i="254"/>
  <c r="J47" i="254" s="1"/>
  <c r="BD47" i="254" s="1"/>
  <c r="BA34" i="235"/>
  <c r="J34" i="235" s="1"/>
  <c r="BD34" i="235" s="1"/>
  <c r="BN45" i="254"/>
  <c r="BA31" i="252"/>
  <c r="J31" i="252" s="1"/>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BA37" i="255"/>
  <c r="J37" i="255" s="1"/>
  <c r="BD37" i="255" s="1"/>
  <c r="BA45" i="252"/>
  <c r="J45" i="252" s="1"/>
  <c r="BD45" i="252" s="1"/>
  <c r="Q35" i="260"/>
  <c r="P35" i="260"/>
  <c r="BA34" i="251"/>
  <c r="J34" i="251" s="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BA37" i="253"/>
  <c r="J37" i="253" s="1"/>
  <c r="BD37" i="253" s="1"/>
  <c r="BA28" i="257"/>
  <c r="J28" i="257" s="1"/>
  <c r="BD28" i="257" s="1"/>
  <c r="BA52" i="272"/>
  <c r="J52" i="272" s="1"/>
  <c r="BD52" i="272" s="1"/>
  <c r="BA60" i="264"/>
  <c r="J60" i="264" s="1"/>
  <c r="BD60" i="264" s="1"/>
  <c r="BA31" i="251"/>
  <c r="J31" i="251" s="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29" i="249"/>
  <c r="G8" i="249"/>
  <c r="G43" i="249"/>
  <c r="G71" i="249"/>
  <c r="G36" i="249"/>
  <c r="G22" i="249"/>
  <c r="G92" i="249"/>
  <c r="G15" i="249"/>
  <c r="G78" i="249"/>
  <c r="G64" i="249"/>
  <c r="E118" i="249"/>
  <c r="BM61" i="264" l="1"/>
  <c r="AG26" i="264"/>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BB26" i="256"/>
  <c r="K26" i="256" s="1"/>
  <c r="BA26" i="256"/>
  <c r="J26" i="256" s="1"/>
  <c r="BC26" i="256"/>
  <c r="L26" i="256" s="1"/>
  <c r="BF26" i="256" s="1"/>
  <c r="AO33" i="264"/>
  <c r="H33" i="264" s="1"/>
  <c r="AP33" i="264"/>
  <c r="BP29" i="263"/>
  <c r="O29" i="263" s="1"/>
  <c r="BS29" i="263" s="1"/>
  <c r="BO29" i="263"/>
  <c r="N29" i="263" s="1"/>
  <c r="BR29" i="263" s="1"/>
  <c r="BC34" i="260"/>
  <c r="BB34" i="260"/>
  <c r="K34" i="260" s="1"/>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BB26" i="255"/>
  <c r="K26" i="255" s="1"/>
  <c r="BC26" i="255"/>
  <c r="BA26" i="255"/>
  <c r="J26" i="255" s="1"/>
  <c r="AP33" i="260"/>
  <c r="AO33" i="260"/>
  <c r="H33" i="260" s="1"/>
  <c r="BC32" i="260"/>
  <c r="BB32" i="260"/>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BC38" i="257"/>
  <c r="BB38" i="257"/>
  <c r="K38" i="257" s="1"/>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B28" i="272"/>
  <c r="BC28" i="272"/>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37" i="235"/>
  <c r="BC37" i="235"/>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BC31" i="253"/>
  <c r="BB31" i="253"/>
  <c r="AQ61" i="263"/>
  <c r="AT61" i="263" s="1"/>
  <c r="AN47" i="264"/>
  <c r="G47" i="264" s="1"/>
  <c r="AQ47" i="264" s="1"/>
  <c r="AP47" i="264"/>
  <c r="AO47" i="264"/>
  <c r="H47" i="264" s="1"/>
  <c r="BO52" i="235"/>
  <c r="BP52" i="235"/>
  <c r="O52" i="235" s="1"/>
  <c r="BS52" i="235" s="1"/>
  <c r="BB41" i="263"/>
  <c r="BC41" i="263"/>
  <c r="BC32" i="256"/>
  <c r="BB32" i="256"/>
  <c r="K32" i="256" s="1"/>
  <c r="BE32" i="256" s="1"/>
  <c r="BH32" i="256" s="1"/>
  <c r="BC44" i="253"/>
  <c r="BB44" i="253"/>
  <c r="K44" i="253" s="1"/>
  <c r="BE44" i="253" s="1"/>
  <c r="AS35" i="263"/>
  <c r="AV35" i="263" s="1"/>
  <c r="U60" i="263"/>
  <c r="R60" i="263"/>
  <c r="BV60" i="263"/>
  <c r="R56" i="253"/>
  <c r="U56" i="253"/>
  <c r="BV56" i="253"/>
  <c r="BC33" i="272"/>
  <c r="BB33" i="272"/>
  <c r="K33" i="272" s="1"/>
  <c r="BE33" i="272" s="1"/>
  <c r="BC31" i="235"/>
  <c r="BB31" i="235"/>
  <c r="K31" i="235" s="1"/>
  <c r="BE31" i="235" s="1"/>
  <c r="BH31" i="235" s="1"/>
  <c r="BO61" i="257"/>
  <c r="N61" i="257" s="1"/>
  <c r="BR61" i="257" s="1"/>
  <c r="BP61" i="257"/>
  <c r="O61" i="257" s="1"/>
  <c r="BS61" i="257" s="1"/>
  <c r="BC29" i="250"/>
  <c r="BB29" i="250"/>
  <c r="BP29" i="264"/>
  <c r="O29" i="264" s="1"/>
  <c r="BS29" i="264" s="1"/>
  <c r="BO29" i="264"/>
  <c r="N29" i="264" s="1"/>
  <c r="BR29" i="264" s="1"/>
  <c r="BC26" i="252"/>
  <c r="L26" i="252" s="1"/>
  <c r="BF26" i="252" s="1"/>
  <c r="BA26" i="252"/>
  <c r="J26" i="252" s="1"/>
  <c r="BB26" i="252"/>
  <c r="K26" i="252" s="1"/>
  <c r="BB59" i="252"/>
  <c r="K59" i="252" s="1"/>
  <c r="BE59" i="252" s="1"/>
  <c r="BC59" i="252"/>
  <c r="BP62" i="272"/>
  <c r="O62" i="272" s="1"/>
  <c r="BS62" i="272" s="1"/>
  <c r="BO62" i="272"/>
  <c r="BC33" i="260"/>
  <c r="BB33" i="260"/>
  <c r="K33" i="260" s="1"/>
  <c r="BE33" i="260" s="1"/>
  <c r="BH33" i="260" s="1"/>
  <c r="BB61" i="253"/>
  <c r="K61" i="253" s="1"/>
  <c r="BE61" i="253" s="1"/>
  <c r="BH61" i="253" s="1"/>
  <c r="BC61" i="253"/>
  <c r="BC32" i="250"/>
  <c r="BB32" i="250"/>
  <c r="BB26" i="254"/>
  <c r="K26" i="254" s="1"/>
  <c r="BC26" i="254"/>
  <c r="BA26" i="254"/>
  <c r="J26" i="254" s="1"/>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BB29" i="260"/>
  <c r="K29" i="260" s="1"/>
  <c r="BE29" i="260" s="1"/>
  <c r="BC29" i="260"/>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BB37" i="252"/>
  <c r="K37" i="252" s="1"/>
  <c r="BE37" i="252" s="1"/>
  <c r="BH37" i="252" s="1"/>
  <c r="BC37" i="252"/>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BB28" i="251"/>
  <c r="K28" i="251" s="1"/>
  <c r="BE28" i="251" s="1"/>
  <c r="BH28" i="251" s="1"/>
  <c r="BC28" i="251"/>
  <c r="AN54" i="263"/>
  <c r="G54" i="263" s="1"/>
  <c r="AO54" i="263"/>
  <c r="H54" i="263" s="1"/>
  <c r="AP54" i="263"/>
  <c r="BB37" i="257"/>
  <c r="K37" i="257" s="1"/>
  <c r="BE37" i="257" s="1"/>
  <c r="BC37" i="257"/>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BC33" i="263"/>
  <c r="BB33" i="263"/>
  <c r="K33" i="263" s="1"/>
  <c r="BE33" i="263" s="1"/>
  <c r="BB37" i="256"/>
  <c r="K37" i="256" s="1"/>
  <c r="BE37" i="256" s="1"/>
  <c r="BC37" i="256"/>
  <c r="BP59" i="253"/>
  <c r="O59" i="253" s="1"/>
  <c r="BS59" i="253" s="1"/>
  <c r="BO59" i="253"/>
  <c r="N59" i="253" s="1"/>
  <c r="BR59" i="253" s="1"/>
  <c r="AN60" i="253"/>
  <c r="AO60" i="253"/>
  <c r="H60" i="253" s="1"/>
  <c r="AP60" i="253"/>
  <c r="BB29" i="256"/>
  <c r="BC29" i="256"/>
  <c r="AP28" i="235"/>
  <c r="AO28" i="235"/>
  <c r="H28" i="235" s="1"/>
  <c r="AR28" i="235" s="1"/>
  <c r="BC34" i="272"/>
  <c r="BB34" i="272"/>
  <c r="K34" i="272" s="1"/>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B37" i="272"/>
  <c r="BC37" i="272"/>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BC38" i="254"/>
  <c r="L38" i="254" s="1"/>
  <c r="BF38" i="254" s="1"/>
  <c r="BB38" i="254"/>
  <c r="K38" i="254" s="1"/>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BC28" i="250"/>
  <c r="BB28" i="250"/>
  <c r="K28" i="250" s="1"/>
  <c r="BE28" i="250" s="1"/>
  <c r="BH28" i="250" s="1"/>
  <c r="BP54" i="255"/>
  <c r="O54" i="255" s="1"/>
  <c r="BS54" i="255" s="1"/>
  <c r="BO54" i="255"/>
  <c r="BB29" i="252"/>
  <c r="K29" i="252" s="1"/>
  <c r="BE29" i="252" s="1"/>
  <c r="BC29" i="252"/>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BB32" i="254"/>
  <c r="BC32" i="254"/>
  <c r="AQ60" i="256"/>
  <c r="AT60" i="256" s="1"/>
  <c r="BP44" i="251"/>
  <c r="O44" i="251" s="1"/>
  <c r="BS44" i="251" s="1"/>
  <c r="BO44" i="251"/>
  <c r="N44" i="251" s="1"/>
  <c r="BR44" i="251" s="1"/>
  <c r="BC28" i="264"/>
  <c r="BB28" i="264"/>
  <c r="K28" i="264" s="1"/>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BB38" i="252"/>
  <c r="BC38" i="252"/>
  <c r="L38" i="252" s="1"/>
  <c r="BF38" i="252" s="1"/>
  <c r="AP29" i="256"/>
  <c r="AO29" i="256"/>
  <c r="H29" i="256" s="1"/>
  <c r="BO46" i="235"/>
  <c r="BP46" i="235"/>
  <c r="O46" i="235" s="1"/>
  <c r="BS46" i="235" s="1"/>
  <c r="BO34" i="272"/>
  <c r="N34" i="272" s="1"/>
  <c r="BR34" i="272" s="1"/>
  <c r="BP34" i="272"/>
  <c r="O34" i="272" s="1"/>
  <c r="BS34" i="272" s="1"/>
  <c r="BB37" i="250"/>
  <c r="K37" i="250" s="1"/>
  <c r="BE37" i="250" s="1"/>
  <c r="BH37" i="250" s="1"/>
  <c r="BC37" i="250"/>
  <c r="BB53" i="260"/>
  <c r="K53" i="260" s="1"/>
  <c r="BE53" i="260" s="1"/>
  <c r="BC53" i="260"/>
  <c r="BP61" i="272"/>
  <c r="O61" i="272" s="1"/>
  <c r="BS61" i="272" s="1"/>
  <c r="BO61" i="272"/>
  <c r="N61" i="272" s="1"/>
  <c r="BR61" i="272" s="1"/>
  <c r="BC31" i="257"/>
  <c r="BB31" i="257"/>
  <c r="K31" i="257" s="1"/>
  <c r="BE31" i="257" s="1"/>
  <c r="AN50" i="264"/>
  <c r="G50" i="264" s="1"/>
  <c r="AO50" i="264"/>
  <c r="H50" i="264" s="1"/>
  <c r="AP50" i="264"/>
  <c r="BP40" i="264"/>
  <c r="O40" i="264" s="1"/>
  <c r="BS40" i="264" s="1"/>
  <c r="BO40" i="264"/>
  <c r="N40" i="264" s="1"/>
  <c r="BR40" i="264" s="1"/>
  <c r="BB61" i="235"/>
  <c r="BC61" i="235"/>
  <c r="BP46" i="253"/>
  <c r="O46" i="253" s="1"/>
  <c r="BS46" i="253" s="1"/>
  <c r="BO46" i="253"/>
  <c r="BC33" i="250"/>
  <c r="BB33" i="250"/>
  <c r="K33" i="250" s="1"/>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BC32" i="257"/>
  <c r="BB32" i="257"/>
  <c r="K32" i="257" s="1"/>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BC32" i="252"/>
  <c r="BB32" i="252"/>
  <c r="K32" i="252" s="1"/>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BB34" i="253"/>
  <c r="K34" i="253" s="1"/>
  <c r="BE34" i="253" s="1"/>
  <c r="BH34" i="253" s="1"/>
  <c r="BC34" i="253"/>
  <c r="BP58" i="235"/>
  <c r="O58" i="235" s="1"/>
  <c r="BS58" i="235" s="1"/>
  <c r="BO58" i="235"/>
  <c r="N58" i="235" s="1"/>
  <c r="BR58" i="235" s="1"/>
  <c r="BA26" i="253"/>
  <c r="J26" i="253" s="1"/>
  <c r="BC26" i="253"/>
  <c r="BB26" i="253"/>
  <c r="K26" i="253" s="1"/>
  <c r="BB37" i="260"/>
  <c r="K37" i="260" s="1"/>
  <c r="BE37" i="260" s="1"/>
  <c r="BH37" i="260" s="1"/>
  <c r="BC37" i="260"/>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BB38" i="260"/>
  <c r="BC38" i="260"/>
  <c r="L38" i="260" s="1"/>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BC32" i="272"/>
  <c r="BB32" i="272"/>
  <c r="K32" i="272" s="1"/>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C32" i="263"/>
  <c r="BB32" i="263"/>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BB32" i="251"/>
  <c r="K32" i="251" s="1"/>
  <c r="BE32" i="251" s="1"/>
  <c r="BH32" i="251" s="1"/>
  <c r="BC32" i="25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BB31" i="272"/>
  <c r="K31" i="272" s="1"/>
  <c r="BE31" i="272" s="1"/>
  <c r="BC31" i="272"/>
  <c r="AN50" i="253"/>
  <c r="G50" i="253" s="1"/>
  <c r="AO50" i="253"/>
  <c r="H50" i="253" s="1"/>
  <c r="AP50" i="253"/>
  <c r="BB52" i="264"/>
  <c r="K52" i="264" s="1"/>
  <c r="BE52" i="264" s="1"/>
  <c r="BH52" i="264" s="1"/>
  <c r="BC52" i="264"/>
  <c r="BC34" i="263"/>
  <c r="BB34" i="263"/>
  <c r="K34" i="263" s="1"/>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BB38" i="263"/>
  <c r="K38" i="263" s="1"/>
  <c r="BE38" i="263" s="1"/>
  <c r="BH38" i="263" s="1"/>
  <c r="BC38" i="263"/>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BA26" i="272"/>
  <c r="BB26" i="272"/>
  <c r="K26" i="272" s="1"/>
  <c r="BC26" i="272"/>
  <c r="BC31" i="263"/>
  <c r="BB31" i="263"/>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BB31" i="260"/>
  <c r="K31" i="260" s="1"/>
  <c r="BE31" i="260" s="1"/>
  <c r="BH31" i="260" s="1"/>
  <c r="BC31" i="260"/>
  <c r="BB29" i="272"/>
  <c r="BC29" i="272"/>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B37" i="263"/>
  <c r="BC37" i="263"/>
  <c r="BP46" i="263"/>
  <c r="O46" i="263" s="1"/>
  <c r="BS46" i="263" s="1"/>
  <c r="BO46" i="263"/>
  <c r="N46" i="263" s="1"/>
  <c r="BR46" i="263" s="1"/>
  <c r="BB41" i="251"/>
  <c r="K41" i="251" s="1"/>
  <c r="BE41" i="251" s="1"/>
  <c r="BC41" i="251"/>
  <c r="BC33" i="254"/>
  <c r="BB33" i="254"/>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BC38" i="250"/>
  <c r="L38" i="250" s="1"/>
  <c r="BF38" i="250" s="1"/>
  <c r="BB38" i="250"/>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BA26" i="251"/>
  <c r="J26" i="251" s="1"/>
  <c r="BC26" i="251"/>
  <c r="BB26" i="251"/>
  <c r="K26" i="251" s="1"/>
  <c r="BB38" i="255"/>
  <c r="K38" i="255" s="1"/>
  <c r="BE38" i="255" s="1"/>
  <c r="BH38" i="255" s="1"/>
  <c r="BC38" i="255"/>
  <c r="L38" i="255" s="1"/>
  <c r="BF38" i="255" s="1"/>
  <c r="AN61" i="254"/>
  <c r="G61" i="254" s="1"/>
  <c r="AQ61" i="254" s="1"/>
  <c r="AO61" i="254"/>
  <c r="H61" i="254" s="1"/>
  <c r="AR61" i="254" s="1"/>
  <c r="AP61" i="254"/>
  <c r="BB29" i="257"/>
  <c r="K29" i="257" s="1"/>
  <c r="BE29" i="257" s="1"/>
  <c r="BH29" i="257" s="1"/>
  <c r="BC29" i="257"/>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BB38" i="264"/>
  <c r="K38" i="264" s="1"/>
  <c r="BE38" i="264" s="1"/>
  <c r="BC38" i="264"/>
  <c r="L38" i="264" s="1"/>
  <c r="BF38" i="264" s="1"/>
  <c r="BC53" i="256"/>
  <c r="BB53" i="256"/>
  <c r="BP58" i="256"/>
  <c r="O58" i="256" s="1"/>
  <c r="BS58" i="256" s="1"/>
  <c r="BO58" i="256"/>
  <c r="N58" i="256" s="1"/>
  <c r="BR58" i="256" s="1"/>
  <c r="BB29" i="253"/>
  <c r="BC29" i="253"/>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33" i="256"/>
  <c r="BC33" i="256"/>
  <c r="BB49" i="255"/>
  <c r="K49" i="255" s="1"/>
  <c r="BE49" i="255" s="1"/>
  <c r="BH49" i="255" s="1"/>
  <c r="BC49" i="255"/>
  <c r="BP53" i="255"/>
  <c r="O53" i="255" s="1"/>
  <c r="BS53" i="255" s="1"/>
  <c r="BO53" i="255"/>
  <c r="BP55" i="257"/>
  <c r="O55" i="257" s="1"/>
  <c r="BS55" i="257" s="1"/>
  <c r="BO55" i="257"/>
  <c r="N55" i="257" s="1"/>
  <c r="BR55" i="257" s="1"/>
  <c r="AO28" i="260"/>
  <c r="H28" i="260" s="1"/>
  <c r="AP28" i="260"/>
  <c r="BC28" i="254"/>
  <c r="BB28" i="254"/>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B31" i="264"/>
  <c r="BC31" i="264"/>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BC34" i="250"/>
  <c r="BB34" i="250"/>
  <c r="BB38" i="251"/>
  <c r="K38" i="251" s="1"/>
  <c r="BE38" i="251" s="1"/>
  <c r="BC38" i="251"/>
  <c r="L38" i="251" s="1"/>
  <c r="BF38" i="251" s="1"/>
  <c r="AR61" i="255"/>
  <c r="AU61" i="255" s="1"/>
  <c r="BB53" i="257"/>
  <c r="BC53" i="257"/>
  <c r="BO53" i="251"/>
  <c r="BP53" i="251"/>
  <c r="O53" i="251" s="1"/>
  <c r="BS53" i="251" s="1"/>
  <c r="BB49" i="260"/>
  <c r="BC49" i="260"/>
  <c r="BC32" i="253"/>
  <c r="BB32" i="253"/>
  <c r="BP43" i="264"/>
  <c r="O43" i="264" s="1"/>
  <c r="BS43" i="264" s="1"/>
  <c r="BO43" i="264"/>
  <c r="BB47" i="272"/>
  <c r="BC47" i="272"/>
  <c r="L47" i="272" s="1"/>
  <c r="BF47" i="272" s="1"/>
  <c r="BP59" i="235"/>
  <c r="O59" i="235" s="1"/>
  <c r="BS59" i="235" s="1"/>
  <c r="BO59" i="235"/>
  <c r="N59" i="235" s="1"/>
  <c r="BR59" i="235" s="1"/>
  <c r="BC33" i="255"/>
  <c r="BB33" i="255"/>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BB27" i="263"/>
  <c r="K27" i="263" s="1"/>
  <c r="BE27" i="263" s="1"/>
  <c r="BC27" i="263"/>
  <c r="BP34" i="250"/>
  <c r="O34" i="250" s="1"/>
  <c r="BS34" i="250" s="1"/>
  <c r="BO34" i="250"/>
  <c r="N34" i="250" s="1"/>
  <c r="BR34" i="250" s="1"/>
  <c r="BB53" i="235"/>
  <c r="K53" i="235" s="1"/>
  <c r="BE53" i="235" s="1"/>
  <c r="BH53" i="235" s="1"/>
  <c r="BC53" i="235"/>
  <c r="AN53" i="257"/>
  <c r="G53" i="257" s="1"/>
  <c r="AO53" i="257"/>
  <c r="H53" i="257" s="1"/>
  <c r="AP53" i="257"/>
  <c r="BB38" i="253"/>
  <c r="BC38" i="253"/>
  <c r="BB53" i="251"/>
  <c r="BC53" i="251"/>
  <c r="BB39" i="260"/>
  <c r="BC39" i="260"/>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BC34" i="254"/>
  <c r="BB34" i="254"/>
  <c r="K34" i="254" s="1"/>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BB28" i="235"/>
  <c r="K28" i="235" s="1"/>
  <c r="BE28" i="235" s="1"/>
  <c r="BH28" i="235" s="1"/>
  <c r="BC28" i="235"/>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BB28" i="252"/>
  <c r="K28" i="252" s="1"/>
  <c r="BE28" i="252" s="1"/>
  <c r="BH28" i="252" s="1"/>
  <c r="BC28" i="252"/>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BA26" i="260"/>
  <c r="J26" i="260" s="1"/>
  <c r="BB26" i="260"/>
  <c r="K26" i="260" s="1"/>
  <c r="BC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BC32" i="264"/>
  <c r="BB32" i="264"/>
  <c r="K32" i="264" s="1"/>
  <c r="BE32" i="264" s="1"/>
  <c r="BH32" i="264" s="1"/>
  <c r="BC33" i="235"/>
  <c r="BB33" i="235"/>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BC33" i="257"/>
  <c r="BB33" i="257"/>
  <c r="K33" i="257" s="1"/>
  <c r="BE33" i="257" s="1"/>
  <c r="AN59" i="256"/>
  <c r="AO59" i="256"/>
  <c r="H59" i="256" s="1"/>
  <c r="AP59" i="256"/>
  <c r="BC27" i="260"/>
  <c r="BB27" i="260"/>
  <c r="K27" i="260" s="1"/>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BB28" i="253"/>
  <c r="K28" i="253" s="1"/>
  <c r="BE28" i="253" s="1"/>
  <c r="BC28" i="253"/>
  <c r="BB26" i="257"/>
  <c r="K26" i="257" s="1"/>
  <c r="BA26" i="257"/>
  <c r="J26" i="257" s="1"/>
  <c r="BC26" i="257"/>
  <c r="AU38" i="235"/>
  <c r="BH35" i="272"/>
  <c r="BI35" i="272"/>
  <c r="AN49" i="255"/>
  <c r="G49" i="255" s="1"/>
  <c r="AP49" i="255"/>
  <c r="AO49" i="255"/>
  <c r="H49" i="255" s="1"/>
  <c r="BB60" i="256"/>
  <c r="BC60" i="256"/>
  <c r="BB38" i="256"/>
  <c r="BC38" i="256"/>
  <c r="L38" i="256" s="1"/>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BC26" i="250"/>
  <c r="L26" i="250" s="1"/>
  <c r="BF26" i="250" s="1"/>
  <c r="BA26" i="250"/>
  <c r="J26" i="250" s="1"/>
  <c r="BB26" i="250"/>
  <c r="K26" i="250" s="1"/>
  <c r="AN60" i="263"/>
  <c r="G60" i="263" s="1"/>
  <c r="AO60" i="263"/>
  <c r="H60" i="263" s="1"/>
  <c r="AP60" i="263"/>
  <c r="AP54" i="254"/>
  <c r="AN54" i="254"/>
  <c r="G54" i="254" s="1"/>
  <c r="AO54" i="254"/>
  <c r="H54" i="254" s="1"/>
  <c r="AR44" i="254"/>
  <c r="AU44" i="254" s="1"/>
  <c r="AP33" i="252"/>
  <c r="AO33" i="252"/>
  <c r="H33" i="252" s="1"/>
  <c r="BC31" i="256"/>
  <c r="BB31" i="256"/>
  <c r="BC33" i="251"/>
  <c r="BB33" i="251"/>
  <c r="AR44" i="251"/>
  <c r="AU44" i="251" s="1"/>
  <c r="U52" i="263"/>
  <c r="BV52" i="263"/>
  <c r="R52" i="263"/>
  <c r="R45" i="263"/>
  <c r="BV45" i="263"/>
  <c r="U45" i="263"/>
  <c r="U45" i="254"/>
  <c r="R45" i="254"/>
  <c r="BV45" i="254"/>
  <c r="U58" i="260"/>
  <c r="BV58" i="260"/>
  <c r="R58" i="260"/>
  <c r="BB60" i="235"/>
  <c r="K60" i="235" s="1"/>
  <c r="BE60" i="235" s="1"/>
  <c r="BC60" i="235"/>
  <c r="BB28" i="260"/>
  <c r="BC28" i="260"/>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29" i="254"/>
  <c r="BC29" i="254"/>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BC32" i="235"/>
  <c r="BB32" i="235"/>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BC34" i="264"/>
  <c r="BB34" i="264"/>
  <c r="K34" i="264" s="1"/>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BB28" i="256"/>
  <c r="BC28" i="256"/>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33" i="25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BA29" i="260"/>
  <c r="J29" i="260" s="1"/>
  <c r="BD29" i="260" s="1"/>
  <c r="BA54" i="250"/>
  <c r="J54" i="250" s="1"/>
  <c r="BD54" i="250" s="1"/>
  <c r="BA38" i="264"/>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A37" i="251"/>
  <c r="BH56" i="235"/>
  <c r="AN40" i="254"/>
  <c r="G40" i="254" s="1"/>
  <c r="BA53" i="264"/>
  <c r="J53" i="264" s="1"/>
  <c r="BD53" i="264" s="1"/>
  <c r="BA50" i="250"/>
  <c r="J50" i="250" s="1"/>
  <c r="BD50" i="250" s="1"/>
  <c r="BA31" i="256"/>
  <c r="J31" i="256" s="1"/>
  <c r="BD31" i="256" s="1"/>
  <c r="BN43" i="257"/>
  <c r="M43" i="257" s="1"/>
  <c r="BQ43" i="257" s="1"/>
  <c r="BN55" i="263"/>
  <c r="M55" i="263" s="1"/>
  <c r="BQ55" i="263" s="1"/>
  <c r="BA40" i="254"/>
  <c r="J40" i="254" s="1"/>
  <c r="BD40" i="254" s="1"/>
  <c r="BN55" i="257"/>
  <c r="M55" i="257" s="1"/>
  <c r="BQ55" i="257" s="1"/>
  <c r="BA31" i="257"/>
  <c r="BA49" i="260"/>
  <c r="J49" i="260" s="1"/>
  <c r="BD49" i="260" s="1"/>
  <c r="BA29" i="252"/>
  <c r="J29" i="252" s="1"/>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BA38" i="254"/>
  <c r="J38" i="254" s="1"/>
  <c r="BD38" i="254" s="1"/>
  <c r="BA38" i="253"/>
  <c r="BN33" i="257"/>
  <c r="M33" i="257" s="1"/>
  <c r="BQ33" i="257" s="1"/>
  <c r="Q56" i="254"/>
  <c r="AO38" i="254"/>
  <c r="BN46" i="254"/>
  <c r="M46" i="254" s="1"/>
  <c r="BQ46" i="254" s="1"/>
  <c r="BA59" i="235"/>
  <c r="BA37" i="257"/>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37" i="250"/>
  <c r="BA49" i="252"/>
  <c r="J49" i="252" s="1"/>
  <c r="BD49" i="252" s="1"/>
  <c r="BA49" i="251"/>
  <c r="BN60" i="257"/>
  <c r="M60" i="257" s="1"/>
  <c r="BQ60" i="257" s="1"/>
  <c r="AO43" i="254"/>
  <c r="H43" i="254" s="1"/>
  <c r="BN61" i="264"/>
  <c r="M61" i="264" s="1"/>
  <c r="BQ61" i="264" s="1"/>
  <c r="BA28" i="254"/>
  <c r="J28" i="254" s="1"/>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BA37" i="256"/>
  <c r="J37" i="256" s="1"/>
  <c r="BD37" i="256" s="1"/>
  <c r="BA32" i="256"/>
  <c r="J32" i="256" s="1"/>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BA38" i="257"/>
  <c r="BA33" i="257"/>
  <c r="AN28" i="263"/>
  <c r="BN33" i="252"/>
  <c r="M33" i="252" s="1"/>
  <c r="BQ33" i="252" s="1"/>
  <c r="BN45" i="260"/>
  <c r="BN37" i="251"/>
  <c r="M37" i="251" s="1"/>
  <c r="BQ37" i="251" s="1"/>
  <c r="BN54" i="253"/>
  <c r="M54" i="253" s="1"/>
  <c r="BQ54" i="253" s="1"/>
  <c r="BN31" i="250"/>
  <c r="BN38" i="253"/>
  <c r="BA37" i="235"/>
  <c r="J37" i="235" s="1"/>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BA33" i="263"/>
  <c r="BA34" i="263"/>
  <c r="J34" i="263" s="1"/>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BA32" i="250"/>
  <c r="J32" i="250" s="1"/>
  <c r="BD32" i="250" s="1"/>
  <c r="BN37" i="253"/>
  <c r="N103" i="253"/>
  <c r="BN58" i="254"/>
  <c r="BN49" i="260"/>
  <c r="M49" i="260" s="1"/>
  <c r="BQ49" i="260" s="1"/>
  <c r="BN31" i="257"/>
  <c r="M31" i="257" s="1"/>
  <c r="BQ31" i="257" s="1"/>
  <c r="AN40" i="256"/>
  <c r="BA40" i="256"/>
  <c r="BA47" i="250"/>
  <c r="BN34" i="256"/>
  <c r="BA34" i="260"/>
  <c r="J34" i="260" s="1"/>
  <c r="BD34" i="260" s="1"/>
  <c r="BA33" i="254"/>
  <c r="J33" i="254" s="1"/>
  <c r="BD33" i="254" s="1"/>
  <c r="BA55" i="252"/>
  <c r="J55" i="252" s="1"/>
  <c r="BD55" i="252" s="1"/>
  <c r="BA32" i="272"/>
  <c r="J32" i="272" s="1"/>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BA32" i="252"/>
  <c r="J32" i="252" s="1"/>
  <c r="BD32" i="252" s="1"/>
  <c r="BN34" i="260"/>
  <c r="M34" i="260" s="1"/>
  <c r="BQ34" i="260" s="1"/>
  <c r="BN34" i="235"/>
  <c r="M34" i="235" s="1"/>
  <c r="BQ34" i="235" s="1"/>
  <c r="AO38" i="264"/>
  <c r="H38" i="264" s="1"/>
  <c r="BN59" i="253"/>
  <c r="M59" i="253" s="1"/>
  <c r="BQ59" i="253" s="1"/>
  <c r="BA54" i="252"/>
  <c r="BA38" i="260"/>
  <c r="J38" i="260" s="1"/>
  <c r="BD38" i="260" s="1"/>
  <c r="BN59" i="251"/>
  <c r="E103" i="272"/>
  <c r="M123" i="260"/>
  <c r="BN62" i="251"/>
  <c r="BN58" i="251"/>
  <c r="M103" i="251"/>
  <c r="BA28" i="264"/>
  <c r="J28" i="264" s="1"/>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BA37" i="263"/>
  <c r="J37" i="263" s="1"/>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BA29" i="253"/>
  <c r="J29" i="253" s="1"/>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BA31" i="253"/>
  <c r="J31" i="253" s="1"/>
  <c r="BD31" i="253" s="1"/>
  <c r="I103" i="260"/>
  <c r="G83" i="264"/>
  <c r="N103" i="256"/>
  <c r="BA55" i="254"/>
  <c r="J55" i="254" s="1"/>
  <c r="BD55" i="254" s="1"/>
  <c r="H123" i="252"/>
  <c r="N123" i="251"/>
  <c r="L103" i="254"/>
  <c r="I123" i="263"/>
  <c r="E123" i="252"/>
  <c r="AN45" i="264"/>
  <c r="L83" i="264"/>
  <c r="H103" i="252"/>
  <c r="BA39" i="260"/>
  <c r="J39" i="260" s="1"/>
  <c r="BD39" i="260" s="1"/>
  <c r="BA32" i="263"/>
  <c r="J32" i="263" s="1"/>
  <c r="BD32" i="263" s="1"/>
  <c r="G103" i="253"/>
  <c r="E83" i="263"/>
  <c r="H83" i="264"/>
  <c r="BN38" i="235"/>
  <c r="H103" i="264"/>
  <c r="AN33" i="252"/>
  <c r="F83" i="263"/>
  <c r="G123" i="263"/>
  <c r="AG44" i="254"/>
  <c r="N123" i="252"/>
  <c r="H103" i="254"/>
  <c r="AG61" i="263"/>
  <c r="G103" i="263"/>
  <c r="J103" i="264"/>
  <c r="AQ46" i="260"/>
  <c r="F103" i="263"/>
  <c r="BA52" i="263"/>
  <c r="J52" i="263" s="1"/>
  <c r="BD52" i="263" s="1"/>
  <c r="I83" i="264"/>
  <c r="L103" i="264"/>
  <c r="I103" i="264"/>
  <c r="J123" i="264"/>
  <c r="BA52" i="256"/>
  <c r="J52" i="256" s="1"/>
  <c r="BD52" i="256" s="1"/>
  <c r="E123" i="263"/>
  <c r="J83" i="264"/>
  <c r="G83" i="263"/>
  <c r="BN29" i="252"/>
  <c r="M29" i="252" s="1"/>
  <c r="BQ29" i="252" s="1"/>
  <c r="K123" i="252"/>
  <c r="BA38" i="256"/>
  <c r="J38" i="256" s="1"/>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BA33" i="255"/>
  <c r="J33" i="255" s="1"/>
  <c r="BD33" i="255" s="1"/>
  <c r="T58" i="252"/>
  <c r="K103" i="254"/>
  <c r="AI56" i="253"/>
  <c r="BT45" i="251"/>
  <c r="BA60" i="263"/>
  <c r="J60" i="263" s="1"/>
  <c r="BD60" i="263" s="1"/>
  <c r="BA54" i="254"/>
  <c r="J54" i="254" s="1"/>
  <c r="BD54" i="254" s="1"/>
  <c r="BT29" i="254"/>
  <c r="K103" i="264"/>
  <c r="J103" i="272"/>
  <c r="J103" i="256"/>
  <c r="BA29" i="254"/>
  <c r="J29" i="254" s="1"/>
  <c r="BD29" i="254" s="1"/>
  <c r="H83" i="263"/>
  <c r="BA62" i="272"/>
  <c r="H123" i="250"/>
  <c r="E103" i="263"/>
  <c r="BN61" i="272"/>
  <c r="M61" i="272" s="1"/>
  <c r="BQ61" i="272" s="1"/>
  <c r="BN54" i="255"/>
  <c r="M54" i="255" s="1"/>
  <c r="BQ54" i="255" s="1"/>
  <c r="BA54" i="263"/>
  <c r="J54" i="263" s="1"/>
  <c r="BD54" i="263" s="1"/>
  <c r="BA61" i="235"/>
  <c r="BN39" i="263"/>
  <c r="K103" i="260"/>
  <c r="H123" i="255"/>
  <c r="BA38" i="250"/>
  <c r="J38" i="250" s="1"/>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BA28" i="250"/>
  <c r="J28" i="250" s="1"/>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BA32" i="257"/>
  <c r="J32" i="257" s="1"/>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BA32" i="253"/>
  <c r="J32" i="253" s="1"/>
  <c r="BD32" i="253" s="1"/>
  <c r="BA28" i="251"/>
  <c r="J28" i="251" s="1"/>
  <c r="BD28" i="251" s="1"/>
  <c r="E83" i="253"/>
  <c r="BA54" i="256"/>
  <c r="J54" i="256" s="1"/>
  <c r="BD54" i="256" s="1"/>
  <c r="L83" i="256"/>
  <c r="F103" i="256"/>
  <c r="AN44" i="260"/>
  <c r="G44" i="260" s="1"/>
  <c r="K123" i="257"/>
  <c r="BA49" i="256"/>
  <c r="J49" i="256" s="1"/>
  <c r="BD49" i="256" s="1"/>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BA31" i="260"/>
  <c r="J31" i="260" s="1"/>
  <c r="BD31" i="260" s="1"/>
  <c r="AO40" i="260"/>
  <c r="H40" i="260" s="1"/>
  <c r="AN40" i="260"/>
  <c r="BA47" i="252"/>
  <c r="J47" i="252" s="1"/>
  <c r="BD47" i="252" s="1"/>
  <c r="BN47" i="251"/>
  <c r="BA54" i="272"/>
  <c r="J54" i="272" s="1"/>
  <c r="BD54" i="272" s="1"/>
  <c r="BA32" i="251"/>
  <c r="J32" i="251" s="1"/>
  <c r="BD32" i="251" s="1"/>
  <c r="BN60" i="256"/>
  <c r="BN53" i="251"/>
  <c r="N103" i="257"/>
  <c r="I123" i="251"/>
  <c r="J83" i="256"/>
  <c r="L103" i="256"/>
  <c r="BA60" i="256"/>
  <c r="J60" i="256" s="1"/>
  <c r="BD60" i="256" s="1"/>
  <c r="BA28" i="256"/>
  <c r="J28" i="256" s="1"/>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BA28" i="260"/>
  <c r="J28" i="260" s="1"/>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BA33" i="256"/>
  <c r="J33" i="256" s="1"/>
  <c r="BD33" i="256" s="1"/>
  <c r="BN32" i="250"/>
  <c r="BA53" i="257"/>
  <c r="J53" i="257" s="1"/>
  <c r="BD53" i="257" s="1"/>
  <c r="BA48" i="256"/>
  <c r="J48" i="256" s="1"/>
  <c r="BD48" i="256" s="1"/>
  <c r="V130" i="254"/>
  <c r="D119" i="254"/>
  <c r="D120" i="254"/>
  <c r="D118" i="254"/>
  <c r="BM39" i="254" s="1"/>
  <c r="D117" i="254"/>
  <c r="BM27" i="254" s="1"/>
  <c r="D122" i="254"/>
  <c r="BM48" i="254" s="1"/>
  <c r="D121" i="254"/>
  <c r="V78" i="260"/>
  <c r="AO43" i="256"/>
  <c r="H43" i="256" s="1"/>
  <c r="AN43" i="256"/>
  <c r="G43" i="256" s="1"/>
  <c r="M12" i="216"/>
  <c r="E12" i="216" s="1"/>
  <c r="D11" i="216"/>
  <c r="B12" i="249" s="1"/>
  <c r="E11" i="216"/>
  <c r="C12" i="249" s="1"/>
  <c r="V90" i="252"/>
  <c r="D82" i="252"/>
  <c r="AM48" i="252" s="1"/>
  <c r="D77" i="252"/>
  <c r="AM27" i="252" s="1"/>
  <c r="D79" i="252"/>
  <c r="D78" i="252"/>
  <c r="AM39" i="252" s="1"/>
  <c r="D80" i="252"/>
  <c r="D81" i="252"/>
  <c r="BA46" i="252"/>
  <c r="J46" i="252" s="1"/>
  <c r="BD46" i="252" s="1"/>
  <c r="BA38" i="255"/>
  <c r="J38" i="255" s="1"/>
  <c r="BD38" i="255" s="1"/>
  <c r="AN28" i="253"/>
  <c r="G28" i="253" s="1"/>
  <c r="M83" i="257"/>
  <c r="V110" i="235"/>
  <c r="D102" i="235"/>
  <c r="AZ48" i="235" s="1"/>
  <c r="D97" i="235"/>
  <c r="AZ27" i="235" s="1"/>
  <c r="D100" i="235"/>
  <c r="D99" i="235"/>
  <c r="D98" i="235"/>
  <c r="AZ39" i="235" s="1"/>
  <c r="D101" i="235"/>
  <c r="V110" i="251"/>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BA31" i="263"/>
  <c r="J31" i="263" s="1"/>
  <c r="BD31" i="263" s="1"/>
  <c r="V90" i="272"/>
  <c r="V133" i="272" s="1"/>
  <c r="D78" i="272"/>
  <c r="AM39" i="272" s="1"/>
  <c r="D80" i="272"/>
  <c r="D82" i="272"/>
  <c r="AM48" i="272" s="1"/>
  <c r="AQ32" i="256"/>
  <c r="D123" i="263"/>
  <c r="M83" i="235"/>
  <c r="BN38" i="255"/>
  <c r="BA60" i="235"/>
  <c r="J60" i="235" s="1"/>
  <c r="BD60" i="235" s="1"/>
  <c r="V120" i="255"/>
  <c r="V130" i="253"/>
  <c r="D120" i="253"/>
  <c r="D119" i="253"/>
  <c r="D118" i="253"/>
  <c r="BM39" i="253" s="1"/>
  <c r="D121" i="253"/>
  <c r="D117" i="253"/>
  <c r="BM27" i="253" s="1"/>
  <c r="D122" i="253"/>
  <c r="BM48" i="253" s="1"/>
  <c r="V110" i="254"/>
  <c r="D98" i="254"/>
  <c r="AZ39" i="254" s="1"/>
  <c r="D101" i="254"/>
  <c r="D99" i="254"/>
  <c r="D100" i="254"/>
  <c r="D102" i="254"/>
  <c r="AZ48" i="254" s="1"/>
  <c r="D97" i="254"/>
  <c r="AZ27" i="254" s="1"/>
  <c r="K52" i="249"/>
  <c r="K59" i="249" s="1"/>
  <c r="I103" i="255"/>
  <c r="V90" i="253"/>
  <c r="D81" i="253"/>
  <c r="D80" i="253"/>
  <c r="D82" i="253"/>
  <c r="AM48" i="253" s="1"/>
  <c r="D79" i="253"/>
  <c r="D77" i="253"/>
  <c r="AM27" i="253" s="1"/>
  <c r="D78" i="253"/>
  <c r="AM39" i="253" s="1"/>
  <c r="BA33" i="260"/>
  <c r="J33" i="260" s="1"/>
  <c r="BD33" i="260" s="1"/>
  <c r="BN37" i="272"/>
  <c r="AN29" i="257"/>
  <c r="I83" i="256"/>
  <c r="AH55" i="235"/>
  <c r="E83" i="256"/>
  <c r="I83" i="272"/>
  <c r="F83" i="254"/>
  <c r="F83" i="235"/>
  <c r="E83" i="264"/>
  <c r="H83" i="256"/>
  <c r="L123" i="272"/>
  <c r="K103" i="250"/>
  <c r="F83" i="253"/>
  <c r="I102" i="235"/>
  <c r="AZ47" i="235" s="1"/>
  <c r="BA32" i="264"/>
  <c r="J32" i="264" s="1"/>
  <c r="BD32" i="264" s="1"/>
  <c r="H103" i="272"/>
  <c r="K220" i="249"/>
  <c r="K227" i="249" s="1"/>
  <c r="K234" i="249" s="1"/>
  <c r="K241" i="249" s="1"/>
  <c r="K248" i="249" s="1"/>
  <c r="K255" i="249" s="1"/>
  <c r="K214" i="249"/>
  <c r="BN47" i="256"/>
  <c r="V110" i="264"/>
  <c r="D99" i="264"/>
  <c r="AZ61" i="264" s="1"/>
  <c r="BC61" i="264" s="1"/>
  <c r="D97" i="264"/>
  <c r="AZ27" i="264" s="1"/>
  <c r="D102" i="264"/>
  <c r="AZ48" i="264" s="1"/>
  <c r="D101" i="264"/>
  <c r="D98" i="264"/>
  <c r="AZ39" i="264" s="1"/>
  <c r="D100" i="264"/>
  <c r="S56" i="251"/>
  <c r="V130"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V130" i="250"/>
  <c r="D118" i="250"/>
  <c r="BM39" i="250" s="1"/>
  <c r="D120" i="250"/>
  <c r="D122" i="250"/>
  <c r="BM48" i="250" s="1"/>
  <c r="B213" i="249"/>
  <c r="B112" i="249"/>
  <c r="M126" i="216"/>
  <c r="E126" i="216"/>
  <c r="L127" i="216"/>
  <c r="BN46" i="235"/>
  <c r="D79" i="272"/>
  <c r="BN48" i="263"/>
  <c r="V80" i="264"/>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V130" i="256"/>
  <c r="D120" i="256"/>
  <c r="D118" i="256"/>
  <c r="BM39" i="256" s="1"/>
  <c r="D121" i="256"/>
  <c r="D117" i="256"/>
  <c r="BM27" i="256" s="1"/>
  <c r="D119" i="256"/>
  <c r="BA31" i="235"/>
  <c r="J31" i="235" s="1"/>
  <c r="BD31" i="235" s="1"/>
  <c r="BA37" i="272"/>
  <c r="J37" i="272" s="1"/>
  <c r="BD37" i="272" s="1"/>
  <c r="D83" i="256"/>
  <c r="V118" i="272"/>
  <c r="V119" i="235"/>
  <c r="H123" i="272"/>
  <c r="BA52" i="254"/>
  <c r="J52" i="254" s="1"/>
  <c r="BD52" i="254" s="1"/>
  <c r="BA38" i="252"/>
  <c r="J38" i="252" s="1"/>
  <c r="BD38" i="252" s="1"/>
  <c r="BA29" i="256"/>
  <c r="J29" i="256" s="1"/>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V130" i="260"/>
  <c r="D122" i="260"/>
  <c r="BM48" i="260" s="1"/>
  <c r="D121" i="260"/>
  <c r="D120" i="260"/>
  <c r="D117" i="260"/>
  <c r="BM27" i="260" s="1"/>
  <c r="D119" i="260"/>
  <c r="D118" i="260"/>
  <c r="BM39" i="260" s="1"/>
  <c r="BN31" i="263"/>
  <c r="AN29" i="235"/>
  <c r="G29" i="235" s="1"/>
  <c r="AQ29" i="235" s="1"/>
  <c r="BN34" i="272"/>
  <c r="BN62" i="260"/>
  <c r="V110" i="257"/>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V90" i="254"/>
  <c r="D78" i="254"/>
  <c r="AM39" i="254" s="1"/>
  <c r="D82" i="254"/>
  <c r="AM48" i="254" s="1"/>
  <c r="D79" i="254"/>
  <c r="D80" i="254"/>
  <c r="D81" i="254"/>
  <c r="D77" i="254"/>
  <c r="AM27" i="254" s="1"/>
  <c r="V110" i="253"/>
  <c r="D100" i="253"/>
  <c r="D102" i="253"/>
  <c r="AZ48" i="253" s="1"/>
  <c r="D97" i="253"/>
  <c r="AZ27" i="253" s="1"/>
  <c r="D101" i="253"/>
  <c r="D99" i="253"/>
  <c r="D98" i="253"/>
  <c r="AZ39" i="253" s="1"/>
  <c r="V110" i="250"/>
  <c r="D98" i="250"/>
  <c r="AZ39" i="250" s="1"/>
  <c r="D102" i="250"/>
  <c r="AZ48" i="250" s="1"/>
  <c r="D100" i="250"/>
  <c r="I98" i="235"/>
  <c r="AZ38" i="235" s="1"/>
  <c r="I99" i="235"/>
  <c r="I97" i="235"/>
  <c r="AZ26" i="235" s="1"/>
  <c r="BA26" i="235" s="1"/>
  <c r="J26" i="235" s="1"/>
  <c r="BD26" i="235" s="1"/>
  <c r="BN29" i="256"/>
  <c r="M198" i="231"/>
  <c r="M197" i="231"/>
  <c r="M196" i="231"/>
  <c r="D9" i="254" s="1"/>
  <c r="M229" i="231"/>
  <c r="M195" i="231"/>
  <c r="H103" i="260"/>
  <c r="K19" i="249"/>
  <c r="K13" i="249"/>
  <c r="BA29" i="250"/>
  <c r="J29" i="250" s="1"/>
  <c r="BD29" i="250" s="1"/>
  <c r="BN48" i="264"/>
  <c r="BA52" i="251"/>
  <c r="J52" i="251" s="1"/>
  <c r="BD52" i="251" s="1"/>
  <c r="V110" i="256"/>
  <c r="D100" i="256"/>
  <c r="D99" i="256"/>
  <c r="D98" i="256"/>
  <c r="AZ39" i="256" s="1"/>
  <c r="D101" i="256"/>
  <c r="D97" i="256"/>
  <c r="AZ27" i="256" s="1"/>
  <c r="AN44" i="235"/>
  <c r="G44" i="235" s="1"/>
  <c r="AQ44" i="235" s="1"/>
  <c r="AO44" i="235"/>
  <c r="H44" i="235" s="1"/>
  <c r="AR44" i="235" s="1"/>
  <c r="V130" i="252"/>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90" i="25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V110" i="263"/>
  <c r="D101" i="263"/>
  <c r="L81" i="250"/>
  <c r="M75" i="250"/>
  <c r="L79" i="250"/>
  <c r="L77" i="250"/>
  <c r="AM34" i="250" s="1"/>
  <c r="L78" i="250"/>
  <c r="AM45" i="250" s="1"/>
  <c r="L82" i="250"/>
  <c r="AM55" i="250" s="1"/>
  <c r="L80" i="250"/>
  <c r="AQ34" i="260"/>
  <c r="D83" i="263"/>
  <c r="C213" i="249"/>
  <c r="C112" i="249"/>
  <c r="BN46" i="252"/>
  <c r="D100" i="263"/>
  <c r="V110" i="272"/>
  <c r="D98" i="272"/>
  <c r="AZ39" i="272" s="1"/>
  <c r="D100" i="272"/>
  <c r="D102" i="272"/>
  <c r="AZ48" i="272" s="1"/>
  <c r="F103" i="253"/>
  <c r="D119" i="250"/>
  <c r="BA59" i="257"/>
  <c r="J59" i="257" s="1"/>
  <c r="BD59" i="257" s="1"/>
  <c r="BA62" i="256"/>
  <c r="J62" i="256" s="1"/>
  <c r="BD62" i="256" s="1"/>
  <c r="BA32" i="235"/>
  <c r="J32" i="235" s="1"/>
  <c r="BD32" i="235" s="1"/>
  <c r="J83" i="235"/>
  <c r="K168" i="249"/>
  <c r="M75" i="254"/>
  <c r="L81" i="254"/>
  <c r="L79" i="254"/>
  <c r="L82" i="254"/>
  <c r="AM55" i="254" s="1"/>
  <c r="L77" i="254"/>
  <c r="AM34" i="254" s="1"/>
  <c r="L78" i="254"/>
  <c r="AM45" i="254" s="1"/>
  <c r="L80" i="254"/>
  <c r="AH56" i="272"/>
  <c r="V90" i="257"/>
  <c r="D77" i="257"/>
  <c r="AM27" i="257" s="1"/>
  <c r="D82" i="257"/>
  <c r="AM48" i="257" s="1"/>
  <c r="D80" i="257"/>
  <c r="D81" i="257"/>
  <c r="D79" i="257"/>
  <c r="D78" i="257"/>
  <c r="AM39" i="257" s="1"/>
  <c r="BA59" i="252"/>
  <c r="J59" i="252" s="1"/>
  <c r="BD59" i="252" s="1"/>
  <c r="BN48" i="256"/>
  <c r="BK60" i="252"/>
  <c r="AX60" i="252"/>
  <c r="I83" i="252"/>
  <c r="M103" i="235"/>
  <c r="V110" i="25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V120" i="263"/>
  <c r="V110" i="252"/>
  <c r="D102" i="252"/>
  <c r="AZ48" i="252" s="1"/>
  <c r="D99" i="252"/>
  <c r="D100" i="252"/>
  <c r="D98" i="252"/>
  <c r="AZ39" i="252" s="1"/>
  <c r="D97" i="252"/>
  <c r="AZ27" i="252" s="1"/>
  <c r="D101" i="252"/>
  <c r="BN49" i="250"/>
  <c r="BN29" i="257"/>
  <c r="J83" i="251"/>
  <c r="AG32" i="257"/>
  <c r="T54" i="252"/>
  <c r="BU54" i="252"/>
  <c r="T59" i="254"/>
  <c r="AQ32" i="260"/>
  <c r="AQ40" i="253"/>
  <c r="AU62" i="257"/>
  <c r="BA32" i="260"/>
  <c r="J32" i="260" s="1"/>
  <c r="BD32" i="260" s="1"/>
  <c r="BU43" i="272"/>
  <c r="T43" i="272"/>
  <c r="AH53" i="254"/>
  <c r="BA41" i="256"/>
  <c r="J41" i="256" s="1"/>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BA28" i="252"/>
  <c r="J28" i="252" s="1"/>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BA44" i="256"/>
  <c r="J44" i="256" s="1"/>
  <c r="BD44" i="256" s="1"/>
  <c r="AH55" i="257"/>
  <c r="T34" i="253"/>
  <c r="BU34" i="253"/>
  <c r="BN59" i="263"/>
  <c r="BA37" i="260"/>
  <c r="J37" i="260" s="1"/>
  <c r="BD37" i="260" s="1"/>
  <c r="BN37" i="256"/>
  <c r="BN41" i="251"/>
  <c r="Q41" i="251"/>
  <c r="AH41" i="254"/>
  <c r="BA34" i="253"/>
  <c r="J34" i="253" s="1"/>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BA38" i="251"/>
  <c r="J38" i="251" s="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AG54" i="256"/>
  <c r="BH46" i="251"/>
  <c r="BA46" i="251"/>
  <c r="J46" i="251" s="1"/>
  <c r="BD46" i="251" s="1"/>
  <c r="AQ29" i="272"/>
  <c r="AQ59" i="263"/>
  <c r="AR59" i="263"/>
  <c r="T35" i="250"/>
  <c r="BU35" i="250"/>
  <c r="BN28" i="235"/>
  <c r="AO40" i="272"/>
  <c r="H40" i="272" s="1"/>
  <c r="AN40" i="272"/>
  <c r="G40" i="272" s="1"/>
  <c r="BG55" i="251"/>
  <c r="BN45" i="263"/>
  <c r="Q45" i="263"/>
  <c r="BA43" i="264"/>
  <c r="J43" i="264" s="1"/>
  <c r="BD43" i="264" s="1"/>
  <c r="AQ39" i="250"/>
  <c r="T47" i="272"/>
  <c r="BH41" i="256"/>
  <c r="AH47" i="254"/>
  <c r="BG53" i="272"/>
  <c r="AH58" i="272"/>
  <c r="AR33" i="254"/>
  <c r="BT53" i="272"/>
  <c r="BA27" i="260"/>
  <c r="J27" i="260" s="1"/>
  <c r="BD27" i="260" s="1"/>
  <c r="AT38" i="235"/>
  <c r="T53" i="263"/>
  <c r="BU53" i="263"/>
  <c r="AH54" i="260"/>
  <c r="BG50" i="254"/>
  <c r="BA61" i="254"/>
  <c r="J61" i="254" s="1"/>
  <c r="BD61" i="254" s="1"/>
  <c r="BH60" i="264"/>
  <c r="BN46" i="253"/>
  <c r="BN41" i="252"/>
  <c r="Q41" i="252"/>
  <c r="BA37" i="252"/>
  <c r="J37" i="252" s="1"/>
  <c r="BD37" i="252" s="1"/>
  <c r="BN41" i="257"/>
  <c r="BG55" i="260"/>
  <c r="AH35" i="235"/>
  <c r="BU35" i="254"/>
  <c r="T35" i="254"/>
  <c r="AO41" i="252"/>
  <c r="H41" i="252" s="1"/>
  <c r="AN41" i="252"/>
  <c r="G41" i="252" s="1"/>
  <c r="AQ27" i="251"/>
  <c r="AH60" i="252"/>
  <c r="BA29" i="263"/>
  <c r="J29" i="263" s="1"/>
  <c r="BD29" i="263" s="1"/>
  <c r="BN39" i="264"/>
  <c r="T45" i="254"/>
  <c r="BU45" i="254"/>
  <c r="BG46" i="250"/>
  <c r="AH34" i="235"/>
  <c r="Q31" i="272"/>
  <c r="BN31" i="272"/>
  <c r="AH55" i="250"/>
  <c r="AH40" i="264"/>
  <c r="BA62" i="254"/>
  <c r="J62" i="254" s="1"/>
  <c r="BD62" i="254" s="1"/>
  <c r="AR27" i="264"/>
  <c r="AH31" i="251"/>
  <c r="BG58" i="255"/>
  <c r="S35" i="254"/>
  <c r="AI35" i="254"/>
  <c r="BA28" i="235"/>
  <c r="J28" i="235" s="1"/>
  <c r="BD28" i="235" s="1"/>
  <c r="AQ43" i="257"/>
  <c r="BH60" i="252"/>
  <c r="AI56" i="256"/>
  <c r="S56" i="256"/>
  <c r="BA41" i="257"/>
  <c r="J41" i="257" s="1"/>
  <c r="BD41" i="257" s="1"/>
  <c r="Q34" i="254"/>
  <c r="BN34" i="254"/>
  <c r="BA34" i="264"/>
  <c r="J34" i="264" s="1"/>
  <c r="BD34" i="264" s="1"/>
  <c r="AO40" i="255"/>
  <c r="H40" i="255" s="1"/>
  <c r="AN40" i="255"/>
  <c r="G40" i="255" s="1"/>
  <c r="BH34" i="252"/>
  <c r="BA34" i="252"/>
  <c r="J34" i="252" s="1"/>
  <c r="BD34" i="252" s="1"/>
  <c r="AQ33" i="254"/>
  <c r="BH54" i="260"/>
  <c r="AH60" i="264"/>
  <c r="AT61" i="255"/>
  <c r="T34" i="251"/>
  <c r="BU34" i="251"/>
  <c r="BA34" i="254"/>
  <c r="J34" i="254" s="1"/>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BA31" i="272"/>
  <c r="J31" i="272" s="1"/>
  <c r="BD31" i="272" s="1"/>
  <c r="BN43" i="264"/>
  <c r="BN61" i="254"/>
  <c r="Q61" i="254"/>
  <c r="BA44" i="252"/>
  <c r="J44" i="252" s="1"/>
  <c r="BD44" i="252" s="1"/>
  <c r="AN33" i="250"/>
  <c r="G33" i="250" s="1"/>
  <c r="BA41" i="255"/>
  <c r="J41" i="255" s="1"/>
  <c r="BD41" i="255" s="1"/>
  <c r="BH41" i="255"/>
  <c r="BG29" i="251"/>
  <c r="AT26" i="251"/>
  <c r="AT35" i="263"/>
  <c r="AG35" i="263"/>
  <c r="BA33" i="250"/>
  <c r="J33" i="250" s="1"/>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F118" i="249"/>
  <c r="G153" i="249"/>
  <c r="G160" i="249"/>
  <c r="G80" i="249"/>
  <c r="G87" i="249"/>
  <c r="G139" i="249"/>
  <c r="G10" i="249"/>
  <c r="F133" i="249"/>
  <c r="G60" i="249"/>
  <c r="G247" i="249"/>
  <c r="F125" i="249"/>
  <c r="G11" i="249"/>
  <c r="G54" i="249"/>
  <c r="G125" i="249"/>
  <c r="F119" i="249"/>
  <c r="G118" i="249"/>
  <c r="AG45" i="253" l="1"/>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BB39" i="251"/>
  <c r="K39" i="251" s="1"/>
  <c r="BE39" i="251" s="1"/>
  <c r="BH39" i="251" s="1"/>
  <c r="BC39" i="251"/>
  <c r="L39" i="251" s="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BB27" i="252"/>
  <c r="K27" i="252" s="1"/>
  <c r="BE27" i="252" s="1"/>
  <c r="BC27" i="252"/>
  <c r="L27" i="252" s="1"/>
  <c r="BF27" i="252" s="1"/>
  <c r="AR43" i="257"/>
  <c r="AU43" i="257" s="1"/>
  <c r="BB39" i="252"/>
  <c r="K39" i="252" s="1"/>
  <c r="BE39" i="252" s="1"/>
  <c r="BC39" i="252"/>
  <c r="L39" i="252" s="1"/>
  <c r="BF39" i="252" s="1"/>
  <c r="AN50" i="251"/>
  <c r="G50" i="251" s="1"/>
  <c r="AQ50" i="251" s="1"/>
  <c r="AO50" i="251"/>
  <c r="H50" i="251" s="1"/>
  <c r="AP50" i="251"/>
  <c r="BB27" i="250"/>
  <c r="K27" i="250" s="1"/>
  <c r="BE27" i="250" s="1"/>
  <c r="BC27" i="250"/>
  <c r="L27" i="250" s="1"/>
  <c r="BF27" i="250" s="1"/>
  <c r="AP27" i="254"/>
  <c r="AO27" i="254"/>
  <c r="H27" i="254" s="1"/>
  <c r="BC39" i="254"/>
  <c r="L39" i="254" s="1"/>
  <c r="BF39" i="254" s="1"/>
  <c r="BB39" i="254"/>
  <c r="K39" i="254" s="1"/>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BB39" i="257"/>
  <c r="K39" i="257" s="1"/>
  <c r="BE39" i="257" s="1"/>
  <c r="BC39" i="257"/>
  <c r="BB39" i="264"/>
  <c r="K39" i="264" s="1"/>
  <c r="BE39" i="264" s="1"/>
  <c r="BC39" i="264"/>
  <c r="L39" i="264" s="1"/>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BB27" i="257"/>
  <c r="K27" i="257" s="1"/>
  <c r="BE27" i="257" s="1"/>
  <c r="BC27" i="257"/>
  <c r="BP39" i="256"/>
  <c r="O39" i="256" s="1"/>
  <c r="BS39" i="256" s="1"/>
  <c r="BO39" i="256"/>
  <c r="N39" i="256" s="1"/>
  <c r="BR39" i="256" s="1"/>
  <c r="AR29" i="257"/>
  <c r="AU29" i="257" s="1"/>
  <c r="AR62" i="260"/>
  <c r="AU62" i="260" s="1"/>
  <c r="BO52" i="255"/>
  <c r="N52" i="255" s="1"/>
  <c r="BR52" i="255" s="1"/>
  <c r="BP52" i="255"/>
  <c r="O52" i="255" s="1"/>
  <c r="BS52" i="255" s="1"/>
  <c r="BB39" i="235"/>
  <c r="BC39" i="235"/>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BB39" i="272"/>
  <c r="K39" i="272" s="1"/>
  <c r="BE39" i="272" s="1"/>
  <c r="BC39" i="272"/>
  <c r="L39" i="272" s="1"/>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BC27" i="264"/>
  <c r="BB27" i="264"/>
  <c r="K27" i="264" s="1"/>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BB27" i="235"/>
  <c r="K27" i="235" s="1"/>
  <c r="BE27" i="235" s="1"/>
  <c r="BC27" i="235"/>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B27" i="272"/>
  <c r="BC27" i="272"/>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BC26" i="235"/>
  <c r="L26" i="235" s="1"/>
  <c r="BF26" i="235" s="1"/>
  <c r="BB26" i="235"/>
  <c r="K26" i="235" s="1"/>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BC27" i="253"/>
  <c r="BB27" i="253"/>
  <c r="K27" i="253" s="1"/>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BC39" i="255"/>
  <c r="L39" i="255" s="1"/>
  <c r="BF39" i="255" s="1"/>
  <c r="BB39" i="255"/>
  <c r="AN55" i="254"/>
  <c r="G55" i="254" s="1"/>
  <c r="AQ55" i="254" s="1"/>
  <c r="AO55" i="254"/>
  <c r="H55" i="254" s="1"/>
  <c r="AP55" i="254"/>
  <c r="AO34" i="250"/>
  <c r="H34" i="250" s="1"/>
  <c r="AN34" i="250"/>
  <c r="G34" i="250" s="1"/>
  <c r="AP34" i="250"/>
  <c r="AP33" i="255"/>
  <c r="AO33" i="255"/>
  <c r="H33" i="255" s="1"/>
  <c r="BC38" i="235"/>
  <c r="L38" i="235" s="1"/>
  <c r="BF38" i="235" s="1"/>
  <c r="BB38" i="235"/>
  <c r="K38" i="235" s="1"/>
  <c r="BE38" i="235" s="1"/>
  <c r="BO39" i="260"/>
  <c r="BP39" i="260"/>
  <c r="O39" i="260" s="1"/>
  <c r="BS39" i="260" s="1"/>
  <c r="AR37" i="272"/>
  <c r="AU37" i="272" s="1"/>
  <c r="AR50" i="264"/>
  <c r="AU50" i="264" s="1"/>
  <c r="BC39" i="263"/>
  <c r="BB39" i="263"/>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BC27" i="256"/>
  <c r="L27" i="256" s="1"/>
  <c r="BF27" i="256" s="1"/>
  <c r="BB27" i="256"/>
  <c r="K27" i="256" s="1"/>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BB27" i="255"/>
  <c r="K27" i="255" s="1"/>
  <c r="BE27" i="255" s="1"/>
  <c r="BC27" i="255"/>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BB39" i="256"/>
  <c r="K39" i="256" s="1"/>
  <c r="BE39" i="256" s="1"/>
  <c r="BC39" i="256"/>
  <c r="L39" i="256" s="1"/>
  <c r="BF39" i="256" s="1"/>
  <c r="BB39" i="250"/>
  <c r="K39" i="250" s="1"/>
  <c r="BE39" i="250" s="1"/>
  <c r="BC39" i="250"/>
  <c r="L39" i="250" s="1"/>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BC39" i="253"/>
  <c r="BB39" i="253"/>
  <c r="K39" i="253" s="1"/>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BC27" i="254"/>
  <c r="BB27" i="254"/>
  <c r="K27" i="254" s="1"/>
  <c r="BE27" i="254" s="1"/>
  <c r="BB27" i="251"/>
  <c r="K27" i="251" s="1"/>
  <c r="BE27" i="251" s="1"/>
  <c r="BC27" i="251"/>
  <c r="L27" i="251" s="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A31" i="264"/>
  <c r="BH50" i="250"/>
  <c r="Q41" i="253"/>
  <c r="T41" i="253"/>
  <c r="BU41" i="253"/>
  <c r="BN28" i="254"/>
  <c r="BN47" i="254"/>
  <c r="BN38" i="272"/>
  <c r="BA53" i="256"/>
  <c r="J53" i="256" s="1"/>
  <c r="BD53" i="256" s="1"/>
  <c r="T44" i="235"/>
  <c r="AG52" i="235"/>
  <c r="BN39" i="235"/>
  <c r="BU44" i="235"/>
  <c r="BA47" i="272"/>
  <c r="J47" i="272" s="1"/>
  <c r="BD47" i="272" s="1"/>
  <c r="BG47" i="272" s="1"/>
  <c r="AN45" i="272"/>
  <c r="G45" i="272" s="1"/>
  <c r="BA33" i="235"/>
  <c r="BA29" i="272"/>
  <c r="Q54" i="260"/>
  <c r="BA38" i="263"/>
  <c r="J38" i="263" s="1"/>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BA33"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A32" i="254"/>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BA39" i="255"/>
  <c r="J39" i="255" s="1"/>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A34" i="250"/>
  <c r="BG61" i="272"/>
  <c r="T44" i="260"/>
  <c r="T50" i="256"/>
  <c r="BU50" i="256"/>
  <c r="AH50" i="256"/>
  <c r="BG44" i="257"/>
  <c r="BT37" i="257"/>
  <c r="AT61" i="272"/>
  <c r="AG61" i="272"/>
  <c r="S26" i="254"/>
  <c r="AH59" i="254"/>
  <c r="AT49" i="252"/>
  <c r="AG49" i="252"/>
  <c r="AQ52" i="260"/>
  <c r="S35" i="272"/>
  <c r="AI35" i="272"/>
  <c r="AH61" i="252"/>
  <c r="BT35" i="253"/>
  <c r="BA29" i="257"/>
  <c r="J29" i="257" s="1"/>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BA39" i="257"/>
  <c r="J39" i="257" s="1"/>
  <c r="BD39" i="257" s="1"/>
  <c r="BK61" i="253"/>
  <c r="AX61" i="253"/>
  <c r="Q33" i="272"/>
  <c r="BN33" i="272"/>
  <c r="V130"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BA39" i="251"/>
  <c r="J39" i="251" s="1"/>
  <c r="BD39" i="251" s="1"/>
  <c r="AH38" i="255"/>
  <c r="F119" i="263"/>
  <c r="BM61" i="263" s="1"/>
  <c r="F121" i="263"/>
  <c r="V130" i="263"/>
  <c r="F122" i="263"/>
  <c r="BM49" i="263" s="1"/>
  <c r="F118" i="263"/>
  <c r="BM40" i="263" s="1"/>
  <c r="F117" i="263"/>
  <c r="BM28" i="263" s="1"/>
  <c r="F120" i="263"/>
  <c r="BH59" i="252"/>
  <c r="AH62" i="256"/>
  <c r="D103" i="272"/>
  <c r="K83" i="251"/>
  <c r="H83" i="255"/>
  <c r="BA27" i="250"/>
  <c r="J27" i="250" s="1"/>
  <c r="BD27" i="250" s="1"/>
  <c r="BA39" i="256"/>
  <c r="J39" i="256" s="1"/>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BA39" i="250"/>
  <c r="J39" i="250" s="1"/>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BA28" i="253"/>
  <c r="J28" i="253" s="1"/>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BA38" i="235"/>
  <c r="J38" i="235" s="1"/>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V130" i="235"/>
  <c r="BG28" i="272"/>
  <c r="BG43" i="254"/>
  <c r="BN45" i="264"/>
  <c r="T59" i="252"/>
  <c r="J40" i="249"/>
  <c r="BG56" i="251"/>
  <c r="M127" i="216"/>
  <c r="E127" i="216"/>
  <c r="L128" i="216"/>
  <c r="T47" i="255"/>
  <c r="AQ29" i="256"/>
  <c r="D123" i="251"/>
  <c r="D103" i="264"/>
  <c r="K215" i="249"/>
  <c r="K221" i="249"/>
  <c r="AH33" i="260"/>
  <c r="AT46" i="252"/>
  <c r="AG46" i="252"/>
  <c r="BA48" i="254"/>
  <c r="J48" i="254" s="1"/>
  <c r="BD48" i="254" s="1"/>
  <c r="BA39" i="254"/>
  <c r="J39" i="254" s="1"/>
  <c r="BD39" i="254" s="1"/>
  <c r="J27" i="249"/>
  <c r="AT62" i="256"/>
  <c r="AG62" i="256"/>
  <c r="D123" i="253"/>
  <c r="BN27" i="263"/>
  <c r="Q27" i="263"/>
  <c r="BU37" i="260"/>
  <c r="BA39" i="235"/>
  <c r="J39" i="235" s="1"/>
  <c r="BD39" i="235" s="1"/>
  <c r="BA48" i="235"/>
  <c r="J48" i="235" s="1"/>
  <c r="BD48" i="235" s="1"/>
  <c r="C214" i="249"/>
  <c r="C113" i="249"/>
  <c r="AQ43" i="256"/>
  <c r="D123" i="254"/>
  <c r="D83" i="257"/>
  <c r="AH47" i="256"/>
  <c r="BU34" i="272"/>
  <c r="T34" i="272"/>
  <c r="BN48" i="260"/>
  <c r="BK59" i="253"/>
  <c r="AX59" i="253"/>
  <c r="BN55" i="264"/>
  <c r="BH34" i="272"/>
  <c r="BA34" i="272"/>
  <c r="J34" i="272" s="1"/>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BA33" i="272"/>
  <c r="J33" i="272" s="1"/>
  <c r="BD33" i="272" s="1"/>
  <c r="D103" i="254"/>
  <c r="BN48" i="253"/>
  <c r="AH60" i="235"/>
  <c r="AT32" i="256"/>
  <c r="AG32" i="256"/>
  <c r="BT31" i="264"/>
  <c r="BA27" i="263"/>
  <c r="J27" i="263" s="1"/>
  <c r="BD27" i="263" s="1"/>
  <c r="BA39" i="252"/>
  <c r="J39" i="252" s="1"/>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V130" i="257"/>
  <c r="D120" i="257"/>
  <c r="D119" i="257"/>
  <c r="D122" i="257"/>
  <c r="BM48" i="257" s="1"/>
  <c r="D117" i="257"/>
  <c r="BM27" i="257" s="1"/>
  <c r="D118" i="257"/>
  <c r="BM39" i="257" s="1"/>
  <c r="D121" i="257"/>
  <c r="BH47" i="256"/>
  <c r="K282" i="249"/>
  <c r="K289" i="249" s="1"/>
  <c r="BN39" i="252"/>
  <c r="D103" i="256"/>
  <c r="D103" i="250"/>
  <c r="BA39" i="253"/>
  <c r="J39" i="253" s="1"/>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90" i="264"/>
  <c r="V133" i="264" s="1"/>
  <c r="F79" i="264"/>
  <c r="AM61" i="264" s="1"/>
  <c r="AN61" i="264" s="1"/>
  <c r="G61" i="264" s="1"/>
  <c r="F78" i="264"/>
  <c r="AM40" i="264" s="1"/>
  <c r="F80" i="264"/>
  <c r="F77" i="264"/>
  <c r="AM28" i="264" s="1"/>
  <c r="F81" i="264"/>
  <c r="F82" i="264"/>
  <c r="AM49" i="264" s="1"/>
  <c r="T48" i="263"/>
  <c r="S26" i="251"/>
  <c r="BN39" i="250"/>
  <c r="AQ38" i="252"/>
  <c r="BN48" i="251"/>
  <c r="BA39" i="264"/>
  <c r="J39" i="264" s="1"/>
  <c r="BD39" i="264" s="1"/>
  <c r="D123" i="250"/>
  <c r="K262" i="249"/>
  <c r="AH32" i="264"/>
  <c r="BU37" i="272"/>
  <c r="T37" i="272"/>
  <c r="BT40" i="254"/>
  <c r="F117" i="255"/>
  <c r="BM28" i="255" s="1"/>
  <c r="F122" i="255"/>
  <c r="BM49" i="255" s="1"/>
  <c r="F121" i="255"/>
  <c r="F118" i="255"/>
  <c r="BM40" i="255" s="1"/>
  <c r="F120" i="255"/>
  <c r="F119" i="255"/>
  <c r="BM61" i="255" s="1"/>
  <c r="V130" i="255"/>
  <c r="AG50" i="254"/>
  <c r="AT50" i="254"/>
  <c r="BG49" i="252"/>
  <c r="BN52" i="255"/>
  <c r="BA48" i="251"/>
  <c r="J48" i="251" s="1"/>
  <c r="BD48" i="251" s="1"/>
  <c r="D83" i="252"/>
  <c r="B113" i="249"/>
  <c r="B214" i="249"/>
  <c r="V90" i="260"/>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F19" i="249"/>
  <c r="G187" i="249"/>
  <c r="G19" i="249"/>
  <c r="G132" i="249"/>
  <c r="G161" i="249"/>
  <c r="G40" i="249"/>
  <c r="E33" i="249"/>
  <c r="G194" i="249"/>
  <c r="G116" i="249"/>
  <c r="F241" i="249"/>
  <c r="F13" i="249"/>
  <c r="G123" i="249"/>
  <c r="F212" i="249"/>
  <c r="G68" i="249"/>
  <c r="G59" i="249"/>
  <c r="G181" i="249"/>
  <c r="G276" i="249"/>
  <c r="F219" i="249"/>
  <c r="E226" i="249"/>
  <c r="G33" i="249"/>
  <c r="G111" i="249"/>
  <c r="E113" i="249"/>
  <c r="G32" i="249"/>
  <c r="F112" i="249"/>
  <c r="G122" i="249"/>
  <c r="F10" i="249"/>
  <c r="G113" i="249"/>
  <c r="G74" i="249"/>
  <c r="E111" i="249"/>
  <c r="G241" i="249"/>
  <c r="G248" i="249"/>
  <c r="F132" i="249"/>
  <c r="E134" i="249"/>
  <c r="G193" i="249"/>
  <c r="E19" i="249"/>
  <c r="G26" i="249"/>
  <c r="E10" i="249"/>
  <c r="E139" i="249"/>
  <c r="F226" i="249"/>
  <c r="G227" i="249"/>
  <c r="E20" i="249"/>
  <c r="E12" i="249"/>
  <c r="G226" i="249"/>
  <c r="G168" i="249"/>
  <c r="F126" i="249"/>
  <c r="G152" i="249"/>
  <c r="E220" i="249"/>
  <c r="E227" i="249"/>
  <c r="G124" i="249"/>
  <c r="E32" i="249"/>
  <c r="G186" i="249"/>
  <c r="G47" i="249"/>
  <c r="E233" i="249"/>
  <c r="G219" i="249"/>
  <c r="G133" i="249"/>
  <c r="E40" i="249"/>
  <c r="G233" i="249"/>
  <c r="G261" i="249"/>
  <c r="E212" i="249"/>
  <c r="G140" i="249"/>
  <c r="E140" i="249"/>
  <c r="E234" i="249"/>
  <c r="E120" i="249"/>
  <c r="G213" i="249"/>
  <c r="G12" i="249"/>
  <c r="G195" i="249"/>
  <c r="G131" i="249"/>
  <c r="G75" i="249"/>
  <c r="E240" i="249"/>
  <c r="E133" i="249"/>
  <c r="G145" i="249"/>
  <c r="G269" i="249"/>
  <c r="F220" i="249"/>
  <c r="E119" i="249"/>
  <c r="G173" i="249"/>
  <c r="G212" i="249"/>
  <c r="G159" i="249"/>
  <c r="G182" i="249"/>
  <c r="F12" i="249"/>
  <c r="E26" i="249"/>
  <c r="G154" i="249"/>
  <c r="G240" i="249"/>
  <c r="G115" i="249"/>
  <c r="G275" i="249"/>
  <c r="G151" i="249"/>
  <c r="G96" i="249"/>
  <c r="G88" i="249"/>
  <c r="G189" i="249"/>
  <c r="F120" i="249"/>
  <c r="F26" i="249"/>
  <c r="F113" i="249"/>
  <c r="E241" i="249"/>
  <c r="E213" i="249"/>
  <c r="G81" i="249"/>
  <c r="E141" i="249"/>
  <c r="G126" i="249"/>
  <c r="G175" i="249"/>
  <c r="G188" i="249"/>
  <c r="F139" i="249"/>
  <c r="F140" i="249"/>
  <c r="E132" i="249"/>
  <c r="E125" i="249"/>
  <c r="E112" i="249"/>
  <c r="E13" i="249"/>
  <c r="G196" i="249"/>
  <c r="G130" i="249"/>
  <c r="F233" i="249"/>
  <c r="G147" i="249"/>
  <c r="F227" i="249"/>
  <c r="F111" i="249"/>
  <c r="G61" i="249"/>
  <c r="G146" i="249"/>
  <c r="F234" i="249"/>
  <c r="E127" i="249"/>
  <c r="G119" i="249"/>
  <c r="G31" i="249"/>
  <c r="G117" i="249"/>
  <c r="G73" i="249"/>
  <c r="G158" i="249"/>
  <c r="E219" i="249"/>
  <c r="G268" i="249"/>
  <c r="G144" i="249"/>
  <c r="G220" i="249"/>
  <c r="G234" i="249"/>
  <c r="G262" i="249"/>
  <c r="G129" i="249"/>
  <c r="G112" i="249"/>
  <c r="G167" i="249"/>
  <c r="E126" i="249"/>
  <c r="G172"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BA39" i="263"/>
  <c r="Q49" i="235"/>
  <c r="T49" i="235"/>
  <c r="BU49" i="235"/>
  <c r="BU59" i="250"/>
  <c r="BG56" i="253"/>
  <c r="AH56" i="253"/>
  <c r="BA27" i="272"/>
  <c r="J27" i="272" s="1"/>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BA27" i="255"/>
  <c r="J27" i="255" s="1"/>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BA27" i="253"/>
  <c r="J27" i="253" s="1"/>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BA27" i="235"/>
  <c r="J27" i="235" s="1"/>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BA27" i="256"/>
  <c r="J27" i="256" s="1"/>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BA27" i="257"/>
  <c r="J27" i="257" s="1"/>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BA27" i="264"/>
  <c r="J27" i="264" s="1"/>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BA27" i="252"/>
  <c r="J27" i="252" s="1"/>
  <c r="BD27" i="252" s="1"/>
  <c r="BT43" i="256"/>
  <c r="AH39" i="256"/>
  <c r="BH27" i="250"/>
  <c r="BA39" i="272"/>
  <c r="J39" i="272" s="1"/>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BA27" i="254"/>
  <c r="J27" i="254" s="1"/>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BA27" i="251"/>
  <c r="J27" i="251" s="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50" i="249"/>
  <c r="F138" i="249"/>
  <c r="G69" i="249"/>
  <c r="F247" i="249"/>
  <c r="E135" i="249"/>
  <c r="F32" i="249"/>
  <c r="G249" i="249"/>
  <c r="G138" i="249"/>
  <c r="G242" i="249"/>
  <c r="F248" i="249"/>
  <c r="G67" i="249"/>
  <c r="E148" i="249"/>
  <c r="G176" i="249"/>
  <c r="F121" i="249"/>
  <c r="G197" i="249"/>
  <c r="E31" i="249"/>
  <c r="F147" i="249"/>
  <c r="G66" i="249"/>
  <c r="E222" i="249"/>
  <c r="E239" i="249"/>
  <c r="F33" i="249"/>
  <c r="G76" i="249"/>
  <c r="F240" i="249"/>
  <c r="G137" i="249"/>
  <c r="G109" i="249"/>
  <c r="F225" i="249"/>
  <c r="F214" i="249"/>
  <c r="G108" i="249"/>
  <c r="G238" i="249"/>
  <c r="G216" i="249"/>
  <c r="E146" i="249"/>
  <c r="G55" i="249"/>
  <c r="E228" i="249"/>
  <c r="G20" i="249"/>
  <c r="F31" i="249"/>
  <c r="G127" i="249"/>
  <c r="G110" i="249"/>
  <c r="G291" i="249"/>
  <c r="G231" i="249"/>
  <c r="E221" i="249"/>
  <c r="G274" i="249"/>
  <c r="E235" i="249"/>
  <c r="G273" i="249"/>
  <c r="G228" i="249"/>
  <c r="G79" i="249"/>
  <c r="E225" i="249"/>
  <c r="G155" i="249"/>
  <c r="G162" i="249"/>
  <c r="G225" i="249"/>
  <c r="E121" i="249"/>
  <c r="G214" i="249"/>
  <c r="G143" i="249"/>
  <c r="G224" i="249"/>
  <c r="G120" i="249"/>
  <c r="G165" i="249"/>
  <c r="G62" i="249"/>
  <c r="E247" i="249"/>
  <c r="G27" i="249"/>
  <c r="G13" i="249"/>
  <c r="G83" i="249"/>
  <c r="G235" i="249"/>
  <c r="G141" i="249"/>
  <c r="G229" i="249"/>
  <c r="F127" i="249"/>
  <c r="G222" i="249"/>
  <c r="G30" i="249"/>
  <c r="G148" i="249"/>
  <c r="G97" i="249"/>
  <c r="G263" i="249"/>
  <c r="E229" i="249"/>
  <c r="G217" i="249"/>
  <c r="E248" i="249"/>
  <c r="G218" i="249"/>
  <c r="G179" i="249"/>
  <c r="G41" i="249"/>
  <c r="F146" i="249"/>
  <c r="F114" i="249"/>
  <c r="G223" i="249"/>
  <c r="E147" i="249"/>
  <c r="G239" i="249"/>
  <c r="G134" i="249"/>
  <c r="F20" i="249"/>
  <c r="E142" i="249"/>
  <c r="G28" i="249"/>
  <c r="G34" i="249"/>
  <c r="E108" i="249"/>
  <c r="G237" i="249"/>
  <c r="G82" i="249"/>
  <c r="G190" i="249"/>
  <c r="G136" i="249"/>
  <c r="G277" i="249"/>
  <c r="F221" i="249"/>
  <c r="G183" i="249"/>
  <c r="G166" i="249"/>
  <c r="E138" i="249"/>
  <c r="G230" i="249"/>
  <c r="G90" i="249"/>
  <c r="E149" i="249"/>
  <c r="G48" i="249"/>
  <c r="E128" i="249"/>
  <c r="E114" i="249"/>
  <c r="G180" i="249"/>
  <c r="E27" i="249"/>
  <c r="F213" i="249"/>
  <c r="G169" i="249"/>
  <c r="F239" i="249"/>
  <c r="G270" i="249"/>
  <c r="G232" i="249"/>
  <c r="AG55" i="250" l="1"/>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E30" i="249"/>
  <c r="E131" i="249"/>
  <c r="F144" i="249"/>
  <c r="G86" i="249"/>
  <c r="G45" i="249"/>
  <c r="F216" i="249"/>
  <c r="AF10" i="232"/>
  <c r="AF8" i="232"/>
  <c r="AF17" i="232"/>
  <c r="E242" i="249"/>
  <c r="E11" i="249"/>
  <c r="F131" i="249"/>
  <c r="E223" i="249"/>
  <c r="G282" i="249"/>
  <c r="AF13" i="232"/>
  <c r="E232" i="249"/>
  <c r="G264" i="249"/>
  <c r="G44" i="249"/>
  <c r="F130" i="249"/>
  <c r="G287" i="249"/>
  <c r="E237" i="249"/>
  <c r="G177" i="249"/>
  <c r="G142" i="249"/>
  <c r="F215" i="249"/>
  <c r="G245" i="249"/>
  <c r="G18" i="249"/>
  <c r="F224" i="249"/>
  <c r="G236" i="249"/>
  <c r="G128" i="249"/>
  <c r="G157" i="249"/>
  <c r="G280" i="249"/>
  <c r="AF7" i="232"/>
  <c r="F222" i="249"/>
  <c r="E217" i="249"/>
  <c r="S9" i="232"/>
  <c r="G271" i="249"/>
  <c r="G221" i="249"/>
  <c r="S16" i="232"/>
  <c r="S17" i="232"/>
  <c r="AF11" i="232"/>
  <c r="S6" i="232"/>
  <c r="AF12" i="232"/>
  <c r="S12" i="232"/>
  <c r="F245" i="249"/>
  <c r="G16" i="249"/>
  <c r="G256" i="249"/>
  <c r="G266" i="249"/>
  <c r="G191" i="249"/>
  <c r="S15" i="232"/>
  <c r="G211" i="249"/>
  <c r="S10" i="232"/>
  <c r="G278" i="249"/>
  <c r="F60" i="249"/>
  <c r="AF16" i="232"/>
  <c r="E34" i="249"/>
  <c r="G209" i="249"/>
  <c r="G72" i="249"/>
  <c r="G46" i="249"/>
  <c r="AF6" i="232"/>
  <c r="F43" i="249"/>
  <c r="G39" i="249"/>
  <c r="E230" i="249"/>
  <c r="G246" i="249"/>
  <c r="E15" i="249"/>
  <c r="G184" i="249"/>
  <c r="G135" i="249"/>
  <c r="F232" i="249"/>
  <c r="AF9" i="232"/>
  <c r="G250" i="249"/>
  <c r="G259" i="249"/>
  <c r="S13" i="232"/>
  <c r="F210" i="249"/>
  <c r="F223" i="249"/>
  <c r="G65" i="249"/>
  <c r="E156" i="249"/>
  <c r="G89" i="249"/>
  <c r="F137" i="249"/>
  <c r="G156" i="249"/>
  <c r="E215" i="249"/>
  <c r="E238" i="249"/>
  <c r="G163" i="249"/>
  <c r="F238" i="249"/>
  <c r="G121" i="249"/>
  <c r="F29" i="249"/>
  <c r="E211" i="249"/>
  <c r="F211" i="249"/>
  <c r="S11" i="232"/>
  <c r="E154" i="249"/>
  <c r="F128" i="249"/>
  <c r="F30" i="249"/>
  <c r="E43" i="249"/>
  <c r="E231" i="249"/>
  <c r="S8" i="232"/>
  <c r="F154" i="249"/>
  <c r="G114" i="249"/>
  <c r="G289" i="249"/>
  <c r="E245" i="249"/>
  <c r="E60" i="249"/>
  <c r="G17" i="249"/>
  <c r="G298" i="249"/>
  <c r="F11" i="249"/>
  <c r="F27" i="249"/>
  <c r="E218" i="249"/>
  <c r="F231" i="249"/>
  <c r="E153" i="249"/>
  <c r="G170" i="249"/>
  <c r="E210" i="249"/>
  <c r="F217" i="249"/>
  <c r="F230" i="249"/>
  <c r="G284" i="249"/>
  <c r="E214" i="249"/>
  <c r="G198" i="249"/>
  <c r="E236" i="249"/>
  <c r="S14" i="232"/>
  <c r="G260" i="249"/>
  <c r="F228" i="249"/>
  <c r="AF14" i="232"/>
  <c r="S7" i="232"/>
  <c r="E59" i="249"/>
  <c r="G299" i="249"/>
  <c r="AF15" i="232"/>
  <c r="G243" i="249"/>
  <c r="G258" i="249"/>
  <c r="E216" i="249"/>
  <c r="F136" i="249"/>
  <c r="E155" i="249"/>
  <c r="F246" i="249"/>
  <c r="G285" i="249"/>
  <c r="F153" i="249"/>
  <c r="E224" i="249"/>
  <c r="G283" i="249"/>
  <c r="G292" i="249"/>
  <c r="G290" i="249"/>
  <c r="F237" i="249"/>
  <c r="G149" i="249"/>
  <c r="E246" i="249"/>
  <c r="F218" i="249"/>
  <c r="F59" i="249"/>
  <c r="F40" i="249"/>
  <c r="G38" i="249"/>
  <c r="G267" i="249"/>
  <c r="F134" i="249"/>
  <c r="G244" i="249"/>
  <c r="G257" i="249"/>
  <c r="G210"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O6" i="232"/>
  <c r="T6" i="232"/>
  <c r="E157" i="249"/>
  <c r="E44" i="249"/>
  <c r="AK11" i="232"/>
  <c r="AK7" i="232"/>
  <c r="E129" i="249"/>
  <c r="E39" i="249"/>
  <c r="G215" i="249"/>
  <c r="E262" i="249"/>
  <c r="E46" i="249"/>
  <c r="AK16" i="232"/>
  <c r="V9" i="232"/>
  <c r="F135" i="249"/>
  <c r="O12" i="232"/>
  <c r="O11" i="232"/>
  <c r="T17" i="232"/>
  <c r="O13" i="232"/>
  <c r="G37" i="249"/>
  <c r="AG6" i="232"/>
  <c r="AI11" i="232"/>
  <c r="V12" i="232"/>
  <c r="V6" i="232"/>
  <c r="AI8" i="232"/>
  <c r="P13" i="232"/>
  <c r="P11" i="232"/>
  <c r="E158" i="249"/>
  <c r="T15" i="232"/>
  <c r="AI10" i="232"/>
  <c r="O17" i="232"/>
  <c r="AB13" i="232"/>
  <c r="E16" i="249"/>
  <c r="E64" i="249"/>
  <c r="F261" i="249"/>
  <c r="AI7" i="232"/>
  <c r="AG11" i="232"/>
  <c r="E17" i="249"/>
  <c r="F17" i="249"/>
  <c r="AG7" i="232"/>
  <c r="E160" i="249"/>
  <c r="E244" i="249"/>
  <c r="AC9" i="232"/>
  <c r="AB12" i="232"/>
  <c r="X15" i="232"/>
  <c r="P9" i="232"/>
  <c r="F15" i="249"/>
  <c r="F18" i="249"/>
  <c r="O14" i="232"/>
  <c r="E130" i="249"/>
  <c r="P17" i="232"/>
  <c r="E260" i="249"/>
  <c r="E38" i="249"/>
  <c r="O15" i="232"/>
  <c r="T13" i="232"/>
  <c r="AB15" i="232"/>
  <c r="AK9" i="232"/>
  <c r="E36" i="249"/>
  <c r="F47" i="249"/>
  <c r="F116" i="249"/>
  <c r="AC7" i="232"/>
  <c r="T7" i="232"/>
  <c r="O16" i="232"/>
  <c r="V7" i="232"/>
  <c r="AC8" i="232"/>
  <c r="AI12" i="232"/>
  <c r="AB7" i="232"/>
  <c r="F28" i="249"/>
  <c r="P7" i="232"/>
  <c r="AG9" i="232"/>
  <c r="F38" i="249"/>
  <c r="V13" i="232"/>
  <c r="E67" i="249"/>
  <c r="P12" i="232"/>
  <c r="AC14" i="232"/>
  <c r="AB10" i="232"/>
  <c r="V15" i="232"/>
  <c r="E45" i="249"/>
  <c r="F209" i="249"/>
  <c r="G288" i="249"/>
  <c r="F117" i="249"/>
  <c r="E209" i="249"/>
  <c r="E137" i="249"/>
  <c r="F67" i="249"/>
  <c r="F157" i="249"/>
  <c r="AC15" i="232"/>
  <c r="O10" i="232"/>
  <c r="O7" i="232"/>
  <c r="AI9" i="232"/>
  <c r="AG15" i="232"/>
  <c r="E18" i="249"/>
  <c r="AK8" i="232"/>
  <c r="AI16" i="232"/>
  <c r="F45" i="249"/>
  <c r="F129" i="249"/>
  <c r="T8" i="232"/>
  <c r="AB11" i="232"/>
  <c r="X7" i="232"/>
  <c r="T12" i="232"/>
  <c r="F258" i="249"/>
  <c r="T16" i="232"/>
  <c r="P10" i="232"/>
  <c r="X12" i="232"/>
  <c r="F36" i="249"/>
  <c r="E136" i="249"/>
  <c r="AI15" i="232"/>
  <c r="E47" i="249"/>
  <c r="X16" i="232"/>
  <c r="F39" i="249"/>
  <c r="G23" i="249"/>
  <c r="X13" i="232"/>
  <c r="E29" i="249"/>
  <c r="F44" i="249"/>
  <c r="P6" i="232"/>
  <c r="V17" i="232"/>
  <c r="AC11" i="232"/>
  <c r="E249" i="249"/>
  <c r="AC13" i="232"/>
  <c r="E163" i="249"/>
  <c r="X17" i="232"/>
  <c r="AI14" i="232"/>
  <c r="F145" i="249"/>
  <c r="AC6" i="232"/>
  <c r="F65" i="249"/>
  <c r="E259" i="249"/>
  <c r="AB16" i="232"/>
  <c r="E261" i="249"/>
  <c r="P216" i="249"/>
  <c r="G281" i="249"/>
  <c r="AG10" i="232"/>
  <c r="O8" i="232"/>
  <c r="AB14" i="232"/>
  <c r="X8" i="232"/>
  <c r="E243" i="249"/>
  <c r="T9" i="232"/>
  <c r="X10" i="232"/>
  <c r="F244" i="249"/>
  <c r="V8" i="232"/>
  <c r="AG14" i="232"/>
  <c r="T14" i="232"/>
  <c r="O9" i="232"/>
  <c r="P15" i="232"/>
  <c r="E54" i="249"/>
  <c r="AK15" i="232"/>
  <c r="E65" i="249"/>
  <c r="AC10" i="232"/>
  <c r="E66" i="249"/>
  <c r="AK10" i="232"/>
  <c r="G25" i="249"/>
  <c r="AC12" i="232"/>
  <c r="V11" i="232"/>
  <c r="E159" i="249"/>
  <c r="F260" i="249"/>
  <c r="T10" i="232"/>
  <c r="AG12" i="232"/>
  <c r="AK17" i="232"/>
  <c r="F64" i="249"/>
  <c r="AG17" i="232"/>
  <c r="F16" i="249"/>
  <c r="AK13" i="232"/>
  <c r="E258" i="249"/>
  <c r="G265" i="249"/>
  <c r="F66" i="249"/>
  <c r="F161" i="249"/>
  <c r="AB17" i="232"/>
  <c r="P14" i="232"/>
  <c r="F235" i="249"/>
  <c r="AG16" i="232"/>
  <c r="V14" i="232"/>
  <c r="F159" i="249"/>
  <c r="T11" i="232"/>
  <c r="AB9" i="232"/>
  <c r="G164" i="249"/>
  <c r="X9" i="232"/>
  <c r="AB6" i="232"/>
  <c r="X11" i="232"/>
  <c r="AC16" i="232"/>
  <c r="E144" i="249"/>
  <c r="AG13" i="232"/>
  <c r="G63" i="249"/>
  <c r="G42" i="249"/>
  <c r="F259" i="249"/>
  <c r="E161" i="249"/>
  <c r="X6" i="232"/>
  <c r="AB8" i="232"/>
  <c r="F141" i="249"/>
  <c r="AG8" i="232"/>
  <c r="AC17" i="232"/>
  <c r="V16" i="232"/>
  <c r="G14" i="249"/>
  <c r="AK14" i="232"/>
  <c r="AK6" i="232"/>
  <c r="P16" i="232"/>
  <c r="V10" i="232"/>
  <c r="F229" i="249"/>
  <c r="F262" i="249"/>
  <c r="AI13" i="232"/>
  <c r="F34" i="249"/>
  <c r="X14" i="232"/>
  <c r="E162" i="249"/>
  <c r="F160" i="249"/>
  <c r="AI6" i="232"/>
  <c r="P8" i="232"/>
  <c r="AI17" i="232"/>
  <c r="AK12" i="232"/>
  <c r="F158" i="249"/>
  <c r="F46" i="249"/>
  <c r="G24"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AH15" i="232"/>
  <c r="AJ7" i="232"/>
  <c r="F123" i="249"/>
  <c r="W8" i="232"/>
  <c r="E28" i="249"/>
  <c r="F165" i="249"/>
  <c r="E265" i="249"/>
  <c r="E63" i="249"/>
  <c r="U15" i="232"/>
  <c r="W9" i="232"/>
  <c r="W14" i="232"/>
  <c r="E61" i="249"/>
  <c r="F242" i="249"/>
  <c r="E74" i="249"/>
  <c r="F166" i="249"/>
  <c r="AH14" i="232"/>
  <c r="W16" i="232"/>
  <c r="U7" i="232"/>
  <c r="F148" i="249"/>
  <c r="G294" i="249"/>
  <c r="AH10" i="232"/>
  <c r="AJ13" i="232"/>
  <c r="AH16" i="232"/>
  <c r="E267" i="249"/>
  <c r="AJ14" i="232"/>
  <c r="F167" i="249"/>
  <c r="E164" i="249"/>
  <c r="G296" i="249"/>
  <c r="P129" i="249"/>
  <c r="U17" i="232"/>
  <c r="G21" i="249"/>
  <c r="AH7" i="232"/>
  <c r="G35" i="249"/>
  <c r="W13" i="232"/>
  <c r="E255" i="249"/>
  <c r="AH13" i="232"/>
  <c r="F266" i="249"/>
  <c r="W12" i="232"/>
  <c r="F70" i="249"/>
  <c r="AJ11" i="232"/>
  <c r="AJ6" i="232"/>
  <c r="AH11" i="232"/>
  <c r="AH8" i="232"/>
  <c r="F255" i="249"/>
  <c r="F142" i="249"/>
  <c r="F71" i="249"/>
  <c r="E167" i="249"/>
  <c r="F164" i="249"/>
  <c r="AJ15" i="232"/>
  <c r="W7" i="232"/>
  <c r="F73" i="249"/>
  <c r="E166" i="249"/>
  <c r="E73" i="249"/>
  <c r="E145" i="249"/>
  <c r="G171" i="249"/>
  <c r="AJ10" i="232"/>
  <c r="U9" i="232"/>
  <c r="E41" i="249"/>
  <c r="U10" i="232"/>
  <c r="AH17" i="232"/>
  <c r="E256" i="249"/>
  <c r="E169" i="249"/>
  <c r="W17" i="232"/>
  <c r="AJ17" i="232"/>
  <c r="U11" i="232"/>
  <c r="G297" i="249"/>
  <c r="E165" i="249"/>
  <c r="E25" i="249"/>
  <c r="E252" i="249"/>
  <c r="AJ12" i="232"/>
  <c r="E116" i="249"/>
  <c r="F168" i="249"/>
  <c r="W10" i="232"/>
  <c r="AJ9" i="232"/>
  <c r="F72" i="249"/>
  <c r="E269" i="249"/>
  <c r="G70" i="249"/>
  <c r="AH6" i="232"/>
  <c r="F252" i="249"/>
  <c r="U8" i="232"/>
  <c r="P223" i="249"/>
  <c r="AH9" i="232"/>
  <c r="E170" i="249"/>
  <c r="F236" i="249"/>
  <c r="E71" i="249"/>
  <c r="F74" i="249"/>
  <c r="E22" i="249"/>
  <c r="F24" i="249"/>
  <c r="F37" i="249"/>
  <c r="F265" i="249"/>
  <c r="E37" i="249"/>
  <c r="E70" i="249"/>
  <c r="F268" i="249"/>
  <c r="P209" i="249"/>
  <c r="AJ8" i="232"/>
  <c r="F22" i="249"/>
  <c r="F63" i="249"/>
  <c r="E254" i="249"/>
  <c r="E168" i="249"/>
  <c r="E250" i="249"/>
  <c r="G252" i="249"/>
  <c r="U16" i="232"/>
  <c r="E268" i="249"/>
  <c r="U13" i="232"/>
  <c r="U12" i="232"/>
  <c r="G272" i="249"/>
  <c r="E117" i="249"/>
  <c r="W11" i="232"/>
  <c r="E48" i="249"/>
  <c r="W6" i="232"/>
  <c r="E266" i="249"/>
  <c r="W15" i="232"/>
  <c r="U14" i="232"/>
  <c r="AJ16" i="232"/>
  <c r="E24" i="249"/>
  <c r="F25" i="249"/>
  <c r="U6" i="232"/>
  <c r="AH12" i="232"/>
  <c r="G254" i="249"/>
  <c r="F267" i="249"/>
  <c r="G255" i="249"/>
  <c r="F254" i="249"/>
  <c r="F269" i="249"/>
  <c r="E72"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77" i="249"/>
  <c r="AD7" i="232"/>
  <c r="Z8" i="232"/>
  <c r="G253" i="249"/>
  <c r="F81" i="249"/>
  <c r="Z13" i="232"/>
  <c r="E253" i="249"/>
  <c r="Q9" i="232"/>
  <c r="AD17" i="232"/>
  <c r="AD9" i="232"/>
  <c r="E23" i="249"/>
  <c r="Q10" i="232"/>
  <c r="E175" i="249"/>
  <c r="AD10" i="232"/>
  <c r="Q15" i="232"/>
  <c r="Q8" i="232"/>
  <c r="F253" i="249"/>
  <c r="E263" i="249"/>
  <c r="E171" i="249"/>
  <c r="Z9" i="232"/>
  <c r="F171" i="249"/>
  <c r="M12" i="232"/>
  <c r="F79" i="249"/>
  <c r="F14" i="249"/>
  <c r="AD14" i="232"/>
  <c r="M16" i="232"/>
  <c r="AD15" i="232"/>
  <c r="P230" i="249"/>
  <c r="F124" i="249"/>
  <c r="E173" i="249"/>
  <c r="F61" i="249"/>
  <c r="G295" i="249"/>
  <c r="M8" i="232"/>
  <c r="F175" i="249"/>
  <c r="G94" i="249"/>
  <c r="F174" i="249"/>
  <c r="F54" i="249"/>
  <c r="E272" i="249"/>
  <c r="F275" i="249"/>
  <c r="Q14" i="232"/>
  <c r="E35" i="249"/>
  <c r="M15" i="232"/>
  <c r="Z11" i="232"/>
  <c r="G178" i="249"/>
  <c r="M6" i="232"/>
  <c r="E274" i="249"/>
  <c r="Q11" i="232"/>
  <c r="F172" i="249"/>
  <c r="Q16" i="232"/>
  <c r="Z16" i="232"/>
  <c r="F78" i="249"/>
  <c r="E77" i="249"/>
  <c r="E42" i="249"/>
  <c r="E79" i="249"/>
  <c r="E81" i="249"/>
  <c r="F243" i="249"/>
  <c r="E172" i="249"/>
  <c r="F155" i="249"/>
  <c r="F80" i="249"/>
  <c r="E174" i="249"/>
  <c r="AD6" i="232"/>
  <c r="F35" i="249"/>
  <c r="E275" i="249"/>
  <c r="E14" i="249"/>
  <c r="M17" i="232"/>
  <c r="E177" i="249"/>
  <c r="E55" i="249"/>
  <c r="F23" i="249"/>
  <c r="E257" i="249"/>
  <c r="F272" i="249"/>
  <c r="M10" i="232"/>
  <c r="F48" i="249"/>
  <c r="M7" i="232"/>
  <c r="F276" i="249"/>
  <c r="Z14" i="232"/>
  <c r="AD8" i="232"/>
  <c r="M13" i="232"/>
  <c r="G95" i="249"/>
  <c r="M11" i="232"/>
  <c r="F149" i="249"/>
  <c r="F274" i="249"/>
  <c r="Z10" i="232"/>
  <c r="F77" i="249"/>
  <c r="F273" i="249"/>
  <c r="E176" i="249"/>
  <c r="AD16" i="232"/>
  <c r="G279" i="249"/>
  <c r="F41" i="249"/>
  <c r="Q17" i="232"/>
  <c r="Q12" i="232"/>
  <c r="E276" i="249"/>
  <c r="E68" i="249"/>
  <c r="E78" i="249"/>
  <c r="E80" i="249"/>
  <c r="AD13" i="232"/>
  <c r="F42" i="249"/>
  <c r="E273" i="249"/>
  <c r="E123" i="249"/>
  <c r="F143" i="249"/>
  <c r="AD12" i="232"/>
  <c r="G251" i="249"/>
  <c r="M14" i="232"/>
  <c r="M9" i="232"/>
  <c r="F173" i="249"/>
  <c r="Q7" i="232"/>
  <c r="AD11" i="232"/>
  <c r="Z6" i="232"/>
  <c r="Z17" i="232"/>
  <c r="F115" i="249"/>
  <c r="F249" i="249"/>
  <c r="Q13" i="232"/>
  <c r="P136" i="249"/>
  <c r="P28" i="249"/>
  <c r="Z15" i="232"/>
  <c r="Z7" i="232"/>
  <c r="Z12" i="232"/>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N15" i="232"/>
  <c r="N10" i="232"/>
  <c r="E115" i="249"/>
  <c r="AA16" i="232"/>
  <c r="E178" i="249"/>
  <c r="F279" i="249"/>
  <c r="AA8" i="232"/>
  <c r="AA13" i="232"/>
  <c r="E270" i="249"/>
  <c r="N11" i="232"/>
  <c r="AA15" i="232"/>
  <c r="F179" i="249"/>
  <c r="E279" i="249"/>
  <c r="E21" i="249"/>
  <c r="F55" i="249"/>
  <c r="N8" i="232"/>
  <c r="E282" i="249"/>
  <c r="F182" i="249"/>
  <c r="N12" i="232"/>
  <c r="AA17" i="232"/>
  <c r="P35" i="249"/>
  <c r="F282" i="249"/>
  <c r="N17" i="232"/>
  <c r="P14" i="249"/>
  <c r="AA7" i="232"/>
  <c r="E264" i="249"/>
  <c r="N6" i="232"/>
  <c r="E183" i="249"/>
  <c r="F181" i="249"/>
  <c r="F88" i="249"/>
  <c r="E180" i="249"/>
  <c r="F180" i="249"/>
  <c r="E184" i="249"/>
  <c r="E283" i="249"/>
  <c r="E281" i="249"/>
  <c r="F281" i="249"/>
  <c r="G185" i="249"/>
  <c r="AA10" i="232"/>
  <c r="N16" i="232"/>
  <c r="N14" i="232"/>
  <c r="E86" i="249"/>
  <c r="E181" i="249"/>
  <c r="F86" i="249"/>
  <c r="AA12" i="232"/>
  <c r="G192" i="249"/>
  <c r="N9" i="232"/>
  <c r="AA11" i="232"/>
  <c r="E85" i="249"/>
  <c r="N7" i="232"/>
  <c r="F122" i="249"/>
  <c r="E87" i="249"/>
  <c r="F162" i="249"/>
  <c r="F280" i="249"/>
  <c r="G51" i="249"/>
  <c r="AA6" i="232"/>
  <c r="AA9" i="232"/>
  <c r="F85" i="249"/>
  <c r="E280" i="249"/>
  <c r="F87" i="249"/>
  <c r="P42" i="249"/>
  <c r="E84" i="249"/>
  <c r="F84" i="249"/>
  <c r="E88" i="249"/>
  <c r="E182" i="249"/>
  <c r="G293" i="249"/>
  <c r="G84" i="249"/>
  <c r="E251" i="249"/>
  <c r="G93" i="249"/>
  <c r="F283" i="249"/>
  <c r="F21" i="249"/>
  <c r="E143" i="249"/>
  <c r="G286" i="249"/>
  <c r="N13" i="232"/>
  <c r="G52" i="249"/>
  <c r="AA14" i="232"/>
  <c r="F178" i="249"/>
  <c r="E179" i="249"/>
  <c r="F256" i="249"/>
  <c r="G53" i="249"/>
  <c r="P237" i="249"/>
  <c r="E124"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E186" i="249"/>
  <c r="E190" i="249"/>
  <c r="E271" i="249"/>
  <c r="E122" i="249"/>
  <c r="E82" i="249"/>
  <c r="P143" i="249"/>
  <c r="E69" i="249"/>
  <c r="F287" i="249"/>
  <c r="F156" i="249"/>
  <c r="F188" i="249"/>
  <c r="E189" i="249"/>
  <c r="F187" i="249"/>
  <c r="E62" i="249"/>
  <c r="P21" i="249"/>
  <c r="G49" i="249"/>
  <c r="F94" i="249"/>
  <c r="F95" i="249"/>
  <c r="F257" i="249"/>
  <c r="E191" i="249"/>
  <c r="E75" i="249"/>
  <c r="E93" i="249"/>
  <c r="E187" i="249"/>
  <c r="G91" i="249"/>
  <c r="F50" i="249"/>
  <c r="E185" i="249"/>
  <c r="F185" i="249"/>
  <c r="F189" i="249"/>
  <c r="E94" i="249"/>
  <c r="F92" i="249"/>
  <c r="F53" i="249"/>
  <c r="F151" i="249"/>
  <c r="E95" i="249"/>
  <c r="F250" i="249"/>
  <c r="E53" i="249"/>
  <c r="F290" i="249"/>
  <c r="P115" i="249"/>
  <c r="F186" i="249"/>
  <c r="F169" i="249"/>
  <c r="E290" i="249"/>
  <c r="E92" i="249"/>
  <c r="E51" i="249"/>
  <c r="E188" i="249"/>
  <c r="E289" i="249"/>
  <c r="F286" i="249"/>
  <c r="E288" i="249"/>
  <c r="F288" i="249"/>
  <c r="F68" i="249"/>
  <c r="F289" i="249"/>
  <c r="F52" i="249"/>
  <c r="F163" i="249"/>
  <c r="F251" i="249"/>
  <c r="E286" i="249"/>
  <c r="E287"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F192" i="249"/>
  <c r="E197" i="249"/>
  <c r="P244" i="249"/>
  <c r="F294" i="249"/>
  <c r="E294" i="249"/>
  <c r="F194" i="249"/>
  <c r="E296" i="249"/>
  <c r="E295" i="249"/>
  <c r="F195" i="249"/>
  <c r="F93" i="249"/>
  <c r="E50" i="249"/>
  <c r="E277" i="249"/>
  <c r="E195" i="249"/>
  <c r="E297" i="249"/>
  <c r="P122" i="249"/>
  <c r="F152" i="249"/>
  <c r="F51" i="249"/>
  <c r="E278" i="249"/>
  <c r="E196" i="249"/>
  <c r="E192" i="249"/>
  <c r="P251" i="249"/>
  <c r="E96" i="249"/>
  <c r="F82" i="249"/>
  <c r="F295" i="249"/>
  <c r="E193" i="249"/>
  <c r="F193" i="249"/>
  <c r="F263" i="249"/>
  <c r="F293" i="249"/>
  <c r="E198" i="249"/>
  <c r="F296" i="249"/>
  <c r="E91" i="249"/>
  <c r="F297" i="249"/>
  <c r="E52" i="249"/>
  <c r="F75" i="249"/>
  <c r="E194" i="249"/>
  <c r="F196" i="249"/>
  <c r="P157" i="249"/>
  <c r="E151" i="249"/>
  <c r="F62" i="249"/>
  <c r="E293" i="249"/>
  <c r="E152"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F76" i="249"/>
  <c r="R17" i="232"/>
  <c r="R10" i="232"/>
  <c r="R7" i="232"/>
  <c r="R6" i="232"/>
  <c r="F270" i="249"/>
  <c r="AE17" i="232"/>
  <c r="R14" i="232"/>
  <c r="AE14" i="232"/>
  <c r="AE15" i="232"/>
  <c r="R15" i="232"/>
  <c r="E285" i="249"/>
  <c r="F49" i="249"/>
  <c r="AE11" i="232"/>
  <c r="E76" i="249"/>
  <c r="F91" i="249"/>
  <c r="AE10" i="232"/>
  <c r="F277" i="249"/>
  <c r="E298" i="249"/>
  <c r="AE7" i="232"/>
  <c r="R12" i="232"/>
  <c r="E49" i="249"/>
  <c r="F69" i="249"/>
  <c r="F177" i="249"/>
  <c r="R11" i="232"/>
  <c r="R13" i="232"/>
  <c r="F89" i="249"/>
  <c r="F150" i="249"/>
  <c r="F176" i="249"/>
  <c r="R16" i="232"/>
  <c r="F183" i="249"/>
  <c r="R8" i="232"/>
  <c r="E83" i="249"/>
  <c r="F264" i="249"/>
  <c r="F96" i="249"/>
  <c r="AE16" i="232"/>
  <c r="AE13" i="232"/>
  <c r="F170" i="249"/>
  <c r="AE6" i="232"/>
  <c r="E284" i="249"/>
  <c r="F271" i="249"/>
  <c r="E291" i="249"/>
  <c r="AE9" i="232"/>
  <c r="R9" i="232"/>
  <c r="E89" i="249"/>
  <c r="AE12" i="232"/>
  <c r="AE8" i="232"/>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P49" i="249"/>
  <c r="P265" i="249"/>
  <c r="F278" i="249"/>
  <c r="F184" i="249"/>
  <c r="F83" i="249"/>
  <c r="F197" i="249"/>
  <c r="F284" i="249"/>
  <c r="E97" i="249"/>
  <c r="E150" i="249"/>
  <c r="F190" i="249"/>
  <c r="P164" i="249"/>
  <c r="P70" i="249"/>
  <c r="P171" i="249"/>
  <c r="P63" i="249"/>
  <c r="E90" i="249"/>
  <c r="E292" i="249"/>
  <c r="P258" i="249"/>
  <c r="E299"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298" i="249"/>
  <c r="F291" i="249"/>
  <c r="F97" i="249"/>
  <c r="F90" i="249"/>
  <c r="F285" i="249"/>
  <c r="P178" i="249"/>
  <c r="F198" i="249"/>
  <c r="F191" i="249"/>
  <c r="P77" i="249"/>
  <c r="P150" i="249"/>
  <c r="P272"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185" i="249"/>
  <c r="P279" i="249"/>
  <c r="P192" i="249"/>
  <c r="P91" i="249"/>
  <c r="P84" i="249"/>
  <c r="F292"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P286" i="249"/>
  <c r="F299"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s="1"/>
  <c r="D82" i="235" l="1"/>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8" i="246"/>
  <c r="P21" i="246" s="1"/>
  <c r="V86" i="235"/>
  <c r="X86" i="235" s="1"/>
  <c r="P22" i="246"/>
  <c r="L78" i="235" l="1"/>
  <c r="AM45" i="235" s="1"/>
  <c r="AN45" i="235" s="1"/>
  <c r="G45" i="235" s="1"/>
  <c r="AQ45" i="235" s="1"/>
  <c r="L81" i="235"/>
  <c r="L77" i="235"/>
  <c r="AM34" i="235" s="1"/>
  <c r="V90" i="235"/>
  <c r="L79" i="235"/>
  <c r="L80" i="235"/>
  <c r="L82" i="235"/>
  <c r="AM55" i="235" s="1"/>
  <c r="E57" i="249"/>
  <c r="E8"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7" i="249"/>
  <c r="G58" i="249"/>
  <c r="G9" i="249"/>
  <c r="E58" i="249"/>
  <c r="G56" i="249"/>
  <c r="AV34" i="235" l="1"/>
  <c r="AV55" i="235"/>
  <c r="AG45" i="235"/>
  <c r="AT45" i="235"/>
  <c r="F56" i="249"/>
  <c r="F109" i="249"/>
  <c r="F57" i="249"/>
  <c r="F8" i="249"/>
  <c r="E109" i="249"/>
  <c r="F7" i="249"/>
  <c r="AU45" i="235" l="1"/>
  <c r="AG55" i="235"/>
  <c r="AT55" i="235"/>
  <c r="AU34" i="235"/>
  <c r="F108" i="249"/>
  <c r="E56" i="249"/>
  <c r="F9" i="249"/>
  <c r="F58" i="249"/>
  <c r="E110" i="249"/>
  <c r="F110" i="249"/>
  <c r="E7" i="249"/>
  <c r="AU55" i="235" l="1"/>
  <c r="AG34" i="235"/>
  <c r="L14" i="232"/>
  <c r="Y7" i="232"/>
  <c r="Y6" i="232"/>
  <c r="P56" i="249"/>
  <c r="Y17" i="232"/>
  <c r="L15" i="232"/>
  <c r="P7" i="249"/>
  <c r="Y14" i="232"/>
  <c r="L11" i="232"/>
  <c r="L12" i="232"/>
  <c r="L16" i="232"/>
  <c r="Y8" i="232"/>
  <c r="L10" i="232"/>
  <c r="Y15" i="232"/>
  <c r="Y11" i="232"/>
  <c r="Y9" i="232"/>
  <c r="L21" i="232"/>
  <c r="L6" i="232"/>
  <c r="Y16" i="232"/>
  <c r="L8" i="232"/>
  <c r="Y10" i="232"/>
  <c r="L17" i="232"/>
  <c r="L13" i="232"/>
  <c r="Y12" i="232"/>
  <c r="Y13" i="232"/>
  <c r="L9" i="232"/>
  <c r="L7"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J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0C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<sst xmlns="http://schemas.openxmlformats.org/spreadsheetml/2006/main" count="6821" uniqueCount="598">
  <si>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</si>
  <si>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</si>
  <si>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</si>
  <si>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</si>
  <si>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</si>
  <si>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</si>
  <si>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</si>
  <si>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</si>
  <si>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</si>
  <si>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</si>
  <si>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</si>
  <si>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</si>
  <si>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</si>
  <si>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</si>
  <si>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</si>
  <si>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</si>
  <si>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</si>
  <si>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</si>
  <si>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</si>
  <si>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</si>
  <si>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</si>
  <si>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</si>
  <si>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</si>
  <si>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</si>
  <si>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</si>
  <si>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</si>
  <si>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</si>
  <si>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</si>
  <si>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</si>
  <si>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</si>
  <si>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</si>
  <si>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</si>
  <si>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</si>
  <si>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</si>
  <si>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</si>
  <si>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</si>
  <si>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</si>
  <si>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</si>
  <si>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</si>
  <si>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</si>
  <si>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</si>
  <si>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</si>
  <si>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</si>
  <si>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</si>
  <si>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</si>
  <si>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</si>
  <si>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</si>
  <si>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</si>
  <si>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</si>
  <si>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</si>
  <si>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</si>
  <si>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</si>
  <si>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</si>
  <si>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</si>
  <si>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</si>
  <si>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</si>
  <si>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</si>
  <si>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</si>
  <si>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</si>
  <si>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</si>
  <si>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</si>
  <si>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</si>
  <si>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</si>
  <si>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</si>
  <si>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</si>
  <si>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</si>
  <si>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</si>
  <si>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</si>
  <si>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</si>
  <si>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</si>
  <si>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</si>
  <si>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</si>
  <si>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</si>
  <si>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</si>
  <si>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</si>
  <si>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</si>
  <si>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</si>
  <si>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</si>
  <si>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</si>
  <si>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</si>
  <si>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</si>
  <si>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</si>
  <si>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</si>
  <si>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</si>
  <si>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</si>
  <si>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</si>
  <si>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</si>
  <si>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</si>
  <si>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</si>
  <si>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</si>
  <si>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</si>
  <si>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</si>
  <si>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</si>
  <si>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</si>
  <si>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</si>
  <si>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</si>
  <si>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</si>
  <si>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</si>
  <si>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</si>
  <si>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</si>
  <si>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</si>
  <si>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</si>
  <si>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</si>
  <si>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</si>
  <si>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</si>
  <si>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</si>
  <si>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</si>
  <si>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</si>
  <si>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</si>
  <si>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</si>
  <si>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</si>
  <si>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</si>
  <si>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</si>
  <si>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</si>
  <si>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</si>
  <si>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</si>
  <si>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</si>
  <si>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</si>
  <si>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</si>
  <si>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</si>
  <si>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</si>
  <si>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</si>
  <si>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</si>
  <si>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</si>
  <si>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</si>
  <si>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</si>
  <si>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</si>
  <si>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</si>
  <si>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</si>
  <si>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</si>
  <si>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</si>
  <si>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</si>
  <si>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</si>
  <si>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</si>
  <si>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</si>
  <si>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</si>
  <si>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</si>
  <si>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</si>
  <si>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</si>
  <si>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</si>
  <si>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</si>
  <si>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</si>
  <si>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</si>
  <si>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</si>
  <si>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</si>
  <si>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</si>
  <si>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</si>
  <si>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</si>
  <si>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</si>
  <si>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</si>
  <si>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</si>
  <si>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</si>
  <si>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</si>
  <si>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</si>
  <si>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</si>
  <si>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</si>
  <si>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</si>
  <si>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</si>
  <si>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</si>
  <si>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</si>
  <si>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</si>
  <si>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</si>
  <si>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</si>
  <si>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</si>
  <si>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</si>
  <si>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</si>
  <si>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</si>
  <si>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</si>
  <si>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</si>
  <si>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</si>
  <si>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</si>
  <si>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</si>
  <si>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</si>
  <si>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</si>
  <si>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</si>
  <si>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</si>
  <si>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</si>
  <si>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</si>
  <si>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</si>
  <si>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</si>
  <si>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</si>
  <si>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</si>
  <si>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</si>
  <si>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</si>
  <si>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</si>
  <si>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</si>
  <si>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</si>
  <si>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</si>
  <si>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</si>
  <si>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</si>
  <si>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</si>
  <si>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</si>
  <si>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</si>
  <si>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</si>
  <si>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</si>
  <si>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</si>
  <si>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</si>
  <si>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</si>
  <si>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</si>
  <si>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</si>
  <si>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</si>
  <si>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</si>
  <si>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</si>
  <si>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</si>
  <si>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</si>
  <si>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</si>
  <si>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</si>
  <si>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</si>
  <si>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</si>
  <si>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</si>
  <si>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</si>
  <si>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</si>
  <si>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</si>
  <si>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</si>
  <si>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</si>
  <si>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</si>
  <si>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</si>
  <si>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</si>
  <si>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</si>
  <si>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</si>
  <si>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</si>
  <si>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</si>
  <si>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</si>
  <si>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</si>
  <si>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</si>
  <si>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</si>
  <si>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</si>
  <si>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</si>
  <si>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</si>
  <si>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</si>
  <si>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</si>
  <si>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</si>
  <si>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</si>
  <si>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</si>
  <si>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</si>
  <si>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</si>
  <si>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</si>
  <si>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</si>
  <si>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</si>
  <si>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</si>
  <si>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</si>
  <si>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</si>
  <si>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</si>
  <si>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</si>
  <si>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</si>
  <si>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</si>
  <si>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</si>
  <si>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</si>
  <si>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</si>
  <si>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</si>
  <si>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</si>
  <si>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</si>
  <si>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</si>
  <si>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</si>
  <si>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</si>
  <si>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</si>
  <si>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</si>
  <si>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</si>
  <si>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</si>
  <si>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</si>
  <si>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</si>
  <si>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</si>
  <si>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</si>
  <si>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</si>
  <si>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</si>
  <si>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</si>
  <si>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</si>
  <si>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</si>
  <si>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</si>
  <si>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</si>
  <si>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</si>
  <si>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</si>
  <si>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</si>
  <si>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</si>
  <si>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</si>
  <si>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</si>
  <si>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</si>
  <si>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</si>
  <si>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</si>
  <si>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</si>
  <si>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</si>
  <si>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</si>
  <si>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</si>
  <si>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</si>
  <si>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</si>
  <si>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</si>
  <si>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</si>
  <si>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</si>
  <si>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</si>
  <si>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</si>
  <si>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</si>
  <si>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</si>
  <si>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</si>
  <si>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</si>
  <si>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</si>
  <si>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</si>
  <si>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</si>
  <si>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</si>
  <si>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</si>
  <si>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</si>
  <si>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</si>
  <si>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</si>
  <si>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</si>
  <si>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</si>
  <si>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</si>
  <si>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</si>
  <si>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</si>
  <si>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</si>
  <si>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</si>
  <si>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</si>
  <si>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</si>
  <si>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</si>
  <si>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</si>
  <si>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</si>
  <si>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</si>
  <si>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</si>
  <si>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</si>
  <si>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</si>
  <si>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</si>
  <si>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</si>
  <si>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</si>
  <si>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</si>
  <si>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</si>
  <si>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</si>
  <si>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</si>
  <si>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</si>
  <si>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</si>
  <si>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</si>
  <si>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</si>
  <si>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</si>
  <si>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</si>
  <si>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</si>
  <si>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</si>
  <si>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</si>
  <si>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</si>
  <si>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</si>
  <si>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</si>
  <si>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</si>
  <si>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</si>
  <si>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</si>
  <si>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</si>
  <si>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</si>
  <si>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</si>
  <si>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</si>
  <si>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</si>
  <si>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</si>
  <si>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</si>
  <si>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</si>
  <si>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</si>
  <si>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</si>
  <si>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</si>
  <si>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</si>
  <si>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</si>
  <si>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</si>
  <si>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</si>
  <si>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</si>
  <si>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</si>
  <si>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</si>
  <si>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</si>
  <si>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</si>
  <si>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</si>
  <si>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</si>
  <si>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</si>
  <si>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</si>
  <si>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</si>
  <si>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</si>
  <si>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</si>
  <si>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</si>
  <si>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</si>
  <si>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</si>
  <si>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</si>
  <si>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</si>
  <si>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</si>
  <si>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</si>
  <si>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</si>
  <si>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</si>
  <si>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</si>
  <si>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</si>
  <si>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</si>
  <si>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</si>
  <si>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</si>
  <si>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</si>
  <si>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</si>
  <si>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</si>
  <si>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</si>
  <si>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</si>
  <si>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</si>
  <si>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</si>
  <si>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</si>
  <si>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</si>
  <si>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</si>
  <si>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</si>
  <si>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</si>
  <si>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</si>
  <si>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</si>
  <si>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</si>
  <si>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</si>
  <si>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</si>
  <si>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</si>
  <si>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</si>
  <si>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</si>
  <si>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</si>
  <si>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</si>
  <si>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</si>
  <si>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</si>
  <si>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</si>
  <si>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</si>
  <si>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</si>
  <si>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</si>
  <si>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</si>
  <si>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</si>
  <si>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</si>
  <si>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</si>
  <si>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</si>
  <si>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</si>
  <si>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</si>
  <si>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</si>
  <si>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</si>
  <si>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</si>
  <si>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</si>
  <si>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</si>
  <si>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</si>
  <si>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</si>
  <si>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</si>
  <si>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</si>
  <si>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</si>
  <si>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</si>
  <si>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</si>
  <si>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</si>
  <si>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</si>
  <si>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</si>
  <si>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</si>
  <si>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Crude oil  (including gas condensate)</t>
  </si>
  <si>
    <t>Refinery feedstocks</t>
  </si>
  <si>
    <t>Petroleum products, total</t>
  </si>
  <si>
    <t>including:</t>
  </si>
  <si>
    <t xml:space="preserve">Natural gas </t>
  </si>
  <si>
    <t xml:space="preserve">Renewables and wastes
</t>
  </si>
  <si>
    <t>Heat</t>
  </si>
  <si>
    <t xml:space="preserve"> Electricity</t>
  </si>
  <si>
    <t xml:space="preserve"> Refinery gas</t>
  </si>
  <si>
    <t>Liquefied gases</t>
  </si>
  <si>
    <t>Motor gasoline</t>
  </si>
  <si>
    <t>Kerosene - type jet fuel</t>
  </si>
  <si>
    <t>Other kero-   sene</t>
  </si>
  <si>
    <t>Diesel fuel</t>
  </si>
  <si>
    <t>Fuel oil - low sulphur</t>
  </si>
  <si>
    <t xml:space="preserve">Bitumen </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</si>
  <si>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</si>
  <si>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</si>
  <si>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</si>
  <si>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</si>
  <si>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</si>
  <si>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</si>
  <si>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</si>
  <si>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</si>
  <si>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</si>
  <si>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</si>
  <si>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</si>
  <si>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</si>
  <si>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</si>
  <si>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</si>
  <si>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</si>
  <si>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</si>
  <si>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</si>
  <si>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</si>
  <si>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</si>
  <si>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</si>
  <si>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</si>
  <si>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</si>
  <si>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</si>
  <si>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</si>
  <si>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</si>
  <si>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</si>
  <si>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</si>
  <si>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</si>
  <si>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</si>
  <si>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</si>
  <si>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</si>
  <si>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</si>
  <si>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</si>
  <si>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</si>
  <si>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</si>
  <si>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</si>
  <si>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</si>
  <si>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</si>
  <si>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</si>
  <si>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</si>
  <si>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</si>
  <si>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</si>
  <si>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</si>
  <si>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</si>
  <si>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</si>
  <si>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</si>
  <si>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</si>
  <si>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</si>
  <si>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</si>
  <si>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</si>
  <si>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</si>
  <si>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</si>
  <si>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</si>
  <si>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</si>
  <si>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</si>
  <si>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</si>
  <si>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</si>
  <si>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</si>
  <si>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</si>
  <si>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</si>
  <si>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</si>
  <si>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</si>
  <si>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</si>
  <si>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</si>
  <si>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</si>
  <si>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</si>
  <si>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</si>
  <si>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</si>
  <si>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</si>
  <si>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</si>
  <si>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</si>
  <si>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</si>
  <si>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</si>
  <si>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</si>
  <si>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</si>
  <si>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</si>
  <si>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</si>
  <si>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</si>
  <si>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IIS</t>
  </si>
  <si>
    <t>DPH</t>
  </si>
  <si>
    <t>Demand Process heat</t>
  </si>
  <si>
    <t>Demand Cooling</t>
  </si>
  <si>
    <t>DSH</t>
  </si>
  <si>
    <t>Demand Spatial Heat</t>
  </si>
  <si>
    <t>DCO</t>
  </si>
  <si>
    <t>DEMAND~AZ2</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</si>
  <si>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</si>
  <si>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</si>
  <si>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</si>
  <si>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</si>
  <si>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</si>
  <si>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</si>
  <si>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</si>
  <si>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</si>
  <si>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</si>
  <si>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</si>
  <si>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</si>
  <si>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</si>
  <si>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</si>
  <si>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</si>
  <si>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</si>
  <si>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</si>
  <si>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</si>
  <si>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</si>
  <si>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</si>
  <si>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</si>
  <si>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</si>
  <si>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</si>
  <si>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</si>
  <si>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</si>
  <si>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</si>
  <si>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</si>
  <si>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</si>
  <si>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</si>
  <si>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</si>
  <si>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</si>
  <si>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</si>
  <si>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</si>
  <si>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</si>
  <si>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DEMAND~AZ2~2015</t>
  </si>
  <si>
    <t>DEMAND~AZ3~2015</t>
  </si>
  <si>
    <t>DEMAND~AZ2~2019</t>
  </si>
  <si>
    <t>DEMAND~AZ3~2019</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</si>
  <si>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</si>
  <si>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</si>
  <si>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</si>
  <si>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</si>
  <si>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</si>
  <si>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</si>
  <si>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</si>
  <si>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</si>
  <si>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</si>
  <si>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</si>
  <si>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</si>
  <si>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</si>
  <si>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</si>
  <si>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</si>
  <si>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</si>
  <si>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</si>
  <si>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t>
  </si>
  <si>
    <t>Manufactured Gases</t>
  </si>
  <si>
    <t>Biogasoline</t>
  </si>
  <si>
    <t>Biodiesel</t>
  </si>
  <si>
    <t>Other Liquid Biofuels</t>
  </si>
  <si>
    <t>Manufatured Gases</t>
  </si>
  <si>
    <t>Manufactured gas</t>
  </si>
  <si>
    <t>Refinery gas</t>
  </si>
  <si>
    <t>Manufactured gases</t>
  </si>
  <si>
    <t>Den summerer ikke ens op, fordi der i nedenstående tabel er udeladt "Other petroleum Products"</t>
  </si>
  <si>
    <t>Biokerosene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</si>
</sst>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92">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4" xfId="6370" applyFont="1" applyBorder="1" applyAlignment="1">
      <alignment horizontal="left" wrapText="1"/>
    </xf>
    <xf numFmtId="195" fontId="154" fillId="0" borderId="27" xfId="6370" applyNumberFormat="1" applyFont="1" applyBorder="1" applyAlignment="1">
      <alignment horizontal="right"/>
    </xf>
    <xf numFmtId="195" fontId="154" fillId="0" borderId="65" xfId="6370" applyNumberFormat="1" applyFont="1" applyBorder="1" applyAlignment="1">
      <alignment horizontal="right"/>
    </xf>
    <xf numFmtId="0" fontId="154" fillId="0" borderId="66" xfId="6370" applyFont="1" applyBorder="1" applyAlignment="1">
      <alignment horizontal="left"/>
    </xf>
    <xf numFmtId="195"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5"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5" xfId="51278" applyNumberFormat="1" applyFont="1" applyBorder="1" applyAlignment="1">
      <alignment horizontal="right"/>
    </xf>
    <xf numFmtId="195" fontId="154" fillId="0" borderId="67" xfId="51278" applyNumberFormat="1" applyFont="1" applyBorder="1" applyAlignment="1">
      <alignment horizontal="right"/>
    </xf>
    <xf numFmtId="195" fontId="151" fillId="0" borderId="67" xfId="51278" applyNumberFormat="1" applyFont="1" applyBorder="1" applyAlignment="1">
      <alignment horizontal="right"/>
    </xf>
    <xf numFmtId="0" fontId="154" fillId="0" borderId="66"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3"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5" fillId="0" borderId="72" xfId="51279" applyFont="1" applyBorder="1" applyAlignment="1">
      <alignment horizontal="center" vertical="center" wrapText="1"/>
    </xf>
    <xf numFmtId="0" fontId="160" fillId="115" borderId="75" xfId="1589" applyFont="1" applyFill="1" applyBorder="1" applyAlignment="1">
      <alignment horizontal="left" vertical="center"/>
    </xf>
    <xf numFmtId="195" fontId="154" fillId="0" borderId="76" xfId="6370" applyNumberFormat="1" applyFont="1" applyBorder="1" applyAlignment="1">
      <alignment horizontal="right"/>
    </xf>
    <xf numFmtId="195" fontId="151" fillId="0" borderId="76" xfId="6370" applyNumberFormat="1" applyFont="1" applyBorder="1" applyAlignment="1">
      <alignment horizontal="right"/>
    </xf>
    <xf numFmtId="182" fontId="159" fillId="114" borderId="0" xfId="1589" applyNumberFormat="1" applyFont="1" applyFill="1" applyAlignment="1">
      <alignment horizontal="right" vertical="center" shrinkToFit="1"/>
    </xf>
    <xf numFmtId="182" fontId="159" fillId="0" borderId="0" xfId="1589" applyNumberFormat="1" applyFont="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6" xfId="51278" applyNumberFormat="1" applyFont="1" applyBorder="1" applyAlignment="1">
      <alignment horizontal="right"/>
    </xf>
    <xf numFmtId="195" fontId="151" fillId="0" borderId="76" xfId="51278" applyNumberFormat="1" applyFont="1" applyBorder="1" applyAlignment="1">
      <alignment horizontal="right"/>
    </xf>
    <xf numFmtId="195" fontId="159" fillId="114" borderId="0" xfId="1589" applyNumberFormat="1" applyFont="1" applyFill="1" applyAlignment="1">
      <alignment horizontal="right" vertical="center" shrinkToFit="1"/>
    </xf>
    <xf numFmtId="195" fontId="159" fillId="0" borderId="0" xfId="1589" applyNumberFormat="1" applyFont="1" applyAlignment="1">
      <alignment horizontal="right" vertical="center" shrinkToFit="1"/>
    </xf>
    <xf numFmtId="195" fontId="161" fillId="0" borderId="63"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7" xfId="1589" applyNumberFormat="1" applyFont="1" applyBorder="1" applyAlignment="1">
      <alignment horizontal="right"/>
    </xf>
    <xf numFmtId="195" fontId="162" fillId="0" borderId="76" xfId="1589" applyNumberFormat="1" applyFont="1" applyBorder="1" applyAlignment="1">
      <alignment horizontal="right"/>
    </xf>
    <xf numFmtId="3" fontId="159" fillId="0" borderId="0" xfId="1589" applyNumberFormat="1" applyFont="1" applyAlignment="1">
      <alignment horizontal="right" vertical="center" shrinkToFit="1"/>
    </xf>
    <xf numFmtId="3" fontId="159" fillId="114" borderId="0" xfId="1589" applyNumberFormat="1" applyFont="1" applyFill="1" applyAlignment="1">
      <alignment horizontal="right" vertical="center" shrinkToFit="1"/>
    </xf>
    <xf numFmtId="195" fontId="161" fillId="0" borderId="67" xfId="1589" applyNumberFormat="1" applyFont="1" applyBorder="1" applyAlignment="1">
      <alignment horizontal="right"/>
    </xf>
    <xf numFmtId="195" fontId="161" fillId="0" borderId="76"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27" xfId="1589" applyNumberFormat="1" applyFont="1" applyBorder="1" applyAlignment="1">
      <alignment horizontal="righ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8" xfId="51279" applyFont="1" applyBorder="1" applyAlignment="1">
      <alignment horizontal="center" vertical="center"/>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72"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3"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1" fillId="0" borderId="71" xfId="51279" applyFont="1" applyBorder="1" applyAlignment="1">
      <alignment horizontal="center" vertical="center"/>
    </xf>
    <xf numFmtId="0" fontId="155" fillId="0" borderId="72" xfId="51279" applyFont="1" applyBorder="1" applyAlignment="1">
      <alignment horizontal="center" vertical="center" wrapText="1"/>
    </xf>
    <xf numFmtId="0" fontId="155" fillId="0" borderId="74"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3"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155" fillId="0" borderId="71"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xfId="33" builtinId="3"/>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xfId="12909" builtinId="8"/>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xfId="676" builtinId="5"/>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xfId="22" builtinId="27"/>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246</v>
      </c>
    </row>
    <row r="4" spans="1:14" s="7" customFormat="1">
      <c r="A4" s="9">
        <v>44297</v>
      </c>
      <c r="B4" s="8" t="s">
        <v>427</v>
      </c>
      <c r="C4" s="8" t="s">
        <v>245</v>
      </c>
      <c r="D4" s="8"/>
      <c r="E4" s="8" t="s">
        <v>426</v>
      </c>
    </row>
    <row r="5" spans="1:14" s="7" customFormat="1">
      <c r="A5" s="9">
        <v>44298</v>
      </c>
      <c r="B5" s="8" t="s">
        <v>427</v>
      </c>
      <c r="C5" s="8" t="s">
        <v>245</v>
      </c>
      <c r="D5" s="8"/>
      <c r="E5" s="8" t="s">
        <v>428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9"/>
      <c r="B16" s="366"/>
      <c r="C16" s="367"/>
      <c r="D16" s="365"/>
      <c r="E16" s="368"/>
      <c r="G16" s="7"/>
      <c r="H16" s="7"/>
      <c r="I16" s="7"/>
      <c r="J16" s="7"/>
      <c r="K16" s="7"/>
      <c r="L16" s="7"/>
      <c r="M16" s="7"/>
      <c r="N16" s="7"/>
    </row>
    <row r="17" spans="1:6">
      <c r="A17" s="362"/>
      <c r="B17" s="8"/>
      <c r="C17" s="240"/>
      <c r="E17" s="241"/>
    </row>
    <row r="18" spans="1:6">
      <c r="A18" s="9"/>
      <c r="B18" s="8"/>
      <c r="C18" s="240"/>
      <c r="D18" s="8"/>
      <c r="E18" s="8"/>
    </row>
    <row r="19" spans="1:6">
      <c r="A19" s="9"/>
      <c r="B19" s="8"/>
      <c r="C19" s="240"/>
      <c r="D19" s="8"/>
      <c r="E19" s="8"/>
    </row>
    <row r="20" spans="1:6">
      <c r="A20" s="359"/>
      <c r="B20" s="360"/>
      <c r="C20" s="360"/>
      <c r="D20" s="360"/>
      <c r="E20" s="360"/>
    </row>
    <row r="21" spans="1:6">
      <c r="A21" s="359"/>
      <c r="B21" s="360"/>
      <c r="C21" s="360"/>
      <c r="D21" s="360"/>
      <c r="E21" s="360"/>
    </row>
    <row r="22" spans="1:6">
      <c r="A22" s="359"/>
      <c r="B22" s="360"/>
      <c r="C22" s="360"/>
      <c r="D22" s="360"/>
      <c r="E22" s="360"/>
    </row>
    <row r="23" spans="1:6">
      <c r="A23" s="9"/>
      <c r="B23" s="240"/>
      <c r="C23" s="240"/>
      <c r="D23" s="240"/>
      <c r="E23" s="240"/>
    </row>
    <row r="24" spans="1:6">
      <c r="A24" s="9"/>
      <c r="B24" s="240"/>
      <c r="C24" s="240"/>
      <c r="D24" s="240"/>
      <c r="E24" s="240"/>
    </row>
    <row r="25" spans="1:6" s="241" customFormat="1">
      <c r="A25" s="9"/>
      <c r="B25" s="240"/>
      <c r="C25" s="240"/>
      <c r="D25" s="240"/>
      <c r="E25" s="240"/>
      <c r="F25" s="2"/>
    </row>
    <row r="26" spans="1:6" s="241" customFormat="1">
      <c r="A26" s="9"/>
      <c r="B26" s="240"/>
      <c r="C26" s="240"/>
      <c r="D26" s="240"/>
      <c r="E26" s="240"/>
    </row>
    <row r="27" spans="1:6">
      <c r="A27" s="9"/>
      <c r="B27" s="240"/>
      <c r="C27" s="240"/>
      <c r="D27" s="240"/>
      <c r="E27" s="240"/>
      <c r="F27" s="241"/>
    </row>
    <row r="28" spans="1:6">
      <c r="A28" s="9"/>
      <c r="B28" s="240"/>
      <c r="C28" s="240"/>
      <c r="D28" s="240"/>
      <c r="E28" s="240"/>
    </row>
    <row r="29" spans="1:6">
      <c r="A29" s="9"/>
      <c r="B29" s="240"/>
      <c r="C29" s="240"/>
      <c r="D29" s="240"/>
      <c r="E29" s="240"/>
    </row>
    <row r="30" spans="1:6" s="241" customFormat="1">
      <c r="A30" s="9"/>
      <c r="B30" s="240"/>
      <c r="C30" s="240"/>
      <c r="D30" s="240"/>
      <c r="E30" s="240"/>
      <c r="F30" s="2"/>
    </row>
    <row r="31" spans="1:6" s="241" customFormat="1">
      <c r="A31" s="9"/>
      <c r="B31" s="240"/>
      <c r="C31" s="240"/>
      <c r="D31" s="240"/>
    </row>
    <row r="32" spans="1:6" s="241" customFormat="1">
      <c r="A32" s="9"/>
      <c r="B32" s="240"/>
      <c r="C32" s="240"/>
      <c r="D32" s="240"/>
      <c r="E32" s="240"/>
    </row>
    <row r="33" spans="1:8" s="241" customFormat="1">
      <c r="A33" s="9"/>
      <c r="B33" s="240"/>
      <c r="C33" s="240"/>
      <c r="D33" s="240"/>
      <c r="E33" s="240"/>
    </row>
    <row r="34" spans="1:8" s="241" customFormat="1">
      <c r="A34" s="9"/>
      <c r="B34" s="240"/>
      <c r="C34" s="240"/>
      <c r="D34" s="240"/>
      <c r="E34" s="240"/>
    </row>
    <row r="35" spans="1:8">
      <c r="A35" s="9"/>
      <c r="B35" s="240"/>
      <c r="C35" s="240"/>
      <c r="D35" s="240"/>
      <c r="E35" s="240"/>
      <c r="F35" s="241"/>
    </row>
    <row r="36" spans="1:8">
      <c r="A36" s="9"/>
      <c r="B36" s="240"/>
      <c r="C36" s="240"/>
      <c r="D36" s="240"/>
      <c r="E36" s="240"/>
    </row>
    <row r="37" spans="1:8">
      <c r="A37" s="9"/>
      <c r="B37" s="240"/>
      <c r="C37" s="240"/>
      <c r="D37" s="240"/>
      <c r="E37" s="240"/>
    </row>
    <row r="38" spans="1:8">
      <c r="A38" s="9"/>
      <c r="B38" s="240"/>
      <c r="C38" s="240"/>
      <c r="D38" s="240"/>
      <c r="E38" s="240"/>
    </row>
    <row r="39" spans="1:8">
      <c r="A39" s="9"/>
      <c r="B39" s="240"/>
      <c r="C39" s="240"/>
      <c r="D39" s="240"/>
      <c r="E39" s="240"/>
    </row>
    <row r="40" spans="1:8" ht="54.75" customHeight="1">
      <c r="A40" s="9"/>
      <c r="B40" s="240"/>
      <c r="C40" s="240"/>
      <c r="D40" s="240"/>
      <c r="E40" s="240"/>
    </row>
    <row r="41" spans="1:8" s="7" customFormat="1" ht="159.75" customHeight="1">
      <c r="A41" s="453"/>
      <c r="B41" s="240"/>
      <c r="C41" s="240"/>
      <c r="D41" s="240"/>
      <c r="E41" s="240"/>
      <c r="F41" s="454"/>
    </row>
    <row r="42" spans="1:8" s="7" customFormat="1">
      <c r="A42" s="453"/>
      <c r="B42" s="240"/>
      <c r="C42" s="240"/>
      <c r="D42" s="240"/>
      <c r="E42" s="240"/>
      <c r="F42" s="455"/>
    </row>
    <row r="43" spans="1:8" s="7" customFormat="1">
      <c r="A43" s="456"/>
      <c r="B43" s="457"/>
      <c r="C43" s="457"/>
      <c r="D43" s="457"/>
      <c r="E43" s="458"/>
      <c r="F43" s="455"/>
    </row>
    <row r="44" spans="1:8" s="5" customFormat="1">
      <c r="A44" s="456"/>
      <c r="B44" s="457"/>
      <c r="C44" s="457"/>
      <c r="D44" s="457"/>
      <c r="E44" s="458"/>
      <c r="F44" s="455"/>
    </row>
    <row r="45" spans="1:8" s="5" customFormat="1">
      <c r="A45" s="456"/>
      <c r="B45" s="457"/>
      <c r="C45" s="457"/>
      <c r="D45" s="457"/>
      <c r="E45" s="458"/>
      <c r="F45" s="459"/>
    </row>
    <row r="46" spans="1:8" s="5" customFormat="1">
      <c r="A46" s="453"/>
      <c r="B46" s="8"/>
      <c r="C46" s="8"/>
      <c r="D46" s="8"/>
      <c r="E46" s="8"/>
      <c r="F46" s="459"/>
    </row>
    <row r="47" spans="1:8" s="5" customFormat="1">
      <c r="A47" s="453"/>
      <c r="B47" s="8"/>
      <c r="C47" s="8"/>
      <c r="D47" s="8"/>
      <c r="E47" s="8"/>
      <c r="F47" s="459"/>
      <c r="H47" s="7"/>
    </row>
    <row r="48" spans="1:8" s="5" customFormat="1">
      <c r="A48" s="453"/>
      <c r="B48" s="8"/>
      <c r="C48" s="8"/>
      <c r="D48" s="8"/>
      <c r="E48" s="8"/>
      <c r="F48" s="459"/>
      <c r="H48" s="7"/>
    </row>
    <row r="49" spans="1:8" s="5" customFormat="1">
      <c r="A49" s="460"/>
      <c r="B49" s="6"/>
      <c r="C49" s="6"/>
      <c r="D49" s="6"/>
      <c r="E49" s="6"/>
      <c r="F49" s="459"/>
      <c r="H49" s="7"/>
    </row>
    <row r="50" spans="1:8" s="5" customFormat="1">
      <c r="A50" s="460"/>
      <c r="B50" s="6"/>
      <c r="C50" s="6"/>
      <c r="D50" s="6"/>
      <c r="E50" s="6"/>
      <c r="F50" s="459"/>
    </row>
    <row r="51" spans="1:8">
      <c r="A51" s="460"/>
      <c r="B51" s="6"/>
      <c r="C51" s="6"/>
      <c r="D51" s="6"/>
      <c r="E51" s="6"/>
      <c r="F51" s="459"/>
    </row>
    <row r="52" spans="1:8">
      <c r="A52" s="460"/>
      <c r="B52" s="6"/>
      <c r="C52" s="6"/>
      <c r="D52" s="6"/>
      <c r="E52" s="6"/>
      <c r="F52" s="454"/>
    </row>
    <row r="53" spans="1:8">
      <c r="A53" s="460"/>
      <c r="B53" s="6"/>
      <c r="C53" s="6"/>
      <c r="D53" s="6"/>
      <c r="E53" s="6"/>
      <c r="F53" s="454"/>
    </row>
    <row r="54" spans="1:8">
      <c r="A54" s="454"/>
      <c r="B54" s="454"/>
      <c r="C54" s="454"/>
      <c r="D54" s="454"/>
      <c r="E54" s="454"/>
      <c r="F54" s="454"/>
    </row>
    <row r="55" spans="1:8">
      <c r="A55" s="454"/>
      <c r="B55" s="454"/>
      <c r="C55" s="454"/>
      <c r="D55" s="454"/>
      <c r="E55" s="454"/>
      <c r="F55" s="454"/>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baseColWidth="10" defaultColWidth="9.1640625" defaultRowHeight="15"/>
  <cols>
    <col min="1" max="1" width="9.1640625" style="243"/>
    <col min="2" max="2" width="28.33203125" style="243" customWidth="1"/>
    <col min="3" max="3" width="138.5" style="243" customWidth="1"/>
    <col min="4" max="16384" width="9.1640625" style="243"/>
  </cols>
  <sheetData>
    <row r="1" spans="2:3" ht="19">
      <c r="B1" s="242" t="s">
        <v>261</v>
      </c>
    </row>
    <row r="3" spans="2:3">
      <c r="B3" s="244" t="s">
        <v>262</v>
      </c>
      <c r="C3" s="243" t="s">
        <v>269</v>
      </c>
    </row>
    <row r="4" spans="2:3">
      <c r="B4" s="244" t="s">
        <v>263</v>
      </c>
      <c r="C4" s="243" t="s">
        <v>270</v>
      </c>
    </row>
    <row r="5" spans="2:3">
      <c r="B5" s="244"/>
    </row>
    <row r="6" spans="2:3">
      <c r="B6" s="244" t="s">
        <v>264</v>
      </c>
      <c r="C6" s="248" t="s">
        <v>289</v>
      </c>
    </row>
    <row r="7" spans="2:3">
      <c r="B7" s="244"/>
    </row>
    <row r="8" spans="2:3">
      <c r="B8" s="245" t="s">
        <v>265</v>
      </c>
    </row>
    <row r="9" spans="2:3">
      <c r="B9" s="244"/>
    </row>
    <row r="10" spans="2:3">
      <c r="B10" s="246" t="s">
        <v>136</v>
      </c>
      <c r="C10" s="243" t="s">
        <v>271</v>
      </c>
    </row>
    <row r="11" spans="2:3">
      <c r="B11" s="246" t="s">
        <v>135</v>
      </c>
      <c r="C11" s="243" t="s">
        <v>266</v>
      </c>
    </row>
    <row r="12" spans="2:3">
      <c r="B12" s="246" t="s">
        <v>86</v>
      </c>
      <c r="C12" s="243" t="s">
        <v>272</v>
      </c>
    </row>
    <row r="13" spans="2:3">
      <c r="B13" s="246" t="s">
        <v>346</v>
      </c>
      <c r="C13" s="243" t="s">
        <v>275</v>
      </c>
    </row>
    <row r="14" spans="2:3">
      <c r="B14" s="246" t="s">
        <v>239</v>
      </c>
      <c r="C14" s="243" t="s">
        <v>276</v>
      </c>
    </row>
    <row r="15" spans="2:3">
      <c r="B15" s="246" t="s">
        <v>357</v>
      </c>
      <c r="C15" s="243" t="s">
        <v>277</v>
      </c>
    </row>
    <row r="16" spans="2:3">
      <c r="B16" s="246" t="s">
        <v>299</v>
      </c>
      <c r="C16" s="243" t="s">
        <v>278</v>
      </c>
    </row>
    <row r="17" spans="2:3">
      <c r="B17" s="246" t="s">
        <v>485</v>
      </c>
      <c r="C17" s="243" t="s">
        <v>279</v>
      </c>
    </row>
    <row r="18" spans="2:3">
      <c r="B18" s="246" t="s">
        <v>342</v>
      </c>
      <c r="C18" s="243" t="s">
        <v>280</v>
      </c>
    </row>
    <row r="19" spans="2:3">
      <c r="B19" s="246" t="s">
        <v>359</v>
      </c>
      <c r="C19" s="243" t="s">
        <v>281</v>
      </c>
    </row>
    <row r="20" spans="2:3">
      <c r="B20" s="246" t="s">
        <v>238</v>
      </c>
      <c r="C20" s="243" t="s">
        <v>282</v>
      </c>
    </row>
    <row r="21" spans="2:3">
      <c r="B21" s="246" t="s">
        <v>543</v>
      </c>
      <c r="C21" s="243" t="s">
        <v>283</v>
      </c>
    </row>
    <row r="22" spans="2:3">
      <c r="B22" s="246" t="s">
        <v>355</v>
      </c>
      <c r="C22" s="243" t="s">
        <v>284</v>
      </c>
    </row>
    <row r="23" spans="2:3">
      <c r="B23" s="246" t="s">
        <v>544</v>
      </c>
      <c r="C23" s="243" t="s">
        <v>285</v>
      </c>
    </row>
    <row r="24" spans="2:3">
      <c r="B24" s="246" t="s">
        <v>253</v>
      </c>
      <c r="C24" s="243" t="s">
        <v>286</v>
      </c>
    </row>
    <row r="25" spans="2:3">
      <c r="B25" s="246" t="s">
        <v>240</v>
      </c>
      <c r="C25" s="243" t="s">
        <v>286</v>
      </c>
    </row>
    <row r="26" spans="2:3">
      <c r="B26" s="246" t="s">
        <v>273</v>
      </c>
      <c r="C26" s="243" t="s">
        <v>287</v>
      </c>
    </row>
    <row r="27" spans="2:3">
      <c r="B27" s="246" t="s">
        <v>267</v>
      </c>
      <c r="C27" s="243" t="s">
        <v>268</v>
      </c>
    </row>
    <row r="28" spans="2:3">
      <c r="B28" s="247" t="s">
        <v>274</v>
      </c>
      <c r="C28" s="243" t="s">
        <v>288</v>
      </c>
    </row>
    <row r="29" spans="2:3">
      <c r="B29" s="605">
        <v>2010</v>
      </c>
      <c r="C29" s="606" t="str">
        <f>B29&amp;" Energy statistics of Azerbaijan"</f>
        <v>2010 Energy statistics of Azerbaijan</v>
      </c>
    </row>
    <row r="30" spans="2:3">
      <c r="B30" s="244">
        <v>2015</v>
      </c>
      <c r="C30" s="606" t="str">
        <f>B30&amp;" Energy statistics of Azerbaijan"</f>
        <v>2015 Energy statistics of Azerbaijan</v>
      </c>
    </row>
    <row r="31" spans="2:3">
      <c r="B31" s="244">
        <v>2019</v>
      </c>
      <c r="C31" s="606"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1"/>
  <sheetViews>
    <sheetView showGridLines="0" topLeftCell="A365" zoomScale="85" zoomScaleNormal="85" workbookViewId="0">
      <selection activeCell="E382" sqref="E382"/>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50"/>
    </row>
    <row r="2" spans="2:21">
      <c r="D2" s="50"/>
    </row>
    <row r="3" spans="2:21">
      <c r="D3" s="50"/>
    </row>
    <row r="4" spans="2:21">
      <c r="B4" s="53" t="s">
        <v>18</v>
      </c>
      <c r="C4" s="53"/>
      <c r="D4" s="54"/>
      <c r="E4" s="54"/>
      <c r="F4" s="54"/>
      <c r="G4" s="54"/>
      <c r="H4" s="54"/>
      <c r="I4" s="54"/>
      <c r="O4" s="54"/>
      <c r="P4" s="54"/>
      <c r="R4" s="211" t="s">
        <v>236</v>
      </c>
      <c r="S4" s="211"/>
      <c r="T4" s="211"/>
      <c r="U4" s="211"/>
    </row>
    <row r="5" spans="2:21" ht="15">
      <c r="B5" s="55" t="s">
        <v>19</v>
      </c>
      <c r="C5" s="55" t="s">
        <v>1</v>
      </c>
      <c r="D5" s="55" t="s">
        <v>2</v>
      </c>
      <c r="E5" s="55" t="s">
        <v>3</v>
      </c>
      <c r="F5" s="55" t="s">
        <v>20</v>
      </c>
      <c r="G5" s="55" t="s">
        <v>21</v>
      </c>
      <c r="H5" s="55" t="s">
        <v>22</v>
      </c>
      <c r="I5" s="55" t="s">
        <v>23</v>
      </c>
      <c r="J5" s="55" t="s">
        <v>24</v>
      </c>
      <c r="R5" s="212" t="s">
        <v>237</v>
      </c>
      <c r="S5" s="211"/>
      <c r="T5" s="211"/>
      <c r="U5" s="211"/>
    </row>
    <row r="6" spans="2:21" ht="37" thickBot="1">
      <c r="B6" s="56" t="s">
        <v>28</v>
      </c>
      <c r="C6" s="56" t="s">
        <v>29</v>
      </c>
      <c r="D6" s="56" t="s">
        <v>30</v>
      </c>
      <c r="E6" s="56" t="s">
        <v>31</v>
      </c>
      <c r="F6" s="56" t="s">
        <v>32</v>
      </c>
      <c r="G6" s="56" t="s">
        <v>33</v>
      </c>
      <c r="H6" s="56" t="s">
        <v>34</v>
      </c>
      <c r="I6" s="56" t="s">
        <v>35</v>
      </c>
      <c r="J6" s="56" t="s">
        <v>36</v>
      </c>
      <c r="O6" s="161" t="s">
        <v>14</v>
      </c>
      <c r="P6" s="161" t="s">
        <v>15</v>
      </c>
      <c r="R6" s="110" t="s">
        <v>188</v>
      </c>
      <c r="S6" s="110"/>
      <c r="T6" s="110"/>
      <c r="U6" s="110"/>
    </row>
    <row r="7" spans="2:21" s="34" customFormat="1" ht="15">
      <c r="B7" s="136" t="s">
        <v>25</v>
      </c>
      <c r="C7" s="145"/>
      <c r="D7" s="146" t="str">
        <f>M13 &amp; P$7 &amp; R$7 &amp; VLOOKUP(O$7, $O$50:$P$74,2,FALSE) &amp; "E1"</f>
        <v>INDSDPHBNGAE1</v>
      </c>
      <c r="E7" s="143" t="str">
        <f>+M10 &amp; " " &amp; S$7 &amp; " - " &amp; T$7 &amp; " " &amp; U$7</f>
        <v>Iron &amp; Steel  Heat Medium Temp. Boiler - Nat. Gas Existing 1</v>
      </c>
      <c r="F7" s="136" t="s">
        <v>44</v>
      </c>
      <c r="G7" s="136" t="s">
        <v>46</v>
      </c>
      <c r="H7" s="136"/>
      <c r="I7" s="147"/>
      <c r="J7" s="136"/>
      <c r="K7" s="196"/>
      <c r="L7" s="62" t="s">
        <v>196</v>
      </c>
      <c r="M7" s="131">
        <v>1</v>
      </c>
      <c r="N7" s="25"/>
      <c r="O7" s="157" t="str">
        <f>Commodities!$D$113&amp;","&amp;Commodities!$D$114&amp;","&amp;Commodities!$D$97</f>
        <v>INDSNG1,INDSNG2,INDNGA</v>
      </c>
      <c r="P7" s="157" t="str">
        <f>+Commodities!$AL$6</f>
        <v>DPH</v>
      </c>
      <c r="R7" s="108" t="s">
        <v>189</v>
      </c>
      <c r="S7" s="108" t="s">
        <v>182</v>
      </c>
      <c r="T7" s="108" t="s">
        <v>69</v>
      </c>
      <c r="U7" s="108" t="s">
        <v>181</v>
      </c>
    </row>
    <row r="8" spans="2:21">
      <c r="B8" s="317" t="str">
        <f t="shared" ref="B8:B71" si="0">+IF(ISBLANK(D8),"*","")</f>
        <v/>
      </c>
      <c r="C8" s="136"/>
      <c r="D8" s="146" t="str">
        <f>M13 &amp; P$8 &amp; R$8 &amp; VLOOKUP(O$8, $O$50:$P$74,2,FALSE) &amp; "E1"</f>
        <v>INDSDPHBCOAE1</v>
      </c>
      <c r="E8" s="143" t="str">
        <f>+M10 &amp; " " &amp; S$8 &amp; " - " &amp; T$8 &amp; " " &amp; U$8</f>
        <v>Iron &amp; Steel  Heat Medium Temp. Boiler - Coal Existing 1</v>
      </c>
      <c r="F8" s="136" t="s">
        <v>44</v>
      </c>
      <c r="G8" s="136" t="s">
        <v>46</v>
      </c>
      <c r="H8" s="136"/>
      <c r="I8" s="133"/>
      <c r="J8" s="136"/>
      <c r="K8" s="69"/>
      <c r="L8" s="25" t="s">
        <v>130</v>
      </c>
      <c r="O8" s="157" t="str">
        <f>Commodities!$D$98</f>
        <v>INDCOA</v>
      </c>
      <c r="P8" s="158" t="str">
        <f>+Commodities!$AL$6</f>
        <v>DPH</v>
      </c>
      <c r="R8" s="106" t="str">
        <f t="shared" ref="R8:S10" si="1">+R$7</f>
        <v>B</v>
      </c>
      <c r="S8" s="106" t="str">
        <f t="shared" si="1"/>
        <v>Heat Medium Temp. Boiler</v>
      </c>
      <c r="T8" s="108" t="s">
        <v>55</v>
      </c>
      <c r="U8" s="106" t="str">
        <f>+U$7</f>
        <v>Existing 1</v>
      </c>
    </row>
    <row r="9" spans="2:21">
      <c r="B9" s="317" t="str">
        <f t="shared" si="0"/>
        <v/>
      </c>
      <c r="C9" s="136"/>
      <c r="D9" s="146" t="str">
        <f>M13 &amp; P$9 &amp; R$9 &amp; VLOOKUP(O$9, $O$50:$P$74,2,FALSE) &amp; "E1"</f>
        <v>INDSDPHBDSLE1</v>
      </c>
      <c r="E9" s="143" t="str">
        <f>+M10 &amp; " " &amp; S$9 &amp; " - " &amp; T$9 &amp; " " &amp; U$9</f>
        <v>Iron &amp; Steel  Heat Medium Temp. Boiler - Diesel Existing 1</v>
      </c>
      <c r="F9" s="136" t="s">
        <v>44</v>
      </c>
      <c r="G9" s="136" t="s">
        <v>46</v>
      </c>
      <c r="H9" s="136"/>
      <c r="I9" s="136"/>
      <c r="J9" s="136"/>
      <c r="K9" s="69"/>
      <c r="L9" s="62" t="s">
        <v>198</v>
      </c>
      <c r="M9" s="64" t="s">
        <v>135</v>
      </c>
      <c r="O9" s="157" t="str">
        <f>Commodities!$D$111&amp;","&amp;Commodities!$D$112&amp;","&amp;Commodities!$D$99</f>
        <v>INDDSB1,INDDSB2,INDDSL</v>
      </c>
      <c r="P9" s="158" t="str">
        <f>+Commodities!$AL$6</f>
        <v>DPH</v>
      </c>
      <c r="R9" s="106" t="str">
        <f t="shared" si="1"/>
        <v>B</v>
      </c>
      <c r="S9" s="106" t="str">
        <f t="shared" si="1"/>
        <v>Heat Medium Temp. Boiler</v>
      </c>
      <c r="T9" s="108" t="s">
        <v>68</v>
      </c>
      <c r="U9" s="106" t="str">
        <f>+U$7</f>
        <v>Existing 1</v>
      </c>
    </row>
    <row r="10" spans="2:21">
      <c r="B10" s="317" t="str">
        <f t="shared" si="0"/>
        <v/>
      </c>
      <c r="C10" s="136"/>
      <c r="D10" s="146" t="str">
        <f>M13 &amp; P$10 &amp; R$10 &amp; VLOOKUP(O$10, $O$50:$P$74,2,FALSE) &amp; "E1"</f>
        <v>INDSDPHBWPEE1</v>
      </c>
      <c r="E10" s="143" t="str">
        <f>+M10 &amp; " " &amp; S$10 &amp; " - " &amp; T$10 &amp; " " &amp; U$10</f>
        <v>Iron &amp; Steel  Heat Medium Temp. Boiler - Wood Pellets Existing 1</v>
      </c>
      <c r="F10" s="136" t="s">
        <v>44</v>
      </c>
      <c r="G10" s="136" t="s">
        <v>46</v>
      </c>
      <c r="H10" s="136"/>
      <c r="I10" s="136"/>
      <c r="J10" s="136"/>
      <c r="K10" s="69"/>
      <c r="L10" s="62" t="s">
        <v>201</v>
      </c>
      <c r="M10" s="70" t="str">
        <f>+INDEX(Commodities!$X$6:$X$17,M7)</f>
        <v xml:space="preserve">Iron &amp; Steel </v>
      </c>
      <c r="O10" s="157" t="str">
        <f>Commodities!$D$100</f>
        <v>INDWPE</v>
      </c>
      <c r="P10" s="158" t="str">
        <f>+Commodities!$AL$6</f>
        <v>DPH</v>
      </c>
      <c r="R10" s="106" t="str">
        <f t="shared" si="1"/>
        <v>B</v>
      </c>
      <c r="S10" s="106" t="str">
        <f t="shared" si="1"/>
        <v>Heat Medium Temp. Boiler</v>
      </c>
      <c r="T10" s="108" t="s">
        <v>186</v>
      </c>
      <c r="U10" s="106" t="str">
        <f>+U$7</f>
        <v>Existing 1</v>
      </c>
    </row>
    <row r="11" spans="2:21">
      <c r="B11" s="136" t="str">
        <f t="shared" si="0"/>
        <v>*</v>
      </c>
      <c r="C11" s="136"/>
      <c r="D11" s="146"/>
      <c r="E11" s="143"/>
      <c r="F11" s="136"/>
      <c r="G11" s="136"/>
      <c r="H11" s="136"/>
      <c r="I11" s="136"/>
      <c r="J11" s="136"/>
      <c r="K11" s="69"/>
      <c r="L11" s="62" t="s">
        <v>130</v>
      </c>
      <c r="M11" s="70" t="str">
        <f>+INDEX(Commodities!$Y$6:$Y$17,M7)</f>
        <v>01 Iron and steel</v>
      </c>
      <c r="O11" s="157" t="str">
        <f>Commodities!$D$101</f>
        <v>INDWCH</v>
      </c>
      <c r="P11" s="158"/>
      <c r="R11" s="106"/>
      <c r="S11" s="106"/>
      <c r="T11" s="106"/>
      <c r="U11" s="106"/>
    </row>
    <row r="12" spans="2:21">
      <c r="B12" s="317" t="str">
        <f t="shared" si="0"/>
        <v/>
      </c>
      <c r="C12" s="136"/>
      <c r="D12" s="146" t="str">
        <f>M13 &amp; P$12 &amp; R$12 &amp; VLOOKUP(O$12, $O$50:$P$74,2,FALSE) &amp; "E1"</f>
        <v>INDSDPHBBGAE1</v>
      </c>
      <c r="E12" s="143" t="str">
        <f>+M10 &amp; " " &amp; S$12 &amp; " - " &amp; T$12 &amp; " " &amp; U$12</f>
        <v>Iron &amp; Steel  Heat Medium Temp. Boiler - Biogas Existing 1</v>
      </c>
      <c r="F12" s="136" t="s">
        <v>44</v>
      </c>
      <c r="G12" s="136" t="s">
        <v>46</v>
      </c>
      <c r="H12" s="136"/>
      <c r="I12" s="136"/>
      <c r="J12" s="136"/>
      <c r="K12" s="69"/>
      <c r="L12" s="62" t="s">
        <v>197</v>
      </c>
      <c r="M12" s="70" t="str">
        <f>+INDEX(Commodities!$U$6:$U$17,M7)</f>
        <v>IS</v>
      </c>
      <c r="O12" s="157" t="str">
        <f>Commodities!$D$102</f>
        <v>INDBGA</v>
      </c>
      <c r="P12" s="157" t="str">
        <f>+Commodities!$AL$6</f>
        <v>DPH</v>
      </c>
      <c r="R12" s="106" t="str">
        <f t="shared" ref="R12:S17" si="2">+R$7</f>
        <v>B</v>
      </c>
      <c r="S12" s="106" t="str">
        <f t="shared" si="2"/>
        <v>Heat Medium Temp. Boiler</v>
      </c>
      <c r="T12" s="108" t="s">
        <v>77</v>
      </c>
      <c r="U12" s="106" t="str">
        <f>+U$7</f>
        <v>Existing 1</v>
      </c>
    </row>
    <row r="13" spans="2:21">
      <c r="B13" s="317" t="str">
        <f t="shared" si="0"/>
        <v/>
      </c>
      <c r="C13" s="136"/>
      <c r="D13" s="146" t="str">
        <f>M13 &amp; P$13 &amp; R$13 &amp; VLOOKUP(O$13, $O$50:$P$74,2,FALSE) &amp; "E1"</f>
        <v>INDSDPHBHFOE1</v>
      </c>
      <c r="E13" s="143" t="str">
        <f>+M10 &amp; " " &amp; S$13 &amp; " - " &amp; T$13 &amp; " " &amp; U$13</f>
        <v>Iron &amp; Steel  Heat Medium Temp. Boiler - Heavy Fuel Oil Existing 1</v>
      </c>
      <c r="F13" s="136" t="s">
        <v>44</v>
      </c>
      <c r="G13" s="136" t="s">
        <v>46</v>
      </c>
      <c r="H13" s="136"/>
      <c r="I13" s="136"/>
      <c r="J13" s="136"/>
      <c r="K13" s="69"/>
      <c r="L13" s="62" t="s">
        <v>197</v>
      </c>
      <c r="M13" s="70" t="str">
        <f>+INDEX(Commodities!$W$6:$W$17,M7)</f>
        <v>INDS</v>
      </c>
      <c r="O13" s="157" t="str">
        <f>Commodities!$D$103</f>
        <v>INDHFO</v>
      </c>
      <c r="P13" s="157" t="str">
        <f>+Commodities!$AL$6</f>
        <v>DPH</v>
      </c>
      <c r="R13" s="106" t="str">
        <f t="shared" si="2"/>
        <v>B</v>
      </c>
      <c r="S13" s="106" t="str">
        <f t="shared" si="2"/>
        <v>Heat Medium Temp. Boiler</v>
      </c>
      <c r="T13" s="108" t="s">
        <v>113</v>
      </c>
      <c r="U13" s="106" t="str">
        <f>+U$7</f>
        <v>Existing 1</v>
      </c>
    </row>
    <row r="14" spans="2:21">
      <c r="B14" s="317" t="str">
        <f t="shared" si="0"/>
        <v/>
      </c>
      <c r="C14" s="136"/>
      <c r="D14" s="146" t="str">
        <f>M13 &amp; P$14 &amp; R$14 &amp; VLOOKUP(O$14, $O$50:$P$74,2,FALSE) &amp; "E1"</f>
        <v>INDSDPHBLPGE1</v>
      </c>
      <c r="E14" s="143" t="str">
        <f>+M10 &amp; " " &amp; S$14 &amp; " - " &amp; T$14 &amp; " " &amp; U$14</f>
        <v>Iron &amp; Steel  Heat Medium Temp. Boiler - Liquified Petroleum Gas Existing 1</v>
      </c>
      <c r="F14" s="136" t="s">
        <v>44</v>
      </c>
      <c r="G14" s="136" t="s">
        <v>46</v>
      </c>
      <c r="H14" s="136"/>
      <c r="I14" s="136"/>
      <c r="J14" s="136"/>
      <c r="K14" s="69"/>
      <c r="O14" s="157" t="str">
        <f>Commodities!$D$104</f>
        <v>INDLPG</v>
      </c>
      <c r="P14" s="157" t="str">
        <f>+Commodities!$AL$6</f>
        <v>DPH</v>
      </c>
      <c r="R14" s="106" t="str">
        <f t="shared" si="2"/>
        <v>B</v>
      </c>
      <c r="S14" s="106" t="str">
        <f t="shared" si="2"/>
        <v>Heat Medium Temp. Boiler</v>
      </c>
      <c r="T14" s="108" t="s">
        <v>290</v>
      </c>
      <c r="U14" s="106" t="str">
        <f>+U$7</f>
        <v>Existing 1</v>
      </c>
    </row>
    <row r="15" spans="2:21">
      <c r="B15" s="317" t="str">
        <f t="shared" si="0"/>
        <v/>
      </c>
      <c r="C15" s="136"/>
      <c r="D15" s="146" t="str">
        <f>M13 &amp; P$15 &amp; R$15 &amp; VLOOKUP(O$15, $O$50:$P$74,2,FALSE) &amp; "E1"</f>
        <v>INDSDPHBWSTE1</v>
      </c>
      <c r="E15" s="143" t="str">
        <f>+M10 &amp; " " &amp; S$15 &amp; " - " &amp; T$15 &amp; " " &amp; U$15</f>
        <v>Iron &amp; Steel  Heat Medium Temp. Boiler - Waste Existing 1</v>
      </c>
      <c r="F15" s="136" t="s">
        <v>44</v>
      </c>
      <c r="G15" s="136" t="s">
        <v>46</v>
      </c>
      <c r="H15" s="136"/>
      <c r="I15" s="136"/>
      <c r="J15" s="136"/>
      <c r="K15" s="69"/>
      <c r="O15" s="157" t="str">
        <f>Commodities!$D$105</f>
        <v>INDWST</v>
      </c>
      <c r="P15" s="157" t="str">
        <f>+Commodities!$AL$6</f>
        <v>DPH</v>
      </c>
      <c r="R15" s="106" t="str">
        <f t="shared" si="2"/>
        <v>B</v>
      </c>
      <c r="S15" s="106" t="str">
        <f t="shared" si="2"/>
        <v>Heat Medium Temp. Boiler</v>
      </c>
      <c r="T15" s="108" t="s">
        <v>80</v>
      </c>
      <c r="U15" s="106" t="str">
        <f>+U$7</f>
        <v>Existing 1</v>
      </c>
    </row>
    <row r="16" spans="2:21">
      <c r="B16" s="317" t="str">
        <f t="shared" si="0"/>
        <v/>
      </c>
      <c r="C16" s="136"/>
      <c r="D16" s="146" t="str">
        <f>M13 &amp; P$16 &amp; R$16 &amp; VLOOKUP(O$16, $O$50:$P$74,2,FALSE) &amp; "E1"</f>
        <v>INDSDPHBHETE1</v>
      </c>
      <c r="E16" s="143" t="str">
        <f>+M10 &amp; " " &amp; S$16 &amp; " - " &amp; T$16 &amp; " " &amp; U$16</f>
        <v>Iron &amp; Steel  Heat Medium Temp. Boiler - Dist. Heat Existing 1</v>
      </c>
      <c r="F16" s="136" t="s">
        <v>44</v>
      </c>
      <c r="G16" s="136" t="s">
        <v>46</v>
      </c>
      <c r="H16" s="136"/>
      <c r="I16" s="136"/>
      <c r="J16" s="136"/>
      <c r="K16" s="69"/>
      <c r="O16" s="157" t="str">
        <f>Commodities!$D$106</f>
        <v>INDHCE</v>
      </c>
      <c r="P16" s="157" t="str">
        <f>+Commodities!$AL$6</f>
        <v>DPH</v>
      </c>
      <c r="R16" s="106" t="str">
        <f t="shared" si="2"/>
        <v>B</v>
      </c>
      <c r="S16" s="106" t="str">
        <f t="shared" si="2"/>
        <v>Heat Medium Temp. Boiler</v>
      </c>
      <c r="T16" s="108" t="s">
        <v>192</v>
      </c>
      <c r="U16" s="106" t="str">
        <f>+U$7</f>
        <v>Existing 1</v>
      </c>
    </row>
    <row r="17" spans="2:21">
      <c r="B17" s="317" t="str">
        <f t="shared" si="0"/>
        <v/>
      </c>
      <c r="C17" s="136"/>
      <c r="D17" s="146" t="str">
        <f>M13 &amp; P$17 &amp; R$17 &amp; VLOOKUP(O$17, $O$50:$P$74,2,FALSE) &amp; "E2"</f>
        <v>INDSDPHBHETE2</v>
      </c>
      <c r="E17" s="143" t="str">
        <f>+M10 &amp; " " &amp; S$17 &amp; " - " &amp; T$17 &amp; " " &amp; U$17</f>
        <v>Iron &amp; Steel  Heat Medium Temp. Boiler - Dist. Heat Existing 2</v>
      </c>
      <c r="F17" s="317" t="s">
        <v>44</v>
      </c>
      <c r="G17" s="317" t="s">
        <v>46</v>
      </c>
      <c r="H17" s="136"/>
      <c r="I17" s="136"/>
      <c r="J17" s="136"/>
      <c r="K17" s="69"/>
      <c r="O17" s="157" t="str">
        <f>Commodities!$D$108</f>
        <v>INDHDE</v>
      </c>
      <c r="P17" s="158" t="s">
        <v>527</v>
      </c>
      <c r="R17" s="106" t="s">
        <v>189</v>
      </c>
      <c r="S17" s="106" t="str">
        <f t="shared" si="2"/>
        <v>Heat Medium Temp. Boiler</v>
      </c>
      <c r="T17" s="108" t="s">
        <v>192</v>
      </c>
      <c r="U17" s="106" t="s">
        <v>579</v>
      </c>
    </row>
    <row r="18" spans="2:21">
      <c r="B18" s="317" t="str">
        <f t="shared" si="0"/>
        <v/>
      </c>
      <c r="C18" s="136"/>
      <c r="D18" s="144" t="str">
        <f>M13 &amp; P$18 &amp; R$18 &amp; VLOOKUP(O$18, $O$50:$P$74,2,FALSE) &amp; "E1"</f>
        <v>INDSDPHBELCE1</v>
      </c>
      <c r="E18" s="144" t="str">
        <f>+M10 &amp; " " &amp; S$18 &amp; " - " &amp; T$18 &amp; " " &amp; U$18</f>
        <v>Iron &amp; Steel  Heat Medium Temp. Boiler - Electricity Existing 1</v>
      </c>
      <c r="F18" s="139" t="s">
        <v>44</v>
      </c>
      <c r="G18" s="139" t="s">
        <v>46</v>
      </c>
      <c r="H18" s="139"/>
      <c r="I18" s="139"/>
      <c r="J18" s="139"/>
      <c r="K18" s="69"/>
      <c r="O18" s="159" t="str">
        <f>Commodities!$D$109</f>
        <v>INDELC</v>
      </c>
      <c r="P18" s="159" t="str">
        <f>+Commodities!$AL$6</f>
        <v>DPH</v>
      </c>
      <c r="R18" s="107" t="str">
        <f>+R$7</f>
        <v>B</v>
      </c>
      <c r="S18" s="107" t="str">
        <f>+S$7</f>
        <v>Heat Medium Temp. Boiler</v>
      </c>
      <c r="T18" s="109" t="s">
        <v>50</v>
      </c>
      <c r="U18" s="107" t="str">
        <f t="shared" ref="U18:U31" si="3">+U$7</f>
        <v>Existing 1</v>
      </c>
    </row>
    <row r="19" spans="2:21">
      <c r="B19" s="317" t="str">
        <f t="shared" si="0"/>
        <v/>
      </c>
      <c r="C19" s="136"/>
      <c r="D19" s="143" t="str">
        <f>M13 &amp; P$19 &amp; R$19 &amp; VLOOKUP(O$19, $O$50:$P$74,2,FALSE) &amp; "E1"</f>
        <v>INDSDCOBNGAE1</v>
      </c>
      <c r="E19" s="143" t="str">
        <f>+M10 &amp; " " &amp; S$19 &amp; " - " &amp; T$19 &amp; " " &amp; U$19</f>
        <v>Iron &amp; Steel  Heat High Temp. Boiler - Nat. Gas Existing 1</v>
      </c>
      <c r="F19" s="136" t="s">
        <v>44</v>
      </c>
      <c r="G19" s="136" t="s">
        <v>46</v>
      </c>
      <c r="H19" s="136"/>
      <c r="I19" s="136"/>
      <c r="J19" s="136"/>
      <c r="K19" s="69"/>
      <c r="O19" s="157" t="str">
        <f>Commodities!$D$113&amp;","&amp;Commodities!$D$114&amp;","&amp;Commodities!$D$97</f>
        <v>INDSNG1,INDSNG2,INDNGA</v>
      </c>
      <c r="P19" s="157" t="str">
        <f>+Commodities!$AL$7</f>
        <v>DCO</v>
      </c>
      <c r="R19" s="106" t="str">
        <f t="shared" ref="R19:R31" si="4">+R$7</f>
        <v>B</v>
      </c>
      <c r="S19" s="108" t="s">
        <v>183</v>
      </c>
      <c r="T19" s="108" t="str">
        <f>+T$7</f>
        <v>Nat. Gas</v>
      </c>
      <c r="U19" s="106" t="str">
        <f t="shared" si="3"/>
        <v>Existing 1</v>
      </c>
    </row>
    <row r="20" spans="2:21">
      <c r="B20" s="317" t="str">
        <f t="shared" si="0"/>
        <v/>
      </c>
      <c r="C20" s="136"/>
      <c r="D20" s="143" t="str">
        <f>M13 &amp; P$20 &amp; R$20 &amp; VLOOKUP(O$20, $O$50:$P$74,2,FALSE) &amp; "E1"</f>
        <v>INDSDCOBCOAE1</v>
      </c>
      <c r="E20" s="143" t="str">
        <f>+M10 &amp; " " &amp; S$20 &amp; " - " &amp; T$20 &amp; " " &amp; U$20</f>
        <v>Iron &amp; Steel  Heat High Temp. Boiler - Coal Existing 1</v>
      </c>
      <c r="F20" s="136" t="s">
        <v>44</v>
      </c>
      <c r="G20" s="136" t="s">
        <v>46</v>
      </c>
      <c r="H20" s="136"/>
      <c r="I20" s="136"/>
      <c r="J20" s="136"/>
      <c r="K20" s="69"/>
      <c r="O20" s="157" t="str">
        <f>Commodities!$D$98</f>
        <v>INDCOA</v>
      </c>
      <c r="P20" s="157" t="str">
        <f>+Commodities!$AL$7</f>
        <v>DCO</v>
      </c>
      <c r="R20" s="106" t="str">
        <f t="shared" si="4"/>
        <v>B</v>
      </c>
      <c r="S20" s="106" t="str">
        <f>$S$19</f>
        <v>Heat High Temp. Boiler</v>
      </c>
      <c r="T20" s="108" t="s">
        <v>55</v>
      </c>
      <c r="U20" s="106" t="str">
        <f>+U$7</f>
        <v>Existing 1</v>
      </c>
    </row>
    <row r="21" spans="2:21">
      <c r="B21" s="317" t="str">
        <f t="shared" si="0"/>
        <v/>
      </c>
      <c r="C21" s="136"/>
      <c r="D21" s="143" t="str">
        <f>M13 &amp; P$21 &amp; R$21 &amp; VLOOKUP(O$21, $O$50:$P$74,2,FALSE) &amp; "E1"</f>
        <v>INDSDCOBDSLE1</v>
      </c>
      <c r="E21" s="143" t="str">
        <f>+M10 &amp; " " &amp; S$21 &amp; " - " &amp; T$21 &amp; " " &amp; U$21</f>
        <v>Iron &amp; Steel  Heat High Temp. Boiler - Diesel Existing 1</v>
      </c>
      <c r="F21" s="136" t="s">
        <v>44</v>
      </c>
      <c r="G21" s="136" t="s">
        <v>46</v>
      </c>
      <c r="H21" s="136"/>
      <c r="I21" s="136"/>
      <c r="J21" s="136"/>
      <c r="K21" s="69"/>
      <c r="O21" s="157" t="str">
        <f>Commodities!$D$111&amp;","&amp;Commodities!$D$112&amp;","&amp;Commodities!$D$99</f>
        <v>INDDSB1,INDDSB2,INDDSL</v>
      </c>
      <c r="P21" s="157" t="str">
        <f>+Commodities!$AL$7</f>
        <v>DCO</v>
      </c>
      <c r="R21" s="106" t="str">
        <f t="shared" si="4"/>
        <v>B</v>
      </c>
      <c r="S21" s="106" t="str">
        <f t="shared" ref="S21:S27" si="5">$S$19</f>
        <v>Heat High Temp. Boiler</v>
      </c>
      <c r="T21" s="108" t="s">
        <v>68</v>
      </c>
      <c r="U21" s="106" t="str">
        <f>+U$7</f>
        <v>Existing 1</v>
      </c>
    </row>
    <row r="22" spans="2:21">
      <c r="B22" s="317" t="str">
        <f t="shared" si="0"/>
        <v/>
      </c>
      <c r="C22" s="136"/>
      <c r="D22" s="143" t="str">
        <f>M13 &amp; P$22 &amp; R$22 &amp; VLOOKUP(O$22, $O$50:$P$74,2,FALSE) &amp; "E1"</f>
        <v>INDSDCOBWPEE1</v>
      </c>
      <c r="E22" s="143" t="str">
        <f>+M10 &amp; " " &amp; S$22 &amp; " - " &amp; T$22 &amp; " " &amp; U$22</f>
        <v>Iron &amp; Steel  Heat High Temp. Boiler - Wood Pellets Existing 1</v>
      </c>
      <c r="F22" s="136" t="s">
        <v>44</v>
      </c>
      <c r="G22" s="136" t="s">
        <v>46</v>
      </c>
      <c r="H22" s="136"/>
      <c r="I22" s="136"/>
      <c r="J22" s="136"/>
      <c r="K22" s="69"/>
      <c r="O22" s="157" t="str">
        <f>Commodities!$D$100</f>
        <v>INDWPE</v>
      </c>
      <c r="P22" s="157" t="str">
        <f>+Commodities!$AL$7</f>
        <v>DCO</v>
      </c>
      <c r="R22" s="106" t="str">
        <f t="shared" si="4"/>
        <v>B</v>
      </c>
      <c r="S22" s="106" t="str">
        <f t="shared" si="5"/>
        <v>Heat High Temp. Boiler</v>
      </c>
      <c r="T22" s="108" t="s">
        <v>186</v>
      </c>
      <c r="U22" s="106" t="str">
        <f>+U$7</f>
        <v>Existing 1</v>
      </c>
    </row>
    <row r="23" spans="2:21">
      <c r="B23" s="317" t="str">
        <f t="shared" si="0"/>
        <v>*</v>
      </c>
      <c r="C23" s="136"/>
      <c r="D23" s="143"/>
      <c r="E23" s="143"/>
      <c r="F23" s="136"/>
      <c r="G23" s="136"/>
      <c r="H23" s="136"/>
      <c r="I23" s="136"/>
      <c r="J23" s="136"/>
      <c r="K23" s="69"/>
      <c r="O23" s="157" t="str">
        <f>Commodities!$D$101</f>
        <v>INDWCH</v>
      </c>
      <c r="P23" s="157"/>
      <c r="R23" s="106"/>
      <c r="S23" s="106"/>
      <c r="T23" s="108"/>
      <c r="U23" s="106"/>
    </row>
    <row r="24" spans="2:21">
      <c r="B24" s="317" t="str">
        <f t="shared" si="0"/>
        <v/>
      </c>
      <c r="C24" s="136"/>
      <c r="D24" s="143" t="str">
        <f>M13 &amp; P$24 &amp; R$24 &amp; VLOOKUP(O$24, $O$50:$P$74,2,FALSE) &amp; "E1"</f>
        <v>INDSDCOBHFOE1</v>
      </c>
      <c r="E24" s="143" t="str">
        <f>+M10 &amp; " " &amp; S$24 &amp; " - " &amp; T$24 &amp; " " &amp; U$24</f>
        <v>Iron &amp; Steel  Heat High Temp. Boiler - Heavy Fuel Oil Existing 1</v>
      </c>
      <c r="F24" s="136" t="s">
        <v>44</v>
      </c>
      <c r="G24" s="136" t="s">
        <v>46</v>
      </c>
      <c r="H24" s="136"/>
      <c r="I24" s="136"/>
      <c r="J24" s="136"/>
      <c r="K24" s="69"/>
      <c r="O24" s="157" t="str">
        <f>Commodities!$D$103</f>
        <v>INDHFO</v>
      </c>
      <c r="P24" s="157" t="str">
        <f>+Commodities!$AL$7</f>
        <v>DCO</v>
      </c>
      <c r="R24" s="106" t="str">
        <f t="shared" si="4"/>
        <v>B</v>
      </c>
      <c r="S24" s="106" t="str">
        <f t="shared" si="5"/>
        <v>Heat High Temp. Boiler</v>
      </c>
      <c r="T24" s="108" t="s">
        <v>113</v>
      </c>
      <c r="U24" s="106" t="str">
        <f>+U$7</f>
        <v>Existing 1</v>
      </c>
    </row>
    <row r="25" spans="2:21">
      <c r="B25" s="317" t="str">
        <f t="shared" si="0"/>
        <v/>
      </c>
      <c r="C25" s="136"/>
      <c r="D25" s="143" t="str">
        <f>M13 &amp; P$25 &amp; R$25 &amp; VLOOKUP(O$25, $O$50:$P$74,2,FALSE) &amp; "E1"</f>
        <v>INDSDCOBLPGE1</v>
      </c>
      <c r="E25" s="143" t="str">
        <f>+M10 &amp; " " &amp; S$25 &amp; " - " &amp; T$25 &amp; " " &amp; U$25</f>
        <v>Iron &amp; Steel  Heat High Temp. Boiler - Liquified Petroleum Gas Existing 1</v>
      </c>
      <c r="F25" s="136" t="s">
        <v>44</v>
      </c>
      <c r="G25" s="136" t="s">
        <v>46</v>
      </c>
      <c r="H25" s="136"/>
      <c r="I25" s="136"/>
      <c r="J25" s="136"/>
      <c r="K25" s="69"/>
      <c r="O25" s="157" t="str">
        <f>Commodities!$D$104</f>
        <v>INDLPG</v>
      </c>
      <c r="P25" s="157" t="str">
        <f>+Commodities!$AL$7</f>
        <v>DCO</v>
      </c>
      <c r="R25" s="106" t="str">
        <f t="shared" si="4"/>
        <v>B</v>
      </c>
      <c r="S25" s="106" t="str">
        <f t="shared" si="5"/>
        <v>Heat High Temp. Boiler</v>
      </c>
      <c r="T25" s="108" t="s">
        <v>290</v>
      </c>
      <c r="U25" s="106" t="str">
        <f>+U$7</f>
        <v>Existing 1</v>
      </c>
    </row>
    <row r="26" spans="2:21">
      <c r="B26" s="317" t="str">
        <f t="shared" si="0"/>
        <v/>
      </c>
      <c r="C26" s="136"/>
      <c r="D26" s="143" t="str">
        <f>M13 &amp; P$26 &amp; R$26 &amp; VLOOKUP(O$26, $O$50:$P$74,2,FALSE) &amp; "E1"</f>
        <v>INDSDCOBWSTE1</v>
      </c>
      <c r="E26" s="143" t="str">
        <f>+M10 &amp; " " &amp; S$26 &amp; " - " &amp; T$26 &amp; " " &amp; U$26</f>
        <v>Iron &amp; Steel  Heat High Temp. Boiler - Waste Existing 1</v>
      </c>
      <c r="F26" s="136" t="s">
        <v>44</v>
      </c>
      <c r="G26" s="136" t="s">
        <v>46</v>
      </c>
      <c r="H26" s="136"/>
      <c r="I26" s="136"/>
      <c r="J26" s="136"/>
      <c r="K26" s="69"/>
      <c r="O26" s="157" t="s">
        <v>84</v>
      </c>
      <c r="P26" s="157" t="str">
        <f>+Commodities!$AL$7</f>
        <v>DCO</v>
      </c>
      <c r="R26" s="106" t="str">
        <f t="shared" si="4"/>
        <v>B</v>
      </c>
      <c r="S26" s="106" t="str">
        <f t="shared" si="5"/>
        <v>Heat High Temp. Boiler</v>
      </c>
      <c r="T26" s="108" t="s">
        <v>80</v>
      </c>
      <c r="U26" s="106" t="s">
        <v>181</v>
      </c>
    </row>
    <row r="27" spans="2:21">
      <c r="B27" s="317" t="str">
        <f t="shared" si="0"/>
        <v/>
      </c>
      <c r="C27" s="136"/>
      <c r="D27" s="144" t="str">
        <f>M13 &amp; P$27 &amp; R$27 &amp; VLOOKUP(O$27, $O$50:$P$74,2,FALSE) &amp; "E1"</f>
        <v>INDSDCOBELCE1</v>
      </c>
      <c r="E27" s="144" t="str">
        <f>+M10 &amp; " " &amp; S$27 &amp; " - " &amp; T$27 &amp; " " &amp; U$27</f>
        <v>Iron &amp; Steel  Heat High Temp. Boiler - Electricity Existing 1</v>
      </c>
      <c r="F27" s="139" t="s">
        <v>44</v>
      </c>
      <c r="G27" s="139" t="s">
        <v>46</v>
      </c>
      <c r="H27" s="139"/>
      <c r="I27" s="139"/>
      <c r="J27" s="139"/>
      <c r="K27" s="69"/>
      <c r="O27" s="159" t="s">
        <v>74</v>
      </c>
      <c r="P27" s="159" t="str">
        <f>+Commodities!$AL$7</f>
        <v>DCO</v>
      </c>
      <c r="R27" s="107" t="str">
        <f t="shared" si="4"/>
        <v>B</v>
      </c>
      <c r="S27" s="107" t="str">
        <f t="shared" si="5"/>
        <v>Heat High Temp. Boiler</v>
      </c>
      <c r="T27" s="109" t="s">
        <v>50</v>
      </c>
      <c r="U27" s="107" t="s">
        <v>181</v>
      </c>
    </row>
    <row r="28" spans="2:21">
      <c r="B28" s="317" t="str">
        <f t="shared" si="0"/>
        <v/>
      </c>
      <c r="C28" s="136"/>
      <c r="D28" s="146" t="str">
        <f>M13 &amp; P$28 &amp; R$28 &amp; VLOOKUP(O$28, $O$50:$P$74,2,FALSE) &amp; "E1"</f>
        <v>INDSDSHBNGAE1</v>
      </c>
      <c r="E28" s="143" t="str">
        <f>+M10 &amp; " " &amp; S$28 &amp; " - " &amp; T$28 &amp; " " &amp; U$28</f>
        <v>Iron &amp; Steel  Heat Room Boiler - Nat. Gas Existing 1</v>
      </c>
      <c r="F28" s="136" t="s">
        <v>44</v>
      </c>
      <c r="G28" s="136" t="s">
        <v>46</v>
      </c>
      <c r="H28" s="136"/>
      <c r="I28" s="136"/>
      <c r="J28" s="136"/>
      <c r="K28" s="69"/>
      <c r="O28" s="157" t="str">
        <f>Commodities!$D$113&amp;","&amp;Commodities!$D$114&amp;","&amp;Commodities!$D$97</f>
        <v>INDSNG1,INDSNG2,INDNGA</v>
      </c>
      <c r="P28" s="157" t="str">
        <f>+Commodities!$AL$8</f>
        <v>DSH</v>
      </c>
      <c r="R28" s="106" t="str">
        <f t="shared" si="4"/>
        <v>B</v>
      </c>
      <c r="S28" s="108" t="s">
        <v>187</v>
      </c>
      <c r="T28" s="106" t="str">
        <f>+T7</f>
        <v>Nat. Gas</v>
      </c>
      <c r="U28" s="106" t="str">
        <f t="shared" si="3"/>
        <v>Existing 1</v>
      </c>
    </row>
    <row r="29" spans="2:21">
      <c r="B29" s="317" t="str">
        <f t="shared" si="0"/>
        <v/>
      </c>
      <c r="C29" s="136"/>
      <c r="D29" s="146" t="str">
        <f>M13 &amp; P$29 &amp; R$29 &amp; VLOOKUP(O$29, $O$50:$P$74,2,FALSE) &amp; "E1"</f>
        <v>INDSDSHBCOAE1</v>
      </c>
      <c r="E29" s="143" t="str">
        <f>+M10 &amp; " " &amp; S$29 &amp; " - " &amp; T$29 &amp; " " &amp; U$29</f>
        <v>Iron &amp; Steel  Heat Room Boiler - Coal Existing 1</v>
      </c>
      <c r="F29" s="136" t="s">
        <v>44</v>
      </c>
      <c r="G29" s="136" t="s">
        <v>46</v>
      </c>
      <c r="H29" s="136"/>
      <c r="I29" s="136"/>
      <c r="J29" s="136"/>
      <c r="K29" s="69"/>
      <c r="O29" s="157" t="str">
        <f>Commodities!$D$98</f>
        <v>INDCOA</v>
      </c>
      <c r="P29" s="157" t="str">
        <f>+Commodities!$AL$8</f>
        <v>DSH</v>
      </c>
      <c r="R29" s="106" t="str">
        <f t="shared" si="4"/>
        <v>B</v>
      </c>
      <c r="S29" s="106" t="str">
        <f>+S$28</f>
        <v>Heat Room Boiler</v>
      </c>
      <c r="T29" s="106" t="str">
        <f>+T8</f>
        <v>Coal</v>
      </c>
      <c r="U29" s="106" t="str">
        <f t="shared" si="3"/>
        <v>Existing 1</v>
      </c>
    </row>
    <row r="30" spans="2:21">
      <c r="B30" s="317" t="str">
        <f t="shared" si="0"/>
        <v/>
      </c>
      <c r="C30" s="136"/>
      <c r="D30" s="146" t="str">
        <f>M13 &amp; P$30 &amp; R$30 &amp; VLOOKUP(O$30, $O$50:$P$74,2,FALSE) &amp; "E1"</f>
        <v>INDSDSHBDSLE1</v>
      </c>
      <c r="E30" s="143" t="str">
        <f>+M10 &amp; " " &amp; S$30 &amp; " - " &amp; T$30 &amp; " " &amp; U$30</f>
        <v>Iron &amp; Steel  Heat Room Boiler - Diesel Existing 1</v>
      </c>
      <c r="F30" s="136" t="s">
        <v>44</v>
      </c>
      <c r="G30" s="136" t="s">
        <v>46</v>
      </c>
      <c r="H30" s="136"/>
      <c r="I30" s="136"/>
      <c r="J30" s="136"/>
      <c r="K30" s="69"/>
      <c r="O30" s="157" t="str">
        <f>Commodities!$D$111&amp;","&amp;Commodities!$D$112&amp;","&amp;Commodities!$D$99</f>
        <v>INDDSB1,INDDSB2,INDDSL</v>
      </c>
      <c r="P30" s="157" t="str">
        <f>+Commodities!$AL$8</f>
        <v>DSH</v>
      </c>
      <c r="R30" s="106" t="str">
        <f t="shared" si="4"/>
        <v>B</v>
      </c>
      <c r="S30" s="106" t="str">
        <f>+S$28</f>
        <v>Heat Room Boiler</v>
      </c>
      <c r="T30" s="106" t="str">
        <f>+T9</f>
        <v>Diesel</v>
      </c>
      <c r="U30" s="106" t="str">
        <f t="shared" si="3"/>
        <v>Existing 1</v>
      </c>
    </row>
    <row r="31" spans="2:21">
      <c r="B31" s="317" t="str">
        <f t="shared" si="0"/>
        <v/>
      </c>
      <c r="C31" s="136"/>
      <c r="D31" s="146" t="str">
        <f>M13 &amp; P$31 &amp; R$31 &amp; VLOOKUP(O$31, $O$50:$P$74,2,FALSE) &amp; "E1"</f>
        <v>INDSDSHBWPEE1</v>
      </c>
      <c r="E31" s="143" t="str">
        <f>+M10 &amp; " " &amp; S$31 &amp; " - " &amp; T$31 &amp; " " &amp; U$31</f>
        <v>Iron &amp; Steel  Heat Room Boiler - Wood Pellets Existing 1</v>
      </c>
      <c r="F31" s="136" t="s">
        <v>44</v>
      </c>
      <c r="G31" s="136" t="s">
        <v>46</v>
      </c>
      <c r="H31" s="136"/>
      <c r="I31" s="136"/>
      <c r="J31" s="136"/>
      <c r="K31" s="69"/>
      <c r="O31" s="157" t="str">
        <f>Commodities!$D$100</f>
        <v>INDWPE</v>
      </c>
      <c r="P31" s="157" t="str">
        <f>+Commodities!$AL$8</f>
        <v>DSH</v>
      </c>
      <c r="R31" s="106" t="str">
        <f t="shared" si="4"/>
        <v>B</v>
      </c>
      <c r="S31" s="106" t="str">
        <f>+S$28</f>
        <v>Heat Room Boiler</v>
      </c>
      <c r="T31" s="106" t="str">
        <f>+T10</f>
        <v>Wood Pellets</v>
      </c>
      <c r="U31" s="106" t="str">
        <f t="shared" si="3"/>
        <v>Existing 1</v>
      </c>
    </row>
    <row r="32" spans="2:21">
      <c r="B32" s="317" t="str">
        <f t="shared" si="0"/>
        <v>*</v>
      </c>
      <c r="C32" s="136"/>
      <c r="D32" s="146"/>
      <c r="E32" s="143"/>
      <c r="F32" s="136"/>
      <c r="G32" s="136"/>
      <c r="H32" s="136"/>
      <c r="I32" s="136"/>
      <c r="J32" s="136"/>
      <c r="K32" s="69"/>
      <c r="O32" s="157" t="str">
        <f>Commodities!$D$101</f>
        <v>INDWCH</v>
      </c>
      <c r="P32" s="157"/>
      <c r="R32" s="106"/>
      <c r="S32" s="106"/>
      <c r="T32" s="106"/>
      <c r="U32" s="106"/>
    </row>
    <row r="33" spans="1:21">
      <c r="B33" s="317" t="str">
        <f t="shared" si="0"/>
        <v/>
      </c>
      <c r="C33" s="136"/>
      <c r="D33" s="146" t="str">
        <f>M13 &amp; P$33 &amp; R$33 &amp; VLOOKUP(O$33, $O$50:$P$74,2,FALSE) &amp; "E1"</f>
        <v>INDSDSHBBGAE1</v>
      </c>
      <c r="E33" s="143" t="str">
        <f>+M10 &amp; " " &amp; S$33 &amp; " - " &amp; T$33 &amp; " " &amp; U$33</f>
        <v>Iron &amp; Steel  Heat Room Boiler - Biogas Existing 1</v>
      </c>
      <c r="F33" s="136" t="s">
        <v>44</v>
      </c>
      <c r="G33" s="136" t="s">
        <v>46</v>
      </c>
      <c r="H33" s="136"/>
      <c r="I33" s="136"/>
      <c r="J33" s="136"/>
      <c r="K33" s="69"/>
      <c r="O33" s="157" t="str">
        <f>Commodities!$D$102</f>
        <v>INDBGA</v>
      </c>
      <c r="P33" s="157" t="str">
        <f>+Commodities!$AL$8</f>
        <v>DSH</v>
      </c>
      <c r="R33" s="106" t="str">
        <f t="shared" ref="R33:R39" si="6">+R$7</f>
        <v>B</v>
      </c>
      <c r="S33" s="106" t="str">
        <f t="shared" ref="S33:S39" si="7">+S$28</f>
        <v>Heat Room Boiler</v>
      </c>
      <c r="T33" s="106" t="str">
        <f t="shared" ref="T33:T38" si="8">+T12</f>
        <v>Biogas</v>
      </c>
      <c r="U33" s="106" t="str">
        <f>+U$7</f>
        <v>Existing 1</v>
      </c>
    </row>
    <row r="34" spans="1:21">
      <c r="B34" s="317" t="str">
        <f t="shared" si="0"/>
        <v/>
      </c>
      <c r="C34" s="136"/>
      <c r="D34" s="146" t="str">
        <f>M13 &amp; P$34 &amp; R$34 &amp; VLOOKUP(O$34, $O$50:$P$74,2,FALSE) &amp; "E1"</f>
        <v>INDSDSHBHFOE1</v>
      </c>
      <c r="E34" s="143" t="str">
        <f>+M10 &amp; " " &amp; S$34 &amp; " - " &amp; T$34 &amp; " " &amp; U$34</f>
        <v>Iron &amp; Steel  Heat Room Boiler - Heavy Fuel Oil Existing 1</v>
      </c>
      <c r="F34" s="136" t="s">
        <v>44</v>
      </c>
      <c r="G34" s="136" t="s">
        <v>46</v>
      </c>
      <c r="H34" s="136"/>
      <c r="I34" s="136"/>
      <c r="J34" s="136"/>
      <c r="K34" s="69"/>
      <c r="O34" s="157" t="str">
        <f>Commodities!$D$103</f>
        <v>INDHFO</v>
      </c>
      <c r="P34" s="157" t="str">
        <f>+Commodities!$AL$8</f>
        <v>DSH</v>
      </c>
      <c r="R34" s="106" t="str">
        <f t="shared" si="6"/>
        <v>B</v>
      </c>
      <c r="S34" s="106" t="str">
        <f t="shared" si="7"/>
        <v>Heat Room Boiler</v>
      </c>
      <c r="T34" s="106" t="str">
        <f t="shared" si="8"/>
        <v>Heavy Fuel Oil</v>
      </c>
      <c r="U34" s="106" t="str">
        <f>+U$7</f>
        <v>Existing 1</v>
      </c>
    </row>
    <row r="35" spans="1:21">
      <c r="B35" s="317" t="str">
        <f t="shared" si="0"/>
        <v/>
      </c>
      <c r="C35" s="136"/>
      <c r="D35" s="146" t="str">
        <f>M13 &amp; P$35 &amp; R$35 &amp; VLOOKUP(O$35, $O$50:$P$74,2,FALSE) &amp; "E1"</f>
        <v>INDSDSHBLPGE1</v>
      </c>
      <c r="E35" s="143" t="str">
        <f>+M10 &amp; " " &amp; S$35 &amp; " - " &amp; T$35 &amp; " " &amp; U$35</f>
        <v>Iron &amp; Steel  Heat Room Boiler - Liquified Petroleum Gas Existing 1</v>
      </c>
      <c r="F35" s="136" t="s">
        <v>44</v>
      </c>
      <c r="G35" s="136" t="s">
        <v>46</v>
      </c>
      <c r="H35" s="136"/>
      <c r="I35" s="136"/>
      <c r="J35" s="136"/>
      <c r="K35" s="69"/>
      <c r="O35" s="157" t="str">
        <f>Commodities!$D$104</f>
        <v>INDLPG</v>
      </c>
      <c r="P35" s="157" t="str">
        <f>+Commodities!$AL$8</f>
        <v>DSH</v>
      </c>
      <c r="R35" s="106" t="str">
        <f t="shared" si="6"/>
        <v>B</v>
      </c>
      <c r="S35" s="106" t="str">
        <f t="shared" si="7"/>
        <v>Heat Room Boiler</v>
      </c>
      <c r="T35" s="106" t="str">
        <f t="shared" si="8"/>
        <v>Liquified Petroleum Gas</v>
      </c>
      <c r="U35" s="106" t="str">
        <f>+U$7</f>
        <v>Existing 1</v>
      </c>
    </row>
    <row r="36" spans="1:21">
      <c r="B36" s="317" t="str">
        <f t="shared" si="0"/>
        <v/>
      </c>
      <c r="C36" s="136"/>
      <c r="D36" s="146" t="str">
        <f>M13 &amp; P$36 &amp; R$36 &amp; VLOOKUP(O$36, $O$50:$P$74,2,FALSE) &amp; "E1"</f>
        <v>INDSDSHBWSTE1</v>
      </c>
      <c r="E36" s="143" t="str">
        <f>+M10 &amp; " " &amp; S$36 &amp; " - " &amp; T$36 &amp; " " &amp; U$36</f>
        <v>Iron &amp; Steel  Heat Room Boiler - Waste Existing 1</v>
      </c>
      <c r="F36" s="136" t="s">
        <v>44</v>
      </c>
      <c r="G36" s="136" t="s">
        <v>46</v>
      </c>
      <c r="H36" s="136"/>
      <c r="I36" s="136"/>
      <c r="J36" s="136"/>
      <c r="K36" s="69"/>
      <c r="O36" s="157" t="str">
        <f>Commodities!$D$105</f>
        <v>INDWST</v>
      </c>
      <c r="P36" s="157" t="str">
        <f>+Commodities!$AL$8</f>
        <v>DSH</v>
      </c>
      <c r="R36" s="106" t="str">
        <f t="shared" si="6"/>
        <v>B</v>
      </c>
      <c r="S36" s="106" t="str">
        <f t="shared" si="7"/>
        <v>Heat Room Boiler</v>
      </c>
      <c r="T36" s="106" t="str">
        <f t="shared" si="8"/>
        <v>Waste</v>
      </c>
      <c r="U36" s="106" t="str">
        <f>+U$7</f>
        <v>Existing 1</v>
      </c>
    </row>
    <row r="37" spans="1:21">
      <c r="B37" s="317" t="str">
        <f t="shared" si="0"/>
        <v/>
      </c>
      <c r="C37" s="136"/>
      <c r="D37" s="146" t="str">
        <f>M13 &amp; P$37 &amp; R$37 &amp; VLOOKUP(O$37, $O$50:$P$74,2,FALSE) &amp; "E1"</f>
        <v>INDSDSHBHETE1</v>
      </c>
      <c r="E37" s="143" t="str">
        <f>+M10 &amp; " " &amp; S$37 &amp; " - " &amp; T$37 &amp; " " &amp; U$37</f>
        <v>Iron &amp; Steel  Heat Room Boiler - Dist. Heat Existing 1</v>
      </c>
      <c r="F37" s="136" t="s">
        <v>44</v>
      </c>
      <c r="G37" s="136" t="s">
        <v>46</v>
      </c>
      <c r="H37" s="136"/>
      <c r="I37" s="136"/>
      <c r="J37" s="136"/>
      <c r="K37" s="69"/>
      <c r="O37" s="157" t="str">
        <f>Commodities!$D$106</f>
        <v>INDHCE</v>
      </c>
      <c r="P37" s="157" t="str">
        <f>+Commodities!$AL$8</f>
        <v>DSH</v>
      </c>
      <c r="R37" s="106" t="str">
        <f t="shared" si="6"/>
        <v>B</v>
      </c>
      <c r="S37" s="106" t="str">
        <f t="shared" si="7"/>
        <v>Heat Room Boiler</v>
      </c>
      <c r="T37" s="106" t="str">
        <f t="shared" si="8"/>
        <v>Dist. Heat</v>
      </c>
      <c r="U37" s="106" t="str">
        <f>+U$7</f>
        <v>Existing 1</v>
      </c>
    </row>
    <row r="38" spans="1:21">
      <c r="B38" s="317" t="str">
        <f t="shared" si="0"/>
        <v/>
      </c>
      <c r="C38" s="146"/>
      <c r="D38" s="146" t="str">
        <f>M13 &amp; P$38 &amp; R$38 &amp; VLOOKUP(O$38, $O$50:$P$74,2,FALSE) &amp; "E2"</f>
        <v>INDSDSHBHETE2</v>
      </c>
      <c r="E38" s="143" t="str">
        <f>+M10 &amp; " " &amp; S$38 &amp; " - " &amp; T$38 &amp; " " &amp; U$38</f>
        <v>Iron &amp; Steel  Heat Room Boiler - Dist. Heat Existing 2</v>
      </c>
      <c r="F38" s="317" t="s">
        <v>44</v>
      </c>
      <c r="G38" s="317" t="s">
        <v>46</v>
      </c>
      <c r="H38" s="146"/>
      <c r="I38" s="146"/>
      <c r="J38" s="146"/>
      <c r="K38" s="69"/>
      <c r="O38" s="157" t="str">
        <f>Commodities!$D$108</f>
        <v>INDHDE</v>
      </c>
      <c r="P38" s="157" t="str">
        <f>+Commodities!$AL$8</f>
        <v>DSH</v>
      </c>
      <c r="Q38" s="285"/>
      <c r="R38" s="106" t="str">
        <f t="shared" si="6"/>
        <v>B</v>
      </c>
      <c r="S38" s="106" t="str">
        <f t="shared" si="7"/>
        <v>Heat Room Boiler</v>
      </c>
      <c r="T38" s="106" t="str">
        <f t="shared" si="8"/>
        <v>Dist. Heat</v>
      </c>
      <c r="U38" s="106" t="s">
        <v>579</v>
      </c>
    </row>
    <row r="39" spans="1:21">
      <c r="B39" s="317" t="str">
        <f t="shared" si="0"/>
        <v/>
      </c>
      <c r="C39" s="146"/>
      <c r="D39" s="144" t="str">
        <f>M13 &amp; P$39 &amp; R$39 &amp; VLOOKUP(O$39, $O$50:$P$74,2,FALSE) &amp; "E1"</f>
        <v>INDSDSHBELCE1</v>
      </c>
      <c r="E39" s="144" t="str">
        <f>+M10 &amp; " " &amp; S$39 &amp; " - " &amp; T$39 &amp; " " &amp; U$39</f>
        <v>Iron &amp; Steel  Heat Room Boiler - Electricity Existing 1</v>
      </c>
      <c r="F39" s="139" t="s">
        <v>44</v>
      </c>
      <c r="G39" s="139" t="s">
        <v>46</v>
      </c>
      <c r="H39" s="139"/>
      <c r="I39" s="139"/>
      <c r="J39" s="139"/>
      <c r="K39" s="69"/>
      <c r="O39" s="158" t="str">
        <f>Commodities!$D$109</f>
        <v>INDELC</v>
      </c>
      <c r="P39" s="159" t="str">
        <f>+Commodities!$AL$8</f>
        <v>DSH</v>
      </c>
      <c r="R39" s="107" t="str">
        <f t="shared" si="6"/>
        <v>B</v>
      </c>
      <c r="S39" s="107" t="str">
        <f t="shared" si="7"/>
        <v>Heat Room Boiler</v>
      </c>
      <c r="T39" s="107" t="str">
        <f>+T$18</f>
        <v>Electricity</v>
      </c>
      <c r="U39" s="107" t="str">
        <f>+U$7</f>
        <v>Existing 1</v>
      </c>
    </row>
    <row r="40" spans="1:21">
      <c r="B40" s="317" t="str">
        <f t="shared" si="0"/>
        <v/>
      </c>
      <c r="C40" s="146"/>
      <c r="D40" s="146" t="str">
        <f>M13 &amp; P$40 &amp; R$40 &amp; VLOOKUP(O$40, $O$50:$P$74,2,FALSE) &amp; "E1"</f>
        <v>INDSDLAAELCE1</v>
      </c>
      <c r="E40" s="146" t="str">
        <f>+M10 &amp; " " &amp; S$40 &amp; " - " &amp; T$40 &amp; " " &amp; U$40</f>
        <v>Iron &amp; Steel  Electricity Light Appliance - Electricity Existing 1</v>
      </c>
      <c r="F40" s="149" t="s">
        <v>44</v>
      </c>
      <c r="G40" s="146" t="s">
        <v>46</v>
      </c>
      <c r="H40" s="146"/>
      <c r="I40" s="146"/>
      <c r="J40" s="146"/>
      <c r="K40" s="69"/>
      <c r="O40" s="160" t="str">
        <f>Commodities!$D$109</f>
        <v>INDELC</v>
      </c>
      <c r="P40" s="157" t="str">
        <f>+Commodities!$AL$9</f>
        <v>DLA</v>
      </c>
      <c r="R40" s="108" t="s">
        <v>190</v>
      </c>
      <c r="S40" s="108" t="s">
        <v>184</v>
      </c>
      <c r="T40" s="106" t="str">
        <f>+T$18</f>
        <v>Electricity</v>
      </c>
      <c r="U40" s="106" t="str">
        <f>+U$7</f>
        <v>Existing 1</v>
      </c>
    </row>
    <row r="41" spans="1:21">
      <c r="B41" s="317" t="str">
        <f t="shared" si="0"/>
        <v/>
      </c>
      <c r="C41" s="146"/>
      <c r="D41" s="144" t="str">
        <f>M13 &amp; P$41 &amp; R$41 &amp; VLOOKUP(O$41, $O$50:$P$74,2,FALSE) &amp; "E1"</f>
        <v>INDSDEMMELCE1</v>
      </c>
      <c r="E41" s="144" t="str">
        <f>+M10 &amp; " " &amp; S$41 &amp; " - " &amp; T$41 &amp; " " &amp; U$41</f>
        <v>Iron &amp; Steel  Electricity Motors - Electricity Existing 1</v>
      </c>
      <c r="F41" s="139" t="s">
        <v>44</v>
      </c>
      <c r="G41" s="139" t="s">
        <v>46</v>
      </c>
      <c r="H41" s="139"/>
      <c r="I41" s="139"/>
      <c r="J41" s="139"/>
      <c r="K41" s="69"/>
      <c r="O41" s="159" t="str">
        <f>Commodities!$D$109</f>
        <v>INDELC</v>
      </c>
      <c r="P41" s="159" t="str">
        <f>+Commodities!$AL$10</f>
        <v>DEM</v>
      </c>
      <c r="R41" s="109" t="s">
        <v>226</v>
      </c>
      <c r="S41" s="109" t="s">
        <v>185</v>
      </c>
      <c r="T41" s="107" t="str">
        <f>+T$18</f>
        <v>Electricity</v>
      </c>
      <c r="U41" s="107" t="str">
        <f>+U$7</f>
        <v>Existing 1</v>
      </c>
    </row>
    <row r="42" spans="1:21">
      <c r="A42" s="236"/>
      <c r="B42" s="317" t="str">
        <f t="shared" si="0"/>
        <v/>
      </c>
      <c r="C42" s="146"/>
      <c r="D42" s="237" t="str">
        <f>M13 &amp; P$42 &amp; R$42 &amp; VLOOKUP(O$42, $O$50:$P$74,2,FALSE) &amp; "E1"</f>
        <v>INDSDTFTDSLE1</v>
      </c>
      <c r="E42" s="146" t="str">
        <f>+M10 &amp; " " &amp; S$42 &amp; " - " &amp; T$42 &amp; " " &amp; U$42</f>
        <v>Iron &amp; Steel  Tractors, Trucks, Fishing boats, Forest machines - Diesel Existing 1</v>
      </c>
      <c r="F42" s="146" t="s">
        <v>44</v>
      </c>
      <c r="G42" s="146" t="s">
        <v>46</v>
      </c>
      <c r="H42" s="146"/>
      <c r="I42" s="146"/>
      <c r="J42" s="146"/>
      <c r="O42" s="157" t="str">
        <f>+Commodities!D111&amp;","&amp;Commodities!D112&amp;","&amp;Commodities!D99</f>
        <v>INDDSB1,INDDSB2,INDDSL</v>
      </c>
      <c r="P42" s="157" t="str">
        <f>+Commodities!$AL$11</f>
        <v>DTF</v>
      </c>
      <c r="Q42" s="50"/>
      <c r="R42" s="108" t="s">
        <v>191</v>
      </c>
      <c r="S42" s="108" t="s">
        <v>291</v>
      </c>
      <c r="T42" s="108" t="s">
        <v>68</v>
      </c>
      <c r="U42" s="106" t="str">
        <f t="shared" ref="U42:U43" si="9">+U$7</f>
        <v>Existing 1</v>
      </c>
    </row>
    <row r="43" spans="1:21">
      <c r="A43" s="236"/>
      <c r="B43" s="317" t="str">
        <f t="shared" si="0"/>
        <v/>
      </c>
      <c r="C43" s="146"/>
      <c r="D43" s="237" t="str">
        <f>M13&amp;P$43&amp;R$43&amp;VLOOKUP(O$43,$O$50:$P$74,2,FALSE)&amp;"E1"</f>
        <v>INDSDFLTLPGE1</v>
      </c>
      <c r="E43" s="146" t="str">
        <f>+M10 &amp; " " &amp; S$43 &amp; " - " &amp; T$43 &amp; " " &amp; U$43</f>
        <v>Iron &amp; Steel  Forklifts - LPG Existing 1</v>
      </c>
      <c r="F43" s="146" t="s">
        <v>44</v>
      </c>
      <c r="G43" s="146" t="s">
        <v>46</v>
      </c>
      <c r="H43" s="146"/>
      <c r="I43" s="146"/>
      <c r="J43" s="146"/>
      <c r="O43" s="157" t="str">
        <f>+Commodities!D104&amp;","&amp;Commodities!D113&amp;","&amp;Commodities!D114</f>
        <v>INDLPG,INDSNG1,INDSNG2</v>
      </c>
      <c r="P43" s="157" t="str">
        <f>+Commodities!$AL$12</f>
        <v>DFL</v>
      </c>
      <c r="Q43" s="50"/>
      <c r="R43" s="106" t="str">
        <f>+R$42</f>
        <v>T</v>
      </c>
      <c r="S43" s="108" t="s">
        <v>229</v>
      </c>
      <c r="T43" s="108" t="s">
        <v>53</v>
      </c>
      <c r="U43" s="106" t="str">
        <f t="shared" si="9"/>
        <v>Existing 1</v>
      </c>
    </row>
    <row r="44" spans="1:21" ht="15">
      <c r="A44" s="34"/>
      <c r="B44" s="142" t="s">
        <v>25</v>
      </c>
      <c r="C44" s="256"/>
      <c r="D44" s="175" t="str">
        <f>M50 &amp; P$7 &amp; R$7 &amp; VLOOKUP(O$7, $O$50:$P$74,2,FALSE) &amp; "E1"</f>
        <v>INDCDPHBNGAE1</v>
      </c>
      <c r="E44" s="141" t="str">
        <f>+M47 &amp; " " &amp; S$7 &amp; " - " &amp; T$7 &amp; " " &amp; U$7</f>
        <v>Chemical industry Heat Medium Temp. Boiler - Nat. Gas Existing 1</v>
      </c>
      <c r="F44" s="142" t="s">
        <v>44</v>
      </c>
      <c r="G44" s="142" t="s">
        <v>46</v>
      </c>
      <c r="H44" s="142"/>
      <c r="I44" s="257"/>
      <c r="J44" s="142"/>
      <c r="K44" s="196"/>
      <c r="L44" s="62" t="s">
        <v>196</v>
      </c>
      <c r="M44" s="131">
        <f>+M7+1</f>
        <v>2</v>
      </c>
    </row>
    <row r="45" spans="1:21">
      <c r="B45" s="317" t="str">
        <f t="shared" si="0"/>
        <v/>
      </c>
      <c r="C45" s="136"/>
      <c r="D45" s="146" t="str">
        <f>M50 &amp; P$8 &amp; R$8 &amp; VLOOKUP(O$8, $O$50:$P$74,2,FALSE) &amp; "E1"</f>
        <v>INDCDPHBCOAE1</v>
      </c>
      <c r="E45" s="143" t="str">
        <f>+M47 &amp; " " &amp; S$8 &amp; " - " &amp; T$8 &amp; " " &amp; U$8</f>
        <v>Chemical industry Heat Medium Temp. Boiler - Coal Existing 1</v>
      </c>
      <c r="F45" s="136" t="s">
        <v>44</v>
      </c>
      <c r="G45" s="136" t="s">
        <v>46</v>
      </c>
      <c r="H45" s="136"/>
      <c r="I45" s="133"/>
      <c r="J45" s="136"/>
      <c r="K45" s="69"/>
      <c r="L45" s="25" t="s">
        <v>130</v>
      </c>
    </row>
    <row r="46" spans="1:21">
      <c r="B46" s="317" t="str">
        <f t="shared" si="0"/>
        <v/>
      </c>
      <c r="C46" s="136"/>
      <c r="D46" s="146" t="str">
        <f>M50 &amp; P$9 &amp; R$9 &amp; VLOOKUP(O$9, $O$50:$P$74,2,FALSE) &amp; "E1"</f>
        <v>INDCDPHBDSLE1</v>
      </c>
      <c r="E46" s="143" t="str">
        <f>+M47 &amp; " " &amp; S$9 &amp; " - " &amp; T$9 &amp; " " &amp; U$9</f>
        <v>Chemical industry Heat Medium Temp. Boiler - Diesel Existing 1</v>
      </c>
      <c r="F46" s="136" t="s">
        <v>44</v>
      </c>
      <c r="G46" s="136" t="s">
        <v>46</v>
      </c>
      <c r="H46" s="136"/>
      <c r="I46" s="136"/>
      <c r="J46" s="136"/>
      <c r="K46" s="69"/>
      <c r="L46" s="62" t="s">
        <v>198</v>
      </c>
      <c r="M46" s="64" t="s">
        <v>135</v>
      </c>
    </row>
    <row r="47" spans="1:21">
      <c r="B47" s="317" t="str">
        <f t="shared" si="0"/>
        <v/>
      </c>
      <c r="C47" s="136"/>
      <c r="D47" s="146" t="str">
        <f>M50 &amp; P$10 &amp; R$10 &amp; VLOOKUP(O$10, $O$50:$P$74,2,FALSE) &amp; "E1"</f>
        <v>INDCDPHBWPEE1</v>
      </c>
      <c r="E47" s="143" t="str">
        <f>+M47 &amp; " " &amp; S$10 &amp; " - " &amp; T$10 &amp; " " &amp; U$10</f>
        <v>Chemical industry Heat Medium Temp. Boiler - Wood Pellets Existing 1</v>
      </c>
      <c r="F47" s="136" t="s">
        <v>44</v>
      </c>
      <c r="G47" s="136" t="s">
        <v>46</v>
      </c>
      <c r="H47" s="136"/>
      <c r="I47" s="136"/>
      <c r="J47" s="136"/>
      <c r="K47" s="69"/>
      <c r="L47" s="62" t="s">
        <v>201</v>
      </c>
      <c r="M47" s="70" t="str">
        <f>+INDEX(Commodities!$X$6:$X$17,M44)</f>
        <v>Chemical industry</v>
      </c>
      <c r="O47" s="85" t="s">
        <v>235</v>
      </c>
    </row>
    <row r="48" spans="1:21">
      <c r="B48" s="317" t="str">
        <f t="shared" si="0"/>
        <v>*</v>
      </c>
      <c r="C48" s="136"/>
      <c r="D48" s="146"/>
      <c r="E48" s="143"/>
      <c r="F48" s="136"/>
      <c r="G48" s="136"/>
      <c r="H48" s="136"/>
      <c r="I48" s="136"/>
      <c r="J48" s="136"/>
      <c r="K48" s="69"/>
      <c r="L48" s="62" t="s">
        <v>130</v>
      </c>
      <c r="M48" s="70" t="str">
        <f>+INDEX(Commodities!$Y$6:$Y$17,M44)</f>
        <v>02 Chemical and petrochemical</v>
      </c>
    </row>
    <row r="49" spans="2:21">
      <c r="B49" s="317" t="str">
        <f t="shared" si="0"/>
        <v/>
      </c>
      <c r="C49" s="136"/>
      <c r="D49" s="146" t="str">
        <f>M50 &amp; P$12 &amp; R$12 &amp; VLOOKUP(O$12, $O$50:$P$74,2,FALSE) &amp; "E1"</f>
        <v>INDCDPHBBGAE1</v>
      </c>
      <c r="E49" s="143" t="str">
        <f>+M47 &amp; " " &amp; S$12 &amp; " - " &amp; T$12 &amp; " " &amp; U$12</f>
        <v>Chemical industry Heat Medium Temp. Boiler - Biogas Existing 1</v>
      </c>
      <c r="F49" s="136" t="s">
        <v>44</v>
      </c>
      <c r="G49" s="136" t="s">
        <v>46</v>
      </c>
      <c r="H49" s="136"/>
      <c r="I49" s="136"/>
      <c r="J49" s="136"/>
      <c r="K49" s="69"/>
      <c r="L49" s="62" t="s">
        <v>197</v>
      </c>
      <c r="M49" s="70" t="str">
        <f>+INDEX(Commodities!$U$6:$U$17,M44)</f>
        <v>IC</v>
      </c>
      <c r="O49" s="100" t="s">
        <v>14</v>
      </c>
      <c r="P49" s="99" t="s">
        <v>207</v>
      </c>
    </row>
    <row r="50" spans="2:21">
      <c r="B50" s="317" t="str">
        <f t="shared" si="0"/>
        <v/>
      </c>
      <c r="C50" s="136"/>
      <c r="D50" s="146" t="str">
        <f>M50 &amp; P$13 &amp; R$13 &amp; VLOOKUP(O$13, $O$50:$P$74,2,FALSE) &amp; "E1"</f>
        <v>INDCDPHBHFOE1</v>
      </c>
      <c r="E50" s="143" t="str">
        <f>+M47 &amp; " " &amp; S$13 &amp; " - " &amp; T$13 &amp; " " &amp; U$13</f>
        <v>Chemical industry Heat Medium Temp. Boiler - Heavy Fuel Oil Existing 1</v>
      </c>
      <c r="F50" s="136" t="s">
        <v>44</v>
      </c>
      <c r="G50" s="136" t="s">
        <v>46</v>
      </c>
      <c r="H50" s="136"/>
      <c r="I50" s="136"/>
      <c r="J50" s="136"/>
      <c r="K50" s="69"/>
      <c r="L50" s="62" t="s">
        <v>197</v>
      </c>
      <c r="M50" s="70" t="str">
        <f>+INDEX(Commodities!$W$6:$W$17,M44)</f>
        <v>INDC</v>
      </c>
      <c r="O50" s="104" t="str">
        <f>+Commodities!D97</f>
        <v>INDNGA</v>
      </c>
      <c r="P50" s="101" t="str">
        <f t="shared" ref="P50:P56" si="10">+RIGHT(O50,3)</f>
        <v>NGA</v>
      </c>
    </row>
    <row r="51" spans="2:21">
      <c r="B51" s="317" t="str">
        <f t="shared" si="0"/>
        <v/>
      </c>
      <c r="C51" s="136"/>
      <c r="D51" s="146" t="str">
        <f>M50 &amp; P$14 &amp; R$14 &amp; VLOOKUP(O$14, $O$50:$P$74,2,FALSE) &amp; "E1"</f>
        <v>INDCDPHBLPGE1</v>
      </c>
      <c r="E51" s="143" t="str">
        <f>+M47 &amp; " " &amp; S$14 &amp; " - " &amp; T$14 &amp; " " &amp; U$14</f>
        <v>Chemical industry Heat Medium Temp. Boiler - Liquified Petroleum Gas Existing 1</v>
      </c>
      <c r="F51" s="136" t="s">
        <v>44</v>
      </c>
      <c r="G51" s="136" t="s">
        <v>46</v>
      </c>
      <c r="H51" s="136"/>
      <c r="I51" s="136"/>
      <c r="J51" s="136"/>
      <c r="K51" s="69"/>
      <c r="O51" s="104" t="str">
        <f>+Commodities!D98</f>
        <v>INDCOA</v>
      </c>
      <c r="P51" s="101" t="str">
        <f t="shared" si="10"/>
        <v>COA</v>
      </c>
    </row>
    <row r="52" spans="2:21">
      <c r="B52" s="317" t="str">
        <f t="shared" si="0"/>
        <v/>
      </c>
      <c r="C52" s="136"/>
      <c r="D52" s="146" t="str">
        <f>M50 &amp; P$15 &amp; R$15 &amp; VLOOKUP(O$15, $O$50:$P$74,2,FALSE) &amp; "E1"</f>
        <v>INDCDPHBWSTE1</v>
      </c>
      <c r="E52" s="143" t="str">
        <f>+M47 &amp; " " &amp; S$15 &amp; " - " &amp; T$15 &amp; " " &amp; U$15</f>
        <v>Chemical industry Heat Medium Temp. Boiler - Waste Existing 1</v>
      </c>
      <c r="F52" s="136" t="s">
        <v>44</v>
      </c>
      <c r="G52" s="136" t="s">
        <v>46</v>
      </c>
      <c r="H52" s="136"/>
      <c r="I52" s="136"/>
      <c r="J52" s="136"/>
      <c r="K52" s="69"/>
      <c r="O52" s="104" t="str">
        <f>+Commodities!D99</f>
        <v>INDDSL</v>
      </c>
      <c r="P52" s="101" t="str">
        <f t="shared" si="10"/>
        <v>DSL</v>
      </c>
    </row>
    <row r="53" spans="2:21">
      <c r="B53" s="317" t="str">
        <f t="shared" si="0"/>
        <v/>
      </c>
      <c r="C53" s="136"/>
      <c r="D53" s="146" t="str">
        <f>M50 &amp; P$16 &amp; R$16 &amp; VLOOKUP(O$16, $O$50:$P$74,2,FALSE) &amp; "E1"</f>
        <v>INDCDPHBHETE1</v>
      </c>
      <c r="E53" s="143" t="str">
        <f>+M47 &amp; " " &amp; S$16 &amp; " - " &amp; T$16 &amp; " " &amp; U$16</f>
        <v>Chemical industry Heat Medium Temp. Boiler - Dist. Heat Existing 1</v>
      </c>
      <c r="F53" s="136" t="s">
        <v>44</v>
      </c>
      <c r="G53" s="136" t="s">
        <v>46</v>
      </c>
      <c r="H53" s="136"/>
      <c r="I53" s="136"/>
      <c r="J53" s="136"/>
      <c r="K53" s="69"/>
      <c r="O53" s="104" t="str">
        <f>+Commodities!D100</f>
        <v>INDWPE</v>
      </c>
      <c r="P53" s="101" t="str">
        <f t="shared" si="10"/>
        <v>WPE</v>
      </c>
    </row>
    <row r="54" spans="2:21">
      <c r="B54" s="317" t="str">
        <f t="shared" si="0"/>
        <v/>
      </c>
      <c r="C54" s="136"/>
      <c r="D54" s="146" t="str">
        <f>M50 &amp; P$17 &amp; R$17 &amp; VLOOKUP(O$17, $O$50:$P$74,2,FALSE) &amp; "E2"</f>
        <v>INDCDPHBHETE2</v>
      </c>
      <c r="E54" s="143" t="str">
        <f>+M47 &amp; " " &amp; S$17 &amp; " - " &amp; T$17 &amp; " " &amp; U$17</f>
        <v>Chemical industry Heat Medium Temp. Boiler - Dist. Heat Existing 2</v>
      </c>
      <c r="F54" s="317" t="s">
        <v>44</v>
      </c>
      <c r="G54" s="317" t="s">
        <v>46</v>
      </c>
      <c r="H54" s="136"/>
      <c r="I54" s="136"/>
      <c r="J54" s="136"/>
      <c r="K54" s="69"/>
      <c r="O54" s="104" t="str">
        <f>+Commodities!D101</f>
        <v>INDWCH</v>
      </c>
      <c r="P54" s="101" t="str">
        <f t="shared" si="10"/>
        <v>WCH</v>
      </c>
      <c r="R54" s="60"/>
      <c r="S54" s="57"/>
      <c r="T54" s="58"/>
      <c r="U54" s="59"/>
    </row>
    <row r="55" spans="2:21">
      <c r="B55" s="317" t="str">
        <f t="shared" si="0"/>
        <v/>
      </c>
      <c r="C55" s="136"/>
      <c r="D55" s="144" t="str">
        <f>M50 &amp; P$18 &amp; R$18 &amp; VLOOKUP(O$18, $O$50:$P$74,2,FALSE) &amp; "E1"</f>
        <v>INDCDPHBELCE1</v>
      </c>
      <c r="E55" s="144" t="str">
        <f>+M47 &amp; " " &amp; S$18 &amp; " - " &amp; T$18 &amp; " " &amp; U$18</f>
        <v>Chemical industry Heat Medium Temp. Boiler - Electricity Existing 1</v>
      </c>
      <c r="F55" s="139" t="s">
        <v>44</v>
      </c>
      <c r="G55" s="139" t="s">
        <v>46</v>
      </c>
      <c r="H55" s="139"/>
      <c r="I55" s="139"/>
      <c r="J55" s="139"/>
      <c r="K55" s="69"/>
      <c r="O55" s="104" t="str">
        <f>+Commodities!D102</f>
        <v>INDBGA</v>
      </c>
      <c r="P55" s="101" t="str">
        <f t="shared" si="10"/>
        <v>BGA</v>
      </c>
    </row>
    <row r="56" spans="2:21">
      <c r="B56" s="317" t="str">
        <f t="shared" si="0"/>
        <v/>
      </c>
      <c r="C56" s="136"/>
      <c r="D56" s="143" t="str">
        <f>M50 &amp; P$19 &amp; R$19 &amp; VLOOKUP(O$19, $O$50:$P$74,2,FALSE) &amp; "E1"</f>
        <v>INDCDCOBNGAE1</v>
      </c>
      <c r="E56" s="143" t="str">
        <f>+M47 &amp; " " &amp; S$19 &amp; " - " &amp; T$19 &amp; " " &amp; U$19</f>
        <v>Chemical industry Heat High Temp. Boiler - Nat. Gas Existing 1</v>
      </c>
      <c r="F56" s="136" t="s">
        <v>44</v>
      </c>
      <c r="G56" s="136" t="s">
        <v>46</v>
      </c>
      <c r="H56" s="136"/>
      <c r="I56" s="136"/>
      <c r="J56" s="136"/>
      <c r="K56" s="69"/>
      <c r="O56" s="104" t="str">
        <f>+Commodities!D103</f>
        <v>INDHFO</v>
      </c>
      <c r="P56" s="101" t="str">
        <f t="shared" si="10"/>
        <v>HFO</v>
      </c>
    </row>
    <row r="57" spans="2:21">
      <c r="B57" s="317" t="str">
        <f t="shared" si="0"/>
        <v/>
      </c>
      <c r="C57" s="136"/>
      <c r="D57" s="143" t="str">
        <f>M50 &amp; P$20 &amp; R$20 &amp; VLOOKUP(O$20, $O$50:$P$74,2,FALSE) &amp; "E1"</f>
        <v>INDCDCOBCOAE1</v>
      </c>
      <c r="E57" s="143" t="str">
        <f>+M47 &amp; " " &amp; S$20 &amp; " - " &amp; T$20 &amp; " " &amp; U$20</f>
        <v>Chemical industry Heat High Temp. Boiler - Coal Existing 1</v>
      </c>
      <c r="F57" s="136" t="s">
        <v>44</v>
      </c>
      <c r="G57" s="136" t="s">
        <v>46</v>
      </c>
      <c r="H57" s="136"/>
      <c r="I57" s="136"/>
      <c r="J57" s="136"/>
      <c r="K57" s="69"/>
      <c r="O57" s="104" t="str">
        <f>+Commodities!D104</f>
        <v>INDLPG</v>
      </c>
      <c r="P57" s="101" t="str">
        <f>+RIGHT(O57,3)</f>
        <v>LPG</v>
      </c>
    </row>
    <row r="58" spans="2:21">
      <c r="B58" s="317" t="str">
        <f t="shared" si="0"/>
        <v/>
      </c>
      <c r="C58" s="136"/>
      <c r="D58" s="143" t="str">
        <f>M50 &amp; P$21 &amp; R$21 &amp; VLOOKUP(O$21, $O$50:$P$74,2,FALSE) &amp; "E1"</f>
        <v>INDCDCOBDSLE1</v>
      </c>
      <c r="E58" s="143" t="str">
        <f>+M47 &amp; " " &amp; S$21 &amp; " - " &amp; T$21 &amp; " " &amp; U$21</f>
        <v>Chemical industry Heat High Temp. Boiler - Diesel Existing 1</v>
      </c>
      <c r="F58" s="136" t="s">
        <v>44</v>
      </c>
      <c r="G58" s="136" t="s">
        <v>46</v>
      </c>
      <c r="H58" s="136"/>
      <c r="I58" s="136"/>
      <c r="J58" s="136"/>
      <c r="K58" s="69"/>
      <c r="O58" s="104" t="str">
        <f>+Commodities!D105</f>
        <v>INDWST</v>
      </c>
      <c r="P58" s="101" t="str">
        <f>+RIGHT(O58,3)</f>
        <v>WST</v>
      </c>
    </row>
    <row r="59" spans="2:21">
      <c r="B59" s="317" t="str">
        <f t="shared" si="0"/>
        <v/>
      </c>
      <c r="C59" s="136"/>
      <c r="D59" s="143" t="str">
        <f>M50 &amp; P$22 &amp; R$22 &amp; VLOOKUP(O$22, $O$50:$P$74,2,FALSE) &amp; "E1"</f>
        <v>INDCDCOBWPEE1</v>
      </c>
      <c r="E59" s="143" t="str">
        <f>+M47 &amp; " " &amp; S$22 &amp; " - " &amp; T$22 &amp; " " &amp; U$22</f>
        <v>Chemical industry Heat High Temp. Boiler - Wood Pellets Existing 1</v>
      </c>
      <c r="F59" s="136" t="s">
        <v>44</v>
      </c>
      <c r="G59" s="136" t="s">
        <v>46</v>
      </c>
      <c r="H59" s="136"/>
      <c r="I59" s="136"/>
      <c r="J59" s="136"/>
      <c r="K59" s="69"/>
      <c r="O59" s="104" t="str">
        <f>+Commodities!D106</f>
        <v>INDHCE</v>
      </c>
      <c r="P59" s="195" t="s">
        <v>208</v>
      </c>
    </row>
    <row r="60" spans="2:21">
      <c r="B60" s="317" t="str">
        <f t="shared" si="0"/>
        <v>*</v>
      </c>
      <c r="C60" s="136"/>
      <c r="D60" s="143"/>
      <c r="E60" s="143"/>
      <c r="F60" s="136"/>
      <c r="G60" s="136"/>
      <c r="H60" s="136"/>
      <c r="I60" s="136"/>
      <c r="J60" s="136"/>
      <c r="K60" s="69"/>
      <c r="O60" s="104" t="str">
        <f>+Commodities!D108</f>
        <v>INDHDE</v>
      </c>
      <c r="P60" s="195" t="s">
        <v>208</v>
      </c>
    </row>
    <row r="61" spans="2:21">
      <c r="B61" s="317" t="str">
        <f t="shared" si="0"/>
        <v/>
      </c>
      <c r="C61" s="136"/>
      <c r="D61" s="143" t="str">
        <f>M50 &amp; P$24 &amp; R$24 &amp; VLOOKUP(O$24, $O$50:$P$74,2,FALSE) &amp; "E1"</f>
        <v>INDCDCOBHFOE1</v>
      </c>
      <c r="E61" s="143" t="str">
        <f>+M47 &amp; " " &amp; S$24 &amp; " - " &amp; T$24 &amp; " " &amp; U$24</f>
        <v>Chemical industry Heat High Temp. Boiler - Heavy Fuel Oil Existing 1</v>
      </c>
      <c r="F61" s="136" t="s">
        <v>44</v>
      </c>
      <c r="G61" s="136" t="s">
        <v>46</v>
      </c>
      <c r="H61" s="136"/>
      <c r="I61" s="136"/>
      <c r="J61" s="136"/>
      <c r="K61" s="69"/>
      <c r="O61" s="104" t="str">
        <f>+Commodities!D109</f>
        <v>INDELC</v>
      </c>
      <c r="P61" s="101" t="str">
        <f t="shared" ref="P61:P69" si="11">+RIGHT(O61,3)</f>
        <v>ELC</v>
      </c>
    </row>
    <row r="62" spans="2:21">
      <c r="B62" s="317" t="str">
        <f t="shared" si="0"/>
        <v/>
      </c>
      <c r="C62" s="136"/>
      <c r="D62" s="143" t="str">
        <f>M50 &amp; P$25 &amp; R$25 &amp; VLOOKUP(O$25, $O$50:$P$74,2,FALSE) &amp; "E1"</f>
        <v>INDCDCOBLPGE1</v>
      </c>
      <c r="E62" s="143" t="str">
        <f>+M47 &amp; " " &amp; S$25 &amp; " - " &amp; T$25 &amp; " " &amp; U$25</f>
        <v>Chemical industry Heat High Temp. Boiler - Liquified Petroleum Gas Existing 1</v>
      </c>
      <c r="F62" s="136" t="s">
        <v>44</v>
      </c>
      <c r="G62" s="136" t="s">
        <v>46</v>
      </c>
      <c r="H62" s="136"/>
      <c r="I62" s="136"/>
      <c r="J62" s="136"/>
      <c r="K62" s="69"/>
      <c r="O62" s="104" t="str">
        <f>+Commodities!D110</f>
        <v>INDSOL</v>
      </c>
      <c r="P62" s="101" t="str">
        <f t="shared" si="11"/>
        <v>SOL</v>
      </c>
    </row>
    <row r="63" spans="2:21">
      <c r="B63" s="317" t="str">
        <f t="shared" si="0"/>
        <v/>
      </c>
      <c r="C63" s="136"/>
      <c r="D63" s="143" t="str">
        <f>M50 &amp; P$26 &amp; R$26 &amp; VLOOKUP(O$26, $O$50:$P$74,2,FALSE) &amp; "E1"</f>
        <v>INDCDCOBWSTE1</v>
      </c>
      <c r="E63" s="143" t="str">
        <f>+M47 &amp; " " &amp; S$26 &amp; " - " &amp; T$26 &amp; " " &amp; U$26</f>
        <v>Chemical industry Heat High Temp. Boiler - Waste Existing 1</v>
      </c>
      <c r="F63" s="136" t="s">
        <v>44</v>
      </c>
      <c r="G63" s="136" t="s">
        <v>46</v>
      </c>
      <c r="H63" s="136"/>
      <c r="I63" s="136"/>
      <c r="J63" s="136"/>
      <c r="K63" s="69"/>
      <c r="O63" s="104" t="str">
        <f>+Commodities!D111</f>
        <v>INDDSB1</v>
      </c>
      <c r="P63" s="101" t="str">
        <f t="shared" si="11"/>
        <v>SB1</v>
      </c>
    </row>
    <row r="64" spans="2:21">
      <c r="B64" s="317" t="str">
        <f t="shared" si="0"/>
        <v/>
      </c>
      <c r="C64" s="136"/>
      <c r="D64" s="144" t="str">
        <f>M50 &amp; P$27 &amp; R$27 &amp; VLOOKUP(O$27, $O$50:$P$74,2,FALSE) &amp; "E1"</f>
        <v>INDCDCOBELCE1</v>
      </c>
      <c r="E64" s="144" t="str">
        <f>+M47 &amp; " " &amp; S$27 &amp; " - " &amp; T$27 &amp; " " &amp; U$27</f>
        <v>Chemical industry Heat High Temp. Boiler - Electricity Existing 1</v>
      </c>
      <c r="F64" s="139" t="s">
        <v>44</v>
      </c>
      <c r="G64" s="139" t="s">
        <v>46</v>
      </c>
      <c r="H64" s="139"/>
      <c r="I64" s="139"/>
      <c r="J64" s="139"/>
      <c r="K64" s="69"/>
      <c r="O64" s="104" t="str">
        <f>+Commodities!D112</f>
        <v>INDDSB2</v>
      </c>
      <c r="P64" s="101" t="str">
        <f t="shared" si="11"/>
        <v>SB2</v>
      </c>
    </row>
    <row r="65" spans="1:16">
      <c r="B65" s="317" t="str">
        <f t="shared" si="0"/>
        <v/>
      </c>
      <c r="C65" s="136"/>
      <c r="D65" s="146" t="str">
        <f>M50 &amp; P$28 &amp; R$28 &amp; VLOOKUP(O$28, $O$50:$P$74,2,FALSE) &amp; "E1"</f>
        <v>INDCDSHBNGAE1</v>
      </c>
      <c r="E65" s="143" t="str">
        <f>+M47 &amp; " " &amp; S$28 &amp; " - " &amp; T$28 &amp; " " &amp; U$28</f>
        <v>Chemical industry Heat Room Boiler - Nat. Gas Existing 1</v>
      </c>
      <c r="F65" s="136" t="s">
        <v>44</v>
      </c>
      <c r="G65" s="136" t="s">
        <v>46</v>
      </c>
      <c r="H65" s="136"/>
      <c r="I65" s="136"/>
      <c r="J65" s="136"/>
      <c r="K65" s="69"/>
      <c r="O65" s="104" t="str">
        <f>+Commodities!D113</f>
        <v>INDSNG1</v>
      </c>
      <c r="P65" s="101" t="str">
        <f t="shared" si="11"/>
        <v>NG1</v>
      </c>
    </row>
    <row r="66" spans="1:16">
      <c r="B66" s="317" t="str">
        <f t="shared" si="0"/>
        <v/>
      </c>
      <c r="C66" s="136"/>
      <c r="D66" s="146" t="str">
        <f>M50 &amp; P$29 &amp; R$29 &amp; VLOOKUP(O$29, $O$50:$P$74,2,FALSE) &amp; "E1"</f>
        <v>INDCDSHBCOAE1</v>
      </c>
      <c r="E66" s="143" t="str">
        <f>+M47 &amp; " " &amp; S$29 &amp; " - " &amp; T$29 &amp; " " &amp; U$29</f>
        <v>Chemical industry Heat Room Boiler - Coal Existing 1</v>
      </c>
      <c r="F66" s="136" t="s">
        <v>44</v>
      </c>
      <c r="G66" s="136" t="s">
        <v>46</v>
      </c>
      <c r="H66" s="136"/>
      <c r="I66" s="136"/>
      <c r="J66" s="136"/>
      <c r="K66" s="69"/>
      <c r="O66" s="104" t="str">
        <f>+Commodities!D114</f>
        <v>INDSNG2</v>
      </c>
      <c r="P66" s="101" t="str">
        <f t="shared" si="11"/>
        <v>NG2</v>
      </c>
    </row>
    <row r="67" spans="1:16">
      <c r="B67" s="317" t="str">
        <f t="shared" si="0"/>
        <v/>
      </c>
      <c r="C67" s="136"/>
      <c r="D67" s="146" t="str">
        <f>M50 &amp; P$30 &amp; R$30 &amp; VLOOKUP(O$30, $O$50:$P$74,2,FALSE) &amp; "E1"</f>
        <v>INDCDSHBDSLE1</v>
      </c>
      <c r="E67" s="143" t="str">
        <f>+M47 &amp; " " &amp; S$30 &amp; " - " &amp; T$30 &amp; " " &amp; U$30</f>
        <v>Chemical industry Heat Room Boiler - Diesel Existing 1</v>
      </c>
      <c r="F67" s="136" t="s">
        <v>44</v>
      </c>
      <c r="G67" s="136" t="s">
        <v>46</v>
      </c>
      <c r="H67" s="136"/>
      <c r="I67" s="136"/>
      <c r="J67" s="136"/>
      <c r="K67" s="69"/>
      <c r="O67" s="104" t="str">
        <f>+Commodities!D115</f>
        <v>INDGSL</v>
      </c>
      <c r="P67" s="101" t="str">
        <f t="shared" si="11"/>
        <v>GSL</v>
      </c>
    </row>
    <row r="68" spans="1:16">
      <c r="B68" s="317" t="str">
        <f t="shared" si="0"/>
        <v/>
      </c>
      <c r="C68" s="136"/>
      <c r="D68" s="146" t="str">
        <f>M50 &amp; P$31 &amp; R$31 &amp; VLOOKUP(O$31, $O$50:$P$74,2,FALSE) &amp; "E1"</f>
        <v>INDCDSHBWPEE1</v>
      </c>
      <c r="E68" s="143" t="str">
        <f>+M47 &amp; " " &amp; S$31 &amp; " - " &amp; T$31 &amp; " " &amp; U$31</f>
        <v>Chemical industry Heat Room Boiler - Wood Pellets Existing 1</v>
      </c>
      <c r="F68" s="136" t="s">
        <v>44</v>
      </c>
      <c r="G68" s="136" t="s">
        <v>46</v>
      </c>
      <c r="H68" s="136"/>
      <c r="I68" s="136"/>
      <c r="J68" s="136"/>
      <c r="K68" s="69"/>
      <c r="O68" s="104" t="str">
        <f>+Commodities!D116</f>
        <v>INDGSB1</v>
      </c>
      <c r="P68" s="101" t="str">
        <f t="shared" si="11"/>
        <v>SB1</v>
      </c>
    </row>
    <row r="69" spans="1:16">
      <c r="B69" s="317" t="str">
        <f t="shared" si="0"/>
        <v>*</v>
      </c>
      <c r="C69" s="136"/>
      <c r="D69" s="146"/>
      <c r="E69" s="143"/>
      <c r="F69" s="136"/>
      <c r="G69" s="136"/>
      <c r="H69" s="136"/>
      <c r="I69" s="136"/>
      <c r="J69" s="136"/>
      <c r="K69" s="69"/>
      <c r="O69" s="208" t="str">
        <f>+Commodities!D117</f>
        <v>INDGSB2</v>
      </c>
      <c r="P69" s="207" t="str">
        <f t="shared" si="11"/>
        <v>SB2</v>
      </c>
    </row>
    <row r="70" spans="1:16">
      <c r="B70" s="317" t="str">
        <f t="shared" si="0"/>
        <v/>
      </c>
      <c r="C70" s="136"/>
      <c r="D70" s="146" t="str">
        <f>M50 &amp; P$33 &amp; R$33 &amp; VLOOKUP(O$33, $O$50:$P$74,2,FALSE) &amp; "E1"</f>
        <v>INDCDSHBBGAE1</v>
      </c>
      <c r="E70" s="143" t="str">
        <f>+M47 &amp; " " &amp; S$33 &amp; " - " &amp; T$33 &amp; " " &amp; U$33</f>
        <v>Chemical industry Heat Room Boiler - Biogas Existing 1</v>
      </c>
      <c r="F70" s="136" t="s">
        <v>44</v>
      </c>
      <c r="G70" s="136" t="s">
        <v>46</v>
      </c>
      <c r="H70" s="136"/>
      <c r="I70" s="136"/>
      <c r="J70" s="136"/>
      <c r="K70" s="69"/>
      <c r="N70" s="50" t="s">
        <v>234</v>
      </c>
      <c r="O70" s="160" t="str">
        <f>+O7</f>
        <v>INDSNG1,INDSNG2,INDNGA</v>
      </c>
      <c r="P70" s="195" t="s">
        <v>97</v>
      </c>
    </row>
    <row r="71" spans="1:16">
      <c r="B71" s="317" t="str">
        <f t="shared" si="0"/>
        <v/>
      </c>
      <c r="C71" s="136"/>
      <c r="D71" s="146" t="str">
        <f>M50 &amp; P$34 &amp; R$34 &amp; VLOOKUP(O$34, $O$50:$P$74,2,FALSE) &amp; "E1"</f>
        <v>INDCDSHBHFOE1</v>
      </c>
      <c r="E71" s="143" t="str">
        <f>+M47 &amp; " " &amp; S$34 &amp; " - " &amp; T$34 &amp; " " &amp; U$34</f>
        <v>Chemical industry Heat Room Boiler - Heavy Fuel Oil Existing 1</v>
      </c>
      <c r="F71" s="136" t="s">
        <v>44</v>
      </c>
      <c r="G71" s="136" t="s">
        <v>46</v>
      </c>
      <c r="H71" s="136"/>
      <c r="I71" s="136"/>
      <c r="J71" s="136"/>
      <c r="K71" s="69"/>
      <c r="O71" s="158" t="str">
        <f>+O9</f>
        <v>INDDSB1,INDDSB2,INDDSL</v>
      </c>
      <c r="P71" s="195" t="s">
        <v>59</v>
      </c>
    </row>
    <row r="72" spans="1:16">
      <c r="B72" s="317" t="str">
        <f t="shared" ref="B72:B80" si="12">+IF(ISBLANK(D72),"*","")</f>
        <v/>
      </c>
      <c r="C72" s="136"/>
      <c r="D72" s="146" t="str">
        <f>M50 &amp; P$35 &amp; R$35 &amp; VLOOKUP(O$35, $O$50:$P$74,2,FALSE) &amp; "E1"</f>
        <v>INDCDSHBLPGE1</v>
      </c>
      <c r="E72" s="143" t="str">
        <f>+M47 &amp; " " &amp; S$35 &amp; " - " &amp; T$35 &amp; " " &amp; U$35</f>
        <v>Chemical industry Heat Room Boiler - Liquified Petroleum Gas Existing 1</v>
      </c>
      <c r="F72" s="136" t="s">
        <v>44</v>
      </c>
      <c r="G72" s="136" t="s">
        <v>46</v>
      </c>
      <c r="H72" s="136"/>
      <c r="I72" s="136"/>
      <c r="J72" s="136"/>
      <c r="K72" s="69"/>
      <c r="O72" s="158" t="str">
        <f>+O42</f>
        <v>INDDSB1,INDDSB2,INDDSL</v>
      </c>
      <c r="P72" s="195" t="s">
        <v>59</v>
      </c>
    </row>
    <row r="73" spans="1:16">
      <c r="B73" s="317" t="str">
        <f t="shared" si="12"/>
        <v/>
      </c>
      <c r="C73" s="136"/>
      <c r="D73" s="146" t="str">
        <f>M50 &amp; P$36 &amp; R$36 &amp; VLOOKUP(O$36, $O$50:$P$74,2,FALSE) &amp; "E1"</f>
        <v>INDCDSHBWSTE1</v>
      </c>
      <c r="E73" s="143" t="str">
        <f>+M47 &amp; " " &amp; S$36 &amp; " - " &amp; T$36 &amp; " " &amp; U$36</f>
        <v>Chemical industry Heat Room Boiler - Waste Existing 1</v>
      </c>
      <c r="F73" s="136" t="s">
        <v>44</v>
      </c>
      <c r="G73" s="136" t="s">
        <v>46</v>
      </c>
      <c r="H73" s="136"/>
      <c r="I73" s="136"/>
      <c r="J73" s="136"/>
      <c r="K73" s="69"/>
      <c r="O73" s="158" t="str">
        <f>+O43</f>
        <v>INDLPG,INDSNG1,INDSNG2</v>
      </c>
      <c r="P73" s="195" t="s">
        <v>53</v>
      </c>
    </row>
    <row r="74" spans="1:16">
      <c r="B74" s="317" t="str">
        <f t="shared" si="12"/>
        <v/>
      </c>
      <c r="C74" s="136"/>
      <c r="D74" s="146" t="str">
        <f>M50 &amp; P$37 &amp; R$37 &amp; VLOOKUP(O$37, $O$50:$P$74,2,FALSE) &amp; "E1"</f>
        <v>INDCDSHBHETE1</v>
      </c>
      <c r="E74" s="143" t="str">
        <f>+M47 &amp; " " &amp; S$37 &amp; " - " &amp; T$37 &amp; " " &amp; U$37</f>
        <v>Chemical industry Heat Room Boiler - Dist. Heat Existing 1</v>
      </c>
      <c r="F74" s="136" t="s">
        <v>44</v>
      </c>
      <c r="G74" s="136" t="s">
        <v>46</v>
      </c>
      <c r="H74" s="136"/>
      <c r="I74" s="136"/>
      <c r="J74" s="136"/>
      <c r="K74" s="69"/>
      <c r="O74" s="159" t="e">
        <f>+#REF!</f>
        <v>#REF!</v>
      </c>
      <c r="P74" s="209" t="s">
        <v>225</v>
      </c>
    </row>
    <row r="75" spans="1:16">
      <c r="B75" s="317" t="str">
        <f t="shared" si="12"/>
        <v/>
      </c>
      <c r="C75" s="146"/>
      <c r="D75" s="146" t="str">
        <f>M50 &amp; P$38 &amp; R$38 &amp; VLOOKUP(O$38, $O$50:$P$74,2,FALSE) &amp; "E2"</f>
        <v>INDCDSHBHETE2</v>
      </c>
      <c r="E75" s="143" t="str">
        <f>+M47 &amp; " " &amp; S$38 &amp; " - " &amp; T$38 &amp; " " &amp; U$38</f>
        <v>Chemical industry Heat Room Boiler - Dist. Heat Existing 2</v>
      </c>
      <c r="F75" s="317" t="s">
        <v>44</v>
      </c>
      <c r="G75" s="317" t="s">
        <v>46</v>
      </c>
      <c r="H75" s="146"/>
      <c r="I75" s="146"/>
      <c r="J75" s="146"/>
      <c r="K75" s="69"/>
      <c r="O75" s="25" t="str">
        <f>+"(used in formulas in column " &amp; CHAR(COLUMN(D7)+64) &amp; ")"</f>
        <v>(used in formulas in column D)</v>
      </c>
    </row>
    <row r="76" spans="1:16">
      <c r="B76" s="317" t="str">
        <f t="shared" si="12"/>
        <v/>
      </c>
      <c r="C76" s="146"/>
      <c r="D76" s="144" t="str">
        <f>M50 &amp; P$39 &amp; R$39 &amp; VLOOKUP(O$39, $O$50:$P$74,2,FALSE) &amp; "E1"</f>
        <v>INDCDSHBELCE1</v>
      </c>
      <c r="E76" s="144" t="str">
        <f>+M47 &amp; " " &amp; S$39 &amp; " - " &amp; T$39 &amp; " " &amp; U$39</f>
        <v>Chemical industry Heat Room Boiler - Electricity Existing 1</v>
      </c>
      <c r="F76" s="139" t="s">
        <v>44</v>
      </c>
      <c r="G76" s="139" t="s">
        <v>46</v>
      </c>
      <c r="H76" s="139"/>
      <c r="I76" s="139"/>
      <c r="J76" s="139"/>
      <c r="K76" s="69"/>
    </row>
    <row r="77" spans="1:16">
      <c r="B77" s="317" t="str">
        <f t="shared" si="12"/>
        <v/>
      </c>
      <c r="C77" s="146"/>
      <c r="D77" s="146" t="str">
        <f>M50 &amp; P$40 &amp; R$40 &amp; VLOOKUP(O$40, $O$50:$P$74,2,FALSE) &amp; "E1"</f>
        <v>INDCDLAAELCE1</v>
      </c>
      <c r="E77" s="146" t="str">
        <f>+M47 &amp; " " &amp; S$40 &amp; " - " &amp; T$40 &amp; " " &amp; U$40</f>
        <v>Chemical industry Electricity Light Appliance - Electricity Existing 1</v>
      </c>
      <c r="F77" s="149" t="s">
        <v>44</v>
      </c>
      <c r="G77" s="146" t="s">
        <v>46</v>
      </c>
      <c r="H77" s="146"/>
      <c r="I77" s="146"/>
      <c r="J77" s="146"/>
      <c r="K77" s="69"/>
    </row>
    <row r="78" spans="1:16">
      <c r="B78" s="317" t="str">
        <f t="shared" si="12"/>
        <v/>
      </c>
      <c r="C78" s="146"/>
      <c r="D78" s="144" t="str">
        <f>M50 &amp; P$41 &amp; R$41 &amp; VLOOKUP(O$41, $O$50:$P$74,2,FALSE) &amp; "E1"</f>
        <v>INDCDEMMELCE1</v>
      </c>
      <c r="E78" s="144" t="str">
        <f>+M47 &amp; " " &amp; S$41 &amp; " - " &amp; T$41 &amp; " " &amp; U$41</f>
        <v>Chemical industry Electricity Motors - Electricity Existing 1</v>
      </c>
      <c r="F78" s="139" t="s">
        <v>44</v>
      </c>
      <c r="G78" s="139" t="s">
        <v>46</v>
      </c>
      <c r="H78" s="139"/>
      <c r="I78" s="139"/>
      <c r="J78" s="139"/>
      <c r="K78" s="69"/>
    </row>
    <row r="79" spans="1:16">
      <c r="A79" s="236"/>
      <c r="B79" s="317" t="str">
        <f t="shared" si="12"/>
        <v/>
      </c>
      <c r="C79" s="146"/>
      <c r="D79" s="237" t="str">
        <f>M50 &amp; P$42 &amp; R$42 &amp; VLOOKUP(O$42, $O$50:$P$74,2,FALSE) &amp; "E1"</f>
        <v>INDCDTFTDSLE1</v>
      </c>
      <c r="E79" s="146" t="str">
        <f>+M47 &amp; " " &amp; S$42 &amp; " - " &amp; T$42 &amp; " " &amp; U$42</f>
        <v>Chemical industry Tractors, Trucks, Fishing boats, Forest machines - Diesel Existing 1</v>
      </c>
      <c r="F79" s="146" t="s">
        <v>44</v>
      </c>
      <c r="G79" s="146" t="s">
        <v>46</v>
      </c>
      <c r="H79" s="146"/>
      <c r="I79" s="146"/>
      <c r="J79" s="146"/>
    </row>
    <row r="80" spans="1:16">
      <c r="A80" s="236"/>
      <c r="B80" s="317" t="str">
        <f t="shared" si="12"/>
        <v/>
      </c>
      <c r="C80" s="146"/>
      <c r="D80" s="237" t="str">
        <f>M50&amp;P$43&amp;R$43&amp;VLOOKUP(O$43,$O$50:$P$74,2,FALSE)&amp;"E1"</f>
        <v>INDCDFLTLPGE1</v>
      </c>
      <c r="E80" s="146" t="str">
        <f>+M47 &amp; " " &amp; S$43 &amp; " - " &amp; T$43 &amp; " " &amp; U$43</f>
        <v>Chemical industry Forklifts - LPG Existing 1</v>
      </c>
      <c r="F80" s="146" t="s">
        <v>44</v>
      </c>
      <c r="G80" s="146" t="s">
        <v>46</v>
      </c>
      <c r="H80" s="146"/>
      <c r="I80" s="146"/>
      <c r="J80" s="146"/>
    </row>
    <row r="81" spans="1:21" ht="15">
      <c r="A81" s="34"/>
      <c r="B81" s="142" t="s">
        <v>25</v>
      </c>
      <c r="C81" s="256"/>
      <c r="D81" s="175" t="str">
        <f>M87 &amp; P$7 &amp; R$7 &amp; VLOOKUP(O$7, $O$50:$P$74,2,FALSE) &amp; "E1"</f>
        <v>INDADPHBNGAE1</v>
      </c>
      <c r="E81" s="141" t="str">
        <f>+M84 &amp; " " &amp; S$7 &amp; " - " &amp; T$7 &amp; " " &amp; U$7</f>
        <v>Aluminium industry Heat Medium Temp. Boiler - Nat. Gas Existing 1</v>
      </c>
      <c r="F81" s="142" t="s">
        <v>44</v>
      </c>
      <c r="G81" s="142" t="s">
        <v>46</v>
      </c>
      <c r="H81" s="142"/>
      <c r="I81" s="257"/>
      <c r="J81" s="142"/>
      <c r="K81" s="196"/>
      <c r="L81" s="62" t="s">
        <v>196</v>
      </c>
      <c r="M81" s="131">
        <f>+M44+1</f>
        <v>3</v>
      </c>
      <c r="Q81" s="57"/>
      <c r="R81" s="60"/>
      <c r="S81" s="57"/>
      <c r="T81" s="58"/>
      <c r="U81" s="59"/>
    </row>
    <row r="82" spans="1:21">
      <c r="B82" s="317" t="str">
        <f t="shared" ref="B82:B117" si="13">+IF(ISBLANK(D82),"*","")</f>
        <v/>
      </c>
      <c r="C82" s="136"/>
      <c r="D82" s="146" t="str">
        <f>M87 &amp; P$8 &amp; R$8 &amp; VLOOKUP(O$8, $O$50:$P$74,2,FALSE) &amp; "E1"</f>
        <v>INDADPHBCOAE1</v>
      </c>
      <c r="E82" s="143" t="str">
        <f>+M84 &amp; " " &amp; S$8 &amp; " - " &amp; T$8 &amp; " " &amp; U$8</f>
        <v>Aluminium industry Heat Medium Temp. Boiler - Coal Existing 1</v>
      </c>
      <c r="F82" s="136" t="s">
        <v>44</v>
      </c>
      <c r="G82" s="136" t="s">
        <v>46</v>
      </c>
      <c r="H82" s="136"/>
      <c r="I82" s="133"/>
      <c r="J82" s="136"/>
      <c r="K82" s="69"/>
      <c r="L82" s="25" t="s">
        <v>130</v>
      </c>
      <c r="O82" s="58"/>
      <c r="P82" s="58"/>
      <c r="Q82" s="57"/>
      <c r="R82" s="60"/>
      <c r="S82" s="57"/>
      <c r="T82" s="58"/>
      <c r="U82" s="59"/>
    </row>
    <row r="83" spans="1:21">
      <c r="B83" s="317" t="str">
        <f t="shared" si="13"/>
        <v/>
      </c>
      <c r="C83" s="136"/>
      <c r="D83" s="146" t="str">
        <f>M87 &amp; P$9 &amp; R$9 &amp; VLOOKUP(O$9, $O$50:$P$74,2,FALSE) &amp; "E1"</f>
        <v>INDADPHBDSLE1</v>
      </c>
      <c r="E83" s="143" t="str">
        <f>+M84 &amp; " " &amp; S$9 &amp; " - " &amp; T$9 &amp; " " &amp; U$9</f>
        <v>Aluminium industry Heat Medium Temp. Boiler - Diesel Existing 1</v>
      </c>
      <c r="F83" s="136" t="s">
        <v>44</v>
      </c>
      <c r="G83" s="136" t="s">
        <v>46</v>
      </c>
      <c r="H83" s="136"/>
      <c r="I83" s="136"/>
      <c r="J83" s="136"/>
      <c r="K83" s="69"/>
      <c r="L83" s="62" t="s">
        <v>198</v>
      </c>
      <c r="M83" s="64" t="s">
        <v>135</v>
      </c>
      <c r="O83" s="57"/>
      <c r="P83" s="57"/>
    </row>
    <row r="84" spans="1:21">
      <c r="B84" s="317" t="str">
        <f t="shared" si="13"/>
        <v/>
      </c>
      <c r="C84" s="136"/>
      <c r="D84" s="146" t="str">
        <f>M87 &amp; P$10 &amp; R$10 &amp; VLOOKUP(O$10, $O$50:$P$74,2,FALSE) &amp; "E1"</f>
        <v>INDADPHBWPEE1</v>
      </c>
      <c r="E84" s="143" t="str">
        <f>+M84 &amp; " " &amp; S$10 &amp; " - " &amp; T$10 &amp; " " &amp; U$10</f>
        <v>Aluminium industry Heat Medium Temp. Boiler - Wood Pellets Existing 1</v>
      </c>
      <c r="F84" s="136" t="s">
        <v>44</v>
      </c>
      <c r="G84" s="136" t="s">
        <v>46</v>
      </c>
      <c r="H84" s="136"/>
      <c r="I84" s="136"/>
      <c r="J84" s="136"/>
      <c r="K84" s="69"/>
      <c r="L84" s="62" t="s">
        <v>201</v>
      </c>
      <c r="M84" s="70" t="str">
        <f>+INDEX(Commodities!$X$6:$X$17,M81)</f>
        <v>Aluminium industry</v>
      </c>
      <c r="O84" s="57"/>
      <c r="P84" s="57"/>
    </row>
    <row r="85" spans="1:21">
      <c r="B85" s="317" t="str">
        <f t="shared" si="13"/>
        <v>*</v>
      </c>
      <c r="C85" s="136"/>
      <c r="D85" s="146"/>
      <c r="E85" s="143"/>
      <c r="F85" s="136"/>
      <c r="G85" s="136"/>
      <c r="H85" s="136"/>
      <c r="I85" s="136"/>
      <c r="J85" s="136"/>
      <c r="K85" s="69"/>
      <c r="L85" s="62" t="s">
        <v>130</v>
      </c>
      <c r="M85" s="70" t="str">
        <f>+INDEX(Commodities!$Y$6:$Y$17,M81)</f>
        <v>03 Non-ferrous metal</v>
      </c>
      <c r="O85" s="57"/>
      <c r="P85" s="57"/>
    </row>
    <row r="86" spans="1:21">
      <c r="B86" s="317" t="str">
        <f t="shared" si="13"/>
        <v/>
      </c>
      <c r="C86" s="136"/>
      <c r="D86" s="146" t="str">
        <f>M87 &amp; P$12 &amp; R$12 &amp; VLOOKUP(O$12, $O$50:$P$74,2,FALSE) &amp; "E1"</f>
        <v>INDADPHBBGAE1</v>
      </c>
      <c r="E86" s="143" t="str">
        <f>+M84 &amp; " " &amp; S$12 &amp; " - " &amp; T$12 &amp; " " &amp; U$12</f>
        <v>Aluminium industry Heat Medium Temp. Boiler - Biogas Existing 1</v>
      </c>
      <c r="F86" s="136" t="s">
        <v>44</v>
      </c>
      <c r="G86" s="136" t="s">
        <v>46</v>
      </c>
      <c r="H86" s="136"/>
      <c r="I86" s="136"/>
      <c r="J86" s="136"/>
      <c r="K86" s="69"/>
      <c r="L86" s="62" t="s">
        <v>197</v>
      </c>
      <c r="M86" s="70" t="str">
        <f>+INDEX(Commodities!$U$6:$U$17,M81)</f>
        <v>IA</v>
      </c>
      <c r="O86" s="57"/>
      <c r="P86" s="57"/>
    </row>
    <row r="87" spans="1:21">
      <c r="B87" s="317" t="str">
        <f t="shared" si="13"/>
        <v/>
      </c>
      <c r="C87" s="136"/>
      <c r="D87" s="146" t="str">
        <f>M87 &amp; P$13 &amp; R$13 &amp; VLOOKUP(O$13, $O$50:$P$74,2,FALSE) &amp; "E1"</f>
        <v>INDADPHBHFOE1</v>
      </c>
      <c r="E87" s="143" t="str">
        <f>+M84 &amp; " " &amp; S$13 &amp; " - " &amp; T$13 &amp; " " &amp; U$13</f>
        <v>Aluminium industry Heat Medium Temp. Boiler - Heavy Fuel Oil Existing 1</v>
      </c>
      <c r="F87" s="136" t="s">
        <v>44</v>
      </c>
      <c r="G87" s="136" t="s">
        <v>46</v>
      </c>
      <c r="H87" s="136"/>
      <c r="I87" s="136"/>
      <c r="J87" s="136"/>
      <c r="K87" s="69"/>
      <c r="L87" s="62" t="s">
        <v>197</v>
      </c>
      <c r="M87" s="70" t="str">
        <f>+INDEX(Commodities!$W$6:$W$17,M81)</f>
        <v>INDA</v>
      </c>
      <c r="O87" s="57"/>
      <c r="P87" s="57"/>
    </row>
    <row r="88" spans="1:21">
      <c r="B88" s="317" t="str">
        <f t="shared" si="13"/>
        <v/>
      </c>
      <c r="C88" s="136"/>
      <c r="D88" s="146" t="str">
        <f>M87 &amp; P$14 &amp; R$14 &amp; VLOOKUP(O$14, $O$50:$P$74,2,FALSE) &amp; "E1"</f>
        <v>INDADPHBLPGE1</v>
      </c>
      <c r="E88" s="143" t="str">
        <f>+M84 &amp; " " &amp; S$14 &amp; " - " &amp; T$14 &amp; " " &amp; U$14</f>
        <v>Aluminium industry Heat Medium Temp. Boiler - Liquified Petroleum Gas Existing 1</v>
      </c>
      <c r="F88" s="136" t="s">
        <v>44</v>
      </c>
      <c r="G88" s="136" t="s">
        <v>46</v>
      </c>
      <c r="H88" s="136"/>
      <c r="I88" s="136"/>
      <c r="J88" s="136"/>
      <c r="K88" s="69"/>
      <c r="O88" s="57"/>
      <c r="P88" s="57"/>
    </row>
    <row r="89" spans="1:21">
      <c r="B89" s="317" t="str">
        <f t="shared" si="13"/>
        <v/>
      </c>
      <c r="C89" s="136"/>
      <c r="D89" s="146" t="str">
        <f>M87 &amp; P$15 &amp; R$15 &amp; VLOOKUP(O$15, $O$50:$P$74,2,FALSE) &amp; "E1"</f>
        <v>INDADPHBWSTE1</v>
      </c>
      <c r="E89" s="143" t="str">
        <f>+M84 &amp; " " &amp; S$15 &amp; " - " &amp; T$15 &amp; " " &amp; U$15</f>
        <v>Aluminium industry Heat Medium Temp. Boiler - Waste Existing 1</v>
      </c>
      <c r="F89" s="136" t="s">
        <v>44</v>
      </c>
      <c r="G89" s="136" t="s">
        <v>46</v>
      </c>
      <c r="H89" s="136"/>
      <c r="I89" s="136"/>
      <c r="J89" s="136"/>
      <c r="K89" s="69"/>
      <c r="O89" s="57"/>
      <c r="P89" s="57"/>
    </row>
    <row r="90" spans="1:21">
      <c r="B90" s="317" t="str">
        <f t="shared" si="13"/>
        <v/>
      </c>
      <c r="C90" s="136"/>
      <c r="D90" s="146" t="str">
        <f>M87 &amp; P$16 &amp; R$16 &amp; VLOOKUP(O$16, $O$50:$P$74,2,FALSE) &amp; "E1"</f>
        <v>INDADPHBHETE1</v>
      </c>
      <c r="E90" s="143" t="str">
        <f>+M84 &amp; " " &amp; S$16 &amp; " - " &amp; T$16 &amp; " " &amp; U$16</f>
        <v>Aluminium industry Heat Medium Temp. Boiler - Dist. Heat Existing 1</v>
      </c>
      <c r="F90" s="136" t="s">
        <v>44</v>
      </c>
      <c r="G90" s="136" t="s">
        <v>46</v>
      </c>
      <c r="H90" s="136"/>
      <c r="I90" s="136"/>
      <c r="J90" s="136"/>
      <c r="K90" s="69"/>
      <c r="O90" s="57"/>
      <c r="P90" s="57"/>
    </row>
    <row r="91" spans="1:21">
      <c r="B91" s="317" t="str">
        <f t="shared" si="13"/>
        <v/>
      </c>
      <c r="C91" s="136"/>
      <c r="D91" s="146" t="str">
        <f>M87 &amp; P$17 &amp; R$17 &amp; VLOOKUP(O$17, $O$50:$P$74,2,FALSE) &amp; "E2"</f>
        <v>INDADPHBHETE2</v>
      </c>
      <c r="E91" s="143" t="str">
        <f>+M84 &amp; " " &amp; S$17 &amp; " - " &amp; T$17 &amp; " " &amp; U$17</f>
        <v>Aluminium industry Heat Medium Temp. Boiler - Dist. Heat Existing 2</v>
      </c>
      <c r="F91" s="317" t="s">
        <v>44</v>
      </c>
      <c r="G91" s="317" t="s">
        <v>46</v>
      </c>
      <c r="H91" s="136"/>
      <c r="I91" s="136"/>
      <c r="J91" s="136"/>
      <c r="K91" s="69"/>
      <c r="O91" s="57"/>
      <c r="P91" s="57"/>
    </row>
    <row r="92" spans="1:21">
      <c r="B92" s="317" t="str">
        <f t="shared" si="13"/>
        <v/>
      </c>
      <c r="C92" s="136"/>
      <c r="D92" s="144" t="str">
        <f>M87 &amp; P$18 &amp; R$18 &amp; VLOOKUP(O$18, $O$50:$P$74,2,FALSE) &amp; "E1"</f>
        <v>INDADPHBELCE1</v>
      </c>
      <c r="E92" s="144" t="str">
        <f>+M84 &amp; " " &amp; S$18 &amp; " - " &amp; T$18 &amp; " " &amp; U$18</f>
        <v>Aluminium industry Heat Medium Temp. Boiler - Electricity Existing 1</v>
      </c>
      <c r="F92" s="139" t="s">
        <v>44</v>
      </c>
      <c r="G92" s="139" t="s">
        <v>46</v>
      </c>
      <c r="H92" s="139"/>
      <c r="I92" s="139"/>
      <c r="J92" s="139"/>
      <c r="K92" s="69"/>
      <c r="O92" s="57"/>
      <c r="P92" s="57"/>
    </row>
    <row r="93" spans="1:21">
      <c r="B93" s="317" t="str">
        <f t="shared" si="13"/>
        <v/>
      </c>
      <c r="C93" s="136"/>
      <c r="D93" s="143" t="str">
        <f>M87 &amp; P$19 &amp; R$19 &amp; VLOOKUP(O$19, $O$50:$P$74,2,FALSE) &amp; "E1"</f>
        <v>INDADCOBNGAE1</v>
      </c>
      <c r="E93" s="143" t="str">
        <f>+M84 &amp; " " &amp; S$19 &amp; " - " &amp; T$19 &amp; " " &amp; U$19</f>
        <v>Aluminium industry Heat High Temp. Boiler - Nat. Gas Existing 1</v>
      </c>
      <c r="F93" s="136" t="s">
        <v>44</v>
      </c>
      <c r="G93" s="136" t="s">
        <v>46</v>
      </c>
      <c r="H93" s="136"/>
      <c r="I93" s="136"/>
      <c r="J93" s="136"/>
      <c r="K93" s="69"/>
    </row>
    <row r="94" spans="1:21">
      <c r="B94" s="317" t="str">
        <f t="shared" si="13"/>
        <v/>
      </c>
      <c r="C94" s="136"/>
      <c r="D94" s="143" t="str">
        <f>M87 &amp; P$20 &amp; R$20 &amp; VLOOKUP(O$20, $O$50:$P$74,2,FALSE) &amp; "E1"</f>
        <v>INDADCOBCOAE1</v>
      </c>
      <c r="E94" s="143" t="str">
        <f>+M84 &amp; " " &amp; S$20 &amp; " - " &amp; T$20 &amp; " " &amp; U$20</f>
        <v>Aluminium industry Heat High Temp. Boiler - Coal Existing 1</v>
      </c>
      <c r="F94" s="136" t="s">
        <v>44</v>
      </c>
      <c r="G94" s="136" t="s">
        <v>46</v>
      </c>
      <c r="H94" s="136"/>
      <c r="I94" s="136"/>
      <c r="J94" s="136"/>
      <c r="K94" s="69"/>
    </row>
    <row r="95" spans="1:21">
      <c r="B95" s="317" t="str">
        <f t="shared" si="13"/>
        <v/>
      </c>
      <c r="C95" s="136"/>
      <c r="D95" s="143" t="str">
        <f>M87 &amp; P$21 &amp; R$21 &amp; VLOOKUP(O$21, $O$50:$P$74,2,FALSE) &amp; "E1"</f>
        <v>INDADCOBDSLE1</v>
      </c>
      <c r="E95" s="143" t="str">
        <f>+M84 &amp; " " &amp; S$21 &amp; " - " &amp; T$21 &amp; " " &amp; U$21</f>
        <v>Aluminium industry Heat High Temp. Boiler - Diesel Existing 1</v>
      </c>
      <c r="F95" s="136" t="s">
        <v>44</v>
      </c>
      <c r="G95" s="136" t="s">
        <v>46</v>
      </c>
      <c r="H95" s="136"/>
      <c r="I95" s="136"/>
      <c r="J95" s="136"/>
      <c r="K95" s="69"/>
    </row>
    <row r="96" spans="1:21">
      <c r="B96" s="317" t="str">
        <f t="shared" si="13"/>
        <v/>
      </c>
      <c r="C96" s="136"/>
      <c r="D96" s="143" t="str">
        <f>M87 &amp; P$22 &amp; R$22 &amp; VLOOKUP(O$22, $O$50:$P$74,2,FALSE) &amp; "E1"</f>
        <v>INDADCOBWPEE1</v>
      </c>
      <c r="E96" s="143" t="str">
        <f>+M84 &amp; " " &amp; S$22 &amp; " - " &amp; T$22 &amp; " " &amp; U$22</f>
        <v>Aluminium industry Heat High Temp. Boiler - Wood Pellets Existing 1</v>
      </c>
      <c r="F96" s="136" t="s">
        <v>44</v>
      </c>
      <c r="G96" s="136" t="s">
        <v>46</v>
      </c>
      <c r="H96" s="136"/>
      <c r="I96" s="136"/>
      <c r="J96" s="136"/>
      <c r="K96" s="69"/>
    </row>
    <row r="97" spans="2:11">
      <c r="B97" s="317" t="str">
        <f t="shared" si="13"/>
        <v>*</v>
      </c>
      <c r="C97" s="136"/>
      <c r="D97" s="143"/>
      <c r="E97" s="143"/>
      <c r="F97" s="136"/>
      <c r="G97" s="136"/>
      <c r="H97" s="136"/>
      <c r="I97" s="136"/>
      <c r="J97" s="136"/>
      <c r="K97" s="69"/>
    </row>
    <row r="98" spans="2:11">
      <c r="B98" s="317" t="str">
        <f t="shared" si="13"/>
        <v/>
      </c>
      <c r="C98" s="136"/>
      <c r="D98" s="143" t="str">
        <f>M87 &amp; P$24 &amp; R$24 &amp; VLOOKUP(O$24, $O$50:$P$74,2,FALSE) &amp; "E1"</f>
        <v>INDADCOBHFOE1</v>
      </c>
      <c r="E98" s="143" t="str">
        <f>+M84 &amp; " " &amp; S$24 &amp; " - " &amp; T$24 &amp; " " &amp; U$24</f>
        <v>Aluminium industry Heat High Temp. Boiler - Heavy Fuel Oil Existing 1</v>
      </c>
      <c r="F98" s="136" t="s">
        <v>44</v>
      </c>
      <c r="G98" s="136" t="s">
        <v>46</v>
      </c>
      <c r="H98" s="136"/>
      <c r="I98" s="136"/>
      <c r="J98" s="136"/>
      <c r="K98" s="69"/>
    </row>
    <row r="99" spans="2:11">
      <c r="B99" s="317" t="str">
        <f t="shared" si="13"/>
        <v/>
      </c>
      <c r="C99" s="136"/>
      <c r="D99" s="143" t="str">
        <f>M87 &amp; P$25 &amp; R$25 &amp; VLOOKUP(O$25, $O$50:$P$74,2,FALSE) &amp; "E1"</f>
        <v>INDADCOBLPGE1</v>
      </c>
      <c r="E99" s="143" t="str">
        <f>+M84 &amp; " " &amp; S$25 &amp; " - " &amp; T$25 &amp; " " &amp; U$25</f>
        <v>Aluminium industry Heat High Temp. Boiler - Liquified Petroleum Gas Existing 1</v>
      </c>
      <c r="F99" s="136" t="s">
        <v>44</v>
      </c>
      <c r="G99" s="136" t="s">
        <v>46</v>
      </c>
      <c r="H99" s="136"/>
      <c r="I99" s="136"/>
      <c r="J99" s="136"/>
      <c r="K99" s="69"/>
    </row>
    <row r="100" spans="2:11">
      <c r="B100" s="317" t="str">
        <f t="shared" si="13"/>
        <v/>
      </c>
      <c r="C100" s="136"/>
      <c r="D100" s="143" t="str">
        <f>M87 &amp; P$26 &amp; R$26 &amp; VLOOKUP(O$26, $O$50:$P$74,2,FALSE) &amp; "E1"</f>
        <v>INDADCOBWSTE1</v>
      </c>
      <c r="E100" s="143" t="str">
        <f>+M84 &amp; " " &amp; S$26 &amp; " - " &amp; T$26 &amp; " " &amp; U$26</f>
        <v>Aluminium industry Heat High Temp. Boiler - Waste Existing 1</v>
      </c>
      <c r="F100" s="136" t="s">
        <v>44</v>
      </c>
      <c r="G100" s="136" t="s">
        <v>46</v>
      </c>
      <c r="H100" s="136"/>
      <c r="I100" s="136"/>
      <c r="J100" s="136"/>
      <c r="K100" s="69"/>
    </row>
    <row r="101" spans="2:11">
      <c r="B101" s="317" t="str">
        <f t="shared" si="13"/>
        <v/>
      </c>
      <c r="C101" s="136"/>
      <c r="D101" s="144" t="str">
        <f>M87 &amp; P$27 &amp; R$27 &amp; VLOOKUP(O$27, $O$50:$P$74,2,FALSE) &amp; "E1"</f>
        <v>INDADCOBELCE1</v>
      </c>
      <c r="E101" s="144" t="str">
        <f>+M84 &amp; " " &amp; S$27 &amp; " - " &amp; T$27 &amp; " " &amp; U$27</f>
        <v>Aluminium industry Heat High Temp. Boiler - Electricity Existing 1</v>
      </c>
      <c r="F101" s="139" t="s">
        <v>44</v>
      </c>
      <c r="G101" s="139" t="s">
        <v>46</v>
      </c>
      <c r="H101" s="139"/>
      <c r="I101" s="139"/>
      <c r="J101" s="139"/>
      <c r="K101" s="69"/>
    </row>
    <row r="102" spans="2:11">
      <c r="B102" s="317" t="str">
        <f t="shared" si="13"/>
        <v/>
      </c>
      <c r="C102" s="136"/>
      <c r="D102" s="146" t="str">
        <f>M87 &amp; P$28 &amp; R$28 &amp; VLOOKUP(O$28, $O$50:$P$74,2,FALSE) &amp; "E1"</f>
        <v>INDADSHBNGAE1</v>
      </c>
      <c r="E102" s="143" t="str">
        <f>+M84 &amp; " " &amp; S$28 &amp; " - " &amp; T$28 &amp; " " &amp; U$28</f>
        <v>Aluminium industry Heat Room Boiler - Nat. Gas Existing 1</v>
      </c>
      <c r="F102" s="136" t="s">
        <v>44</v>
      </c>
      <c r="G102" s="136" t="s">
        <v>46</v>
      </c>
      <c r="H102" s="136"/>
      <c r="I102" s="136"/>
      <c r="J102" s="136"/>
      <c r="K102" s="69"/>
    </row>
    <row r="103" spans="2:11">
      <c r="B103" s="317" t="str">
        <f t="shared" si="13"/>
        <v/>
      </c>
      <c r="C103" s="136"/>
      <c r="D103" s="146" t="str">
        <f>M87 &amp; P$29 &amp; R$29 &amp; VLOOKUP(O$29, $O$50:$P$74,2,FALSE) &amp; "E1"</f>
        <v>INDADSHBCOAE1</v>
      </c>
      <c r="E103" s="143" t="str">
        <f>+M84 &amp; " " &amp; S$29 &amp; " - " &amp; T$29 &amp; " " &amp; U$29</f>
        <v>Aluminium industry Heat Room Boiler - Coal Existing 1</v>
      </c>
      <c r="F103" s="136" t="s">
        <v>44</v>
      </c>
      <c r="G103" s="136" t="s">
        <v>46</v>
      </c>
      <c r="H103" s="136"/>
      <c r="I103" s="136"/>
      <c r="J103" s="136"/>
      <c r="K103" s="69"/>
    </row>
    <row r="104" spans="2:11">
      <c r="B104" s="317" t="str">
        <f t="shared" si="13"/>
        <v/>
      </c>
      <c r="C104" s="136"/>
      <c r="D104" s="146" t="str">
        <f>M87 &amp; P$30 &amp; R$30 &amp; VLOOKUP(O$30, $O$50:$P$74,2,FALSE) &amp; "E1"</f>
        <v>INDADSHBDSLE1</v>
      </c>
      <c r="E104" s="143" t="str">
        <f>+M84 &amp; " " &amp; S$30 &amp; " - " &amp; T$30 &amp; " " &amp; U$30</f>
        <v>Aluminium industry Heat Room Boiler - Diesel Existing 1</v>
      </c>
      <c r="F104" s="136" t="s">
        <v>44</v>
      </c>
      <c r="G104" s="136" t="s">
        <v>46</v>
      </c>
      <c r="H104" s="136"/>
      <c r="I104" s="136"/>
      <c r="J104" s="136"/>
      <c r="K104" s="69"/>
    </row>
    <row r="105" spans="2:11">
      <c r="B105" s="317" t="str">
        <f t="shared" si="13"/>
        <v/>
      </c>
      <c r="C105" s="136"/>
      <c r="D105" s="146" t="str">
        <f>M87 &amp; P$31 &amp; R$31 &amp; VLOOKUP(O$31, $O$50:$P$74,2,FALSE) &amp; "E1"</f>
        <v>INDADSHBWPEE1</v>
      </c>
      <c r="E105" s="143" t="str">
        <f>+M84 &amp; " " &amp; S$31 &amp; " - " &amp; T$31 &amp; " " &amp; U$31</f>
        <v>Aluminium industry Heat Room Boiler - Wood Pellets Existing 1</v>
      </c>
      <c r="F105" s="136" t="s">
        <v>44</v>
      </c>
      <c r="G105" s="136" t="s">
        <v>46</v>
      </c>
      <c r="H105" s="136"/>
      <c r="I105" s="136"/>
      <c r="J105" s="136"/>
      <c r="K105" s="69"/>
    </row>
    <row r="106" spans="2:11">
      <c r="B106" s="317" t="str">
        <f t="shared" si="13"/>
        <v>*</v>
      </c>
      <c r="C106" s="136"/>
      <c r="D106" s="146"/>
      <c r="E106" s="143"/>
      <c r="F106" s="136"/>
      <c r="G106" s="136"/>
      <c r="H106" s="136"/>
      <c r="I106" s="136"/>
      <c r="J106" s="136"/>
      <c r="K106" s="69"/>
    </row>
    <row r="107" spans="2:11">
      <c r="B107" s="317" t="str">
        <f t="shared" si="13"/>
        <v/>
      </c>
      <c r="C107" s="136"/>
      <c r="D107" s="146" t="str">
        <f>M87 &amp; P$33 &amp; R$33 &amp; VLOOKUP(O$33, $O$50:$P$74,2,FALSE) &amp; "E1"</f>
        <v>INDADSHBBGAE1</v>
      </c>
      <c r="E107" s="143" t="str">
        <f>+M84 &amp; " " &amp; S$33 &amp; " - " &amp; T$33 &amp; " " &amp; U$33</f>
        <v>Aluminium industry Heat Room Boiler - Biogas Existing 1</v>
      </c>
      <c r="F107" s="136" t="s">
        <v>44</v>
      </c>
      <c r="G107" s="136" t="s">
        <v>46</v>
      </c>
      <c r="H107" s="136"/>
      <c r="I107" s="136"/>
      <c r="J107" s="136"/>
      <c r="K107" s="69"/>
    </row>
    <row r="108" spans="2:11">
      <c r="B108" s="317" t="str">
        <f t="shared" si="13"/>
        <v/>
      </c>
      <c r="C108" s="136"/>
      <c r="D108" s="146" t="str">
        <f>M87 &amp; P$34 &amp; R$34 &amp; VLOOKUP(O$34, $O$50:$P$74,2,FALSE) &amp; "E1"</f>
        <v>INDADSHBHFOE1</v>
      </c>
      <c r="E108" s="143" t="str">
        <f>+M84 &amp; " " &amp; S$34 &amp; " - " &amp; T$34 &amp; " " &amp; U$34</f>
        <v>Aluminium industry Heat Room Boiler - Heavy Fuel Oil Existing 1</v>
      </c>
      <c r="F108" s="136" t="s">
        <v>44</v>
      </c>
      <c r="G108" s="136" t="s">
        <v>46</v>
      </c>
      <c r="H108" s="136"/>
      <c r="I108" s="136"/>
      <c r="J108" s="136"/>
      <c r="K108" s="69"/>
    </row>
    <row r="109" spans="2:11">
      <c r="B109" s="317" t="str">
        <f t="shared" si="13"/>
        <v/>
      </c>
      <c r="C109" s="136"/>
      <c r="D109" s="146" t="str">
        <f>M87 &amp; P$35 &amp; R$35 &amp; VLOOKUP(O$35, $O$50:$P$74,2,FALSE) &amp; "E1"</f>
        <v>INDADSHBLPGE1</v>
      </c>
      <c r="E109" s="143" t="str">
        <f>+M84 &amp; " " &amp; S$35 &amp; " - " &amp; T$35 &amp; " " &amp; U$35</f>
        <v>Aluminium industry Heat Room Boiler - Liquified Petroleum Gas Existing 1</v>
      </c>
      <c r="F109" s="136" t="s">
        <v>44</v>
      </c>
      <c r="G109" s="136" t="s">
        <v>46</v>
      </c>
      <c r="H109" s="136"/>
      <c r="I109" s="136"/>
      <c r="J109" s="136"/>
      <c r="K109" s="69"/>
    </row>
    <row r="110" spans="2:11">
      <c r="B110" s="317" t="str">
        <f t="shared" si="13"/>
        <v/>
      </c>
      <c r="C110" s="136"/>
      <c r="D110" s="146" t="str">
        <f>M87 &amp; P$36 &amp; R$36 &amp; VLOOKUP(O$36, $O$50:$P$74,2,FALSE) &amp; "E1"</f>
        <v>INDADSHBWSTE1</v>
      </c>
      <c r="E110" s="143" t="str">
        <f>+M84 &amp; " " &amp; S$36 &amp; " - " &amp; T$36 &amp; " " &amp; U$36</f>
        <v>Aluminium industry Heat Room Boiler - Waste Existing 1</v>
      </c>
      <c r="F110" s="136" t="s">
        <v>44</v>
      </c>
      <c r="G110" s="136" t="s">
        <v>46</v>
      </c>
      <c r="H110" s="136"/>
      <c r="I110" s="136"/>
      <c r="J110" s="136"/>
      <c r="K110" s="69"/>
    </row>
    <row r="111" spans="2:11">
      <c r="B111" s="317" t="str">
        <f t="shared" si="13"/>
        <v/>
      </c>
      <c r="C111" s="136"/>
      <c r="D111" s="146" t="str">
        <f>M87 &amp; P$37 &amp; R$37 &amp; VLOOKUP(O$37, $O$50:$P$74,2,FALSE) &amp; "E1"</f>
        <v>INDADSHBHETE1</v>
      </c>
      <c r="E111" s="143" t="str">
        <f>+M84 &amp; " " &amp; S$37 &amp; " - " &amp; T$37 &amp; " " &amp; U$37</f>
        <v>Aluminium industry Heat Room Boiler - Dist. Heat Existing 1</v>
      </c>
      <c r="F111" s="136" t="s">
        <v>44</v>
      </c>
      <c r="G111" s="136" t="s">
        <v>46</v>
      </c>
      <c r="H111" s="136"/>
      <c r="I111" s="136"/>
      <c r="J111" s="136"/>
      <c r="K111" s="69"/>
    </row>
    <row r="112" spans="2:11">
      <c r="B112" s="317" t="str">
        <f t="shared" si="13"/>
        <v/>
      </c>
      <c r="C112" s="146"/>
      <c r="D112" s="146" t="str">
        <f>M87 &amp; P$38 &amp; R$38 &amp; VLOOKUP(O$38, $O$50:$P$74,2,FALSE) &amp; "E2"</f>
        <v>INDADSHBHETE2</v>
      </c>
      <c r="E112" s="143" t="str">
        <f>+M84 &amp; " " &amp; S$38 &amp; " - " &amp; T$38 &amp; " " &amp; U$38</f>
        <v>Aluminium industry Heat Room Boiler - Dist. Heat Existing 2</v>
      </c>
      <c r="F112" s="317" t="s">
        <v>44</v>
      </c>
      <c r="G112" s="317" t="s">
        <v>46</v>
      </c>
      <c r="H112" s="146"/>
      <c r="I112" s="146"/>
      <c r="J112" s="146"/>
      <c r="K112" s="69"/>
    </row>
    <row r="113" spans="1:13">
      <c r="B113" s="317" t="str">
        <f t="shared" si="13"/>
        <v/>
      </c>
      <c r="C113" s="146"/>
      <c r="D113" s="144" t="str">
        <f>M87 &amp; P$39 &amp; R$39 &amp; VLOOKUP(O$39, $O$50:$P$74,2,FALSE) &amp; "E1"</f>
        <v>INDADSHBELCE1</v>
      </c>
      <c r="E113" s="144" t="str">
        <f>+M84 &amp; " " &amp; S$39 &amp; " - " &amp; T$39 &amp; " " &amp; U$39</f>
        <v>Aluminium industry Heat Room Boiler - Electricity Existing 1</v>
      </c>
      <c r="F113" s="139" t="s">
        <v>44</v>
      </c>
      <c r="G113" s="139" t="s">
        <v>46</v>
      </c>
      <c r="H113" s="139"/>
      <c r="I113" s="139"/>
      <c r="J113" s="139"/>
      <c r="K113" s="69"/>
    </row>
    <row r="114" spans="1:13">
      <c r="B114" s="317" t="str">
        <f t="shared" si="13"/>
        <v/>
      </c>
      <c r="C114" s="146"/>
      <c r="D114" s="146" t="str">
        <f>M87 &amp; P$40 &amp; R$40 &amp; VLOOKUP(O$40, $O$50:$P$74,2,FALSE) &amp; "E1"</f>
        <v>INDADLAAELCE1</v>
      </c>
      <c r="E114" s="146" t="str">
        <f>+M84 &amp; " " &amp; S$40 &amp; " - " &amp; T$40 &amp; " " &amp; U$40</f>
        <v>Aluminium industry Electricity Light Appliance - Electricity Existing 1</v>
      </c>
      <c r="F114" s="149" t="s">
        <v>44</v>
      </c>
      <c r="G114" s="146" t="s">
        <v>46</v>
      </c>
      <c r="H114" s="146"/>
      <c r="I114" s="146"/>
      <c r="J114" s="146"/>
      <c r="K114" s="69"/>
    </row>
    <row r="115" spans="1:13">
      <c r="B115" s="317" t="str">
        <f t="shared" si="13"/>
        <v/>
      </c>
      <c r="C115" s="146"/>
      <c r="D115" s="144" t="str">
        <f>M87 &amp; P$41 &amp; R$41 &amp; VLOOKUP(O$41, $O$50:$P$74,2,FALSE) &amp; "E1"</f>
        <v>INDADEMMELCE1</v>
      </c>
      <c r="E115" s="144" t="str">
        <f>+M84 &amp; " " &amp; S$41 &amp; " - " &amp; T$41 &amp; " " &amp; U$41</f>
        <v>Aluminium industry Electricity Motors - Electricity Existing 1</v>
      </c>
      <c r="F115" s="139" t="s">
        <v>44</v>
      </c>
      <c r="G115" s="139" t="s">
        <v>46</v>
      </c>
      <c r="H115" s="139"/>
      <c r="I115" s="139"/>
      <c r="J115" s="139"/>
      <c r="K115" s="69"/>
    </row>
    <row r="116" spans="1:13">
      <c r="A116" s="236"/>
      <c r="B116" s="317" t="str">
        <f t="shared" si="13"/>
        <v/>
      </c>
      <c r="C116" s="146"/>
      <c r="D116" s="237" t="str">
        <f>M87 &amp; P$42 &amp; R$42 &amp; VLOOKUP(O$42, $O$50:$P$74,2,FALSE) &amp; "E1"</f>
        <v>INDADTFTDSLE1</v>
      </c>
      <c r="E116" s="146" t="str">
        <f>+M84 &amp; " " &amp; S$42 &amp; " - " &amp; T$42 &amp; " " &amp; U$42</f>
        <v>Aluminium industry Tractors, Trucks, Fishing boats, Forest machines - Diesel Existing 1</v>
      </c>
      <c r="F116" s="146" t="s">
        <v>44</v>
      </c>
      <c r="G116" s="146" t="s">
        <v>46</v>
      </c>
      <c r="H116" s="146"/>
      <c r="I116" s="146"/>
      <c r="J116" s="146"/>
    </row>
    <row r="117" spans="1:13">
      <c r="A117" s="236"/>
      <c r="B117" s="317" t="str">
        <f t="shared" si="13"/>
        <v/>
      </c>
      <c r="C117" s="146"/>
      <c r="D117" s="237" t="str">
        <f>M87&amp;P$43&amp;R$43&amp;VLOOKUP(O$43,$O$50:$P$74,2,FALSE)&amp;"E1"</f>
        <v>INDADFLTLPGE1</v>
      </c>
      <c r="E117" s="146" t="str">
        <f>+M84 &amp; " " &amp; S$43 &amp; " - " &amp; T$43 &amp; " " &amp; U$43</f>
        <v>Aluminium industry Forklifts - LPG Existing 1</v>
      </c>
      <c r="F117" s="146" t="s">
        <v>44</v>
      </c>
      <c r="G117" s="146" t="s">
        <v>46</v>
      </c>
      <c r="H117" s="146"/>
      <c r="I117" s="146"/>
      <c r="J117" s="146"/>
    </row>
    <row r="118" spans="1:13" ht="15">
      <c r="A118" s="34"/>
      <c r="B118" s="142" t="s">
        <v>25</v>
      </c>
      <c r="C118" s="256"/>
      <c r="D118" s="175" t="str">
        <f>M124 &amp; P$7 &amp; R$7 &amp; VLOOKUP(O$7, $O$50:$P$74,2,FALSE) &amp; "E1"</f>
        <v>INDGDPHBNGAE1</v>
      </c>
      <c r="E118" s="141" t="str">
        <f>+M121 &amp; " " &amp; S$7 &amp; " - " &amp; T$7 &amp; " " &amp; U$7</f>
        <v>Glass &amp; Concrete industry Heat Medium Temp. Boiler - Nat. Gas Existing 1</v>
      </c>
      <c r="F118" s="142" t="s">
        <v>44</v>
      </c>
      <c r="G118" s="142" t="s">
        <v>46</v>
      </c>
      <c r="H118" s="142"/>
      <c r="I118" s="257"/>
      <c r="J118" s="142"/>
      <c r="K118" s="196"/>
      <c r="L118" s="62" t="s">
        <v>196</v>
      </c>
      <c r="M118" s="131">
        <f>+M81+1</f>
        <v>4</v>
      </c>
    </row>
    <row r="119" spans="1:13">
      <c r="B119" s="317" t="str">
        <f t="shared" ref="B119:B154" si="14">+IF(ISBLANK(D119),"*","")</f>
        <v/>
      </c>
      <c r="C119" s="136"/>
      <c r="D119" s="173" t="str">
        <f>M124 &amp; P$8 &amp; R$8 &amp; VLOOKUP(O$8, $O$50:$P$74,2,FALSE) &amp; "E1"</f>
        <v>INDGDPHBCOAE1</v>
      </c>
      <c r="E119" s="143" t="str">
        <f>+M121 &amp; " " &amp; S$8 &amp; " - " &amp; T$8 &amp; " " &amp; U$8</f>
        <v>Glass &amp; Concrete industry Heat Medium Temp. Boiler - Coal Existing 1</v>
      </c>
      <c r="F119" s="136" t="s">
        <v>44</v>
      </c>
      <c r="G119" s="136" t="s">
        <v>46</v>
      </c>
      <c r="H119" s="136"/>
      <c r="I119" s="133"/>
      <c r="J119" s="136"/>
      <c r="K119" s="69"/>
      <c r="L119" s="25" t="s">
        <v>130</v>
      </c>
    </row>
    <row r="120" spans="1:13">
      <c r="B120" s="317" t="str">
        <f t="shared" si="14"/>
        <v/>
      </c>
      <c r="C120" s="136"/>
      <c r="D120" s="146" t="str">
        <f>M124 &amp; P$9 &amp; R$9 &amp; VLOOKUP(O$9, $O$50:$P$74,2,FALSE) &amp; "E1"</f>
        <v>INDGDPHBDSLE1</v>
      </c>
      <c r="E120" s="143" t="str">
        <f>+M121 &amp; " " &amp; S$9 &amp; " - " &amp; T$9 &amp; " " &amp; U$9</f>
        <v>Glass &amp; Concrete industry Heat Medium Temp. Boiler - Diesel Existing 1</v>
      </c>
      <c r="F120" s="136" t="s">
        <v>44</v>
      </c>
      <c r="G120" s="136" t="s">
        <v>46</v>
      </c>
      <c r="H120" s="136"/>
      <c r="I120" s="136"/>
      <c r="J120" s="136"/>
      <c r="K120" s="69"/>
      <c r="L120" s="62" t="s">
        <v>198</v>
      </c>
      <c r="M120" s="64" t="s">
        <v>135</v>
      </c>
    </row>
    <row r="121" spans="1:13">
      <c r="B121" s="317" t="str">
        <f t="shared" si="14"/>
        <v/>
      </c>
      <c r="C121" s="136"/>
      <c r="D121" s="146" t="str">
        <f>M124 &amp; P$10 &amp; R$10 &amp; VLOOKUP(O$10, $O$50:$P$74,2,FALSE) &amp; "E1"</f>
        <v>INDGDPHBWPEE1</v>
      </c>
      <c r="E121" s="143" t="str">
        <f>+M121 &amp; " " &amp; S$10 &amp; " - " &amp; T$10 &amp; " " &amp; U$10</f>
        <v>Glass &amp; Concrete industry Heat Medium Temp. Boiler - Wood Pellets Existing 1</v>
      </c>
      <c r="F121" s="136" t="s">
        <v>44</v>
      </c>
      <c r="G121" s="136" t="s">
        <v>46</v>
      </c>
      <c r="H121" s="136"/>
      <c r="I121" s="136"/>
      <c r="J121" s="136"/>
      <c r="K121" s="69"/>
      <c r="L121" s="62" t="s">
        <v>201</v>
      </c>
      <c r="M121" s="70" t="str">
        <f>+INDEX(Commodities!$X$6:$X$17,M118)</f>
        <v>Glass &amp; Concrete industry</v>
      </c>
    </row>
    <row r="122" spans="1:13">
      <c r="B122" s="317" t="str">
        <f t="shared" si="14"/>
        <v>*</v>
      </c>
      <c r="C122" s="136"/>
      <c r="D122" s="146"/>
      <c r="E122" s="143"/>
      <c r="F122" s="136"/>
      <c r="G122" s="136"/>
      <c r="H122" s="136"/>
      <c r="I122" s="136"/>
      <c r="J122" s="136"/>
      <c r="K122" s="69"/>
      <c r="L122" s="62" t="s">
        <v>130</v>
      </c>
      <c r="M122" s="70" t="str">
        <f>+INDEX(Commodities!$Y$6:$Y$17,M118)</f>
        <v>04 Non-metallic minerals</v>
      </c>
    </row>
    <row r="123" spans="1:13">
      <c r="B123" s="317" t="str">
        <f t="shared" si="14"/>
        <v/>
      </c>
      <c r="C123" s="136"/>
      <c r="D123" s="146" t="str">
        <f>M124 &amp; P$12 &amp; R$12 &amp; VLOOKUP(O$12, $O$50:$P$74,2,FALSE) &amp; "E1"</f>
        <v>INDGDPHBBGAE1</v>
      </c>
      <c r="E123" s="143" t="str">
        <f>+M121 &amp; " " &amp; S$12 &amp; " - " &amp; T$12 &amp; " " &amp; U$12</f>
        <v>Glass &amp; Concrete industry Heat Medium Temp. Boiler - Biogas Existing 1</v>
      </c>
      <c r="F123" s="136" t="s">
        <v>44</v>
      </c>
      <c r="G123" s="136" t="s">
        <v>46</v>
      </c>
      <c r="H123" s="136"/>
      <c r="I123" s="136"/>
      <c r="J123" s="136"/>
      <c r="K123" s="69"/>
      <c r="L123" s="62" t="s">
        <v>197</v>
      </c>
      <c r="M123" s="70" t="str">
        <f>+INDEX(Commodities!$U$6:$U$17,M118)</f>
        <v>IG</v>
      </c>
    </row>
    <row r="124" spans="1:13">
      <c r="B124" s="317" t="str">
        <f t="shared" si="14"/>
        <v/>
      </c>
      <c r="C124" s="136"/>
      <c r="D124" s="146" t="str">
        <f>M124 &amp; P$13 &amp; R$13 &amp; VLOOKUP(O$13, $O$50:$P$74,2,FALSE) &amp; "E1"</f>
        <v>INDGDPHBHFOE1</v>
      </c>
      <c r="E124" s="143" t="str">
        <f>+M121 &amp; " " &amp; S$13 &amp; " - " &amp; T$13 &amp; " " &amp; U$13</f>
        <v>Glass &amp; Concrete industry Heat Medium Temp. Boiler - Heavy Fuel Oil Existing 1</v>
      </c>
      <c r="F124" s="136" t="s">
        <v>44</v>
      </c>
      <c r="G124" s="136" t="s">
        <v>46</v>
      </c>
      <c r="H124" s="136"/>
      <c r="I124" s="136"/>
      <c r="J124" s="136"/>
      <c r="K124" s="69"/>
      <c r="L124" s="62" t="s">
        <v>197</v>
      </c>
      <c r="M124" s="70" t="str">
        <f>+INDEX(Commodities!$W$6:$W$17,M118)</f>
        <v>INDG</v>
      </c>
    </row>
    <row r="125" spans="1:13">
      <c r="B125" s="317" t="str">
        <f t="shared" si="14"/>
        <v/>
      </c>
      <c r="C125" s="136"/>
      <c r="D125" s="146" t="str">
        <f>M124 &amp; P$14 &amp; R$14 &amp; VLOOKUP(O$14, $O$50:$P$74,2,FALSE) &amp; "E1"</f>
        <v>INDGDPHBLPGE1</v>
      </c>
      <c r="E125" s="143" t="str">
        <f>+M121 &amp; " " &amp; S$14 &amp; " - " &amp; T$14 &amp; " " &amp; U$14</f>
        <v>Glass &amp; Concrete industry Heat Medium Temp. Boiler - Liquified Petroleum Gas Existing 1</v>
      </c>
      <c r="F125" s="136" t="s">
        <v>44</v>
      </c>
      <c r="G125" s="136" t="s">
        <v>46</v>
      </c>
      <c r="H125" s="136"/>
      <c r="I125" s="136"/>
      <c r="J125" s="136"/>
      <c r="K125" s="69"/>
    </row>
    <row r="126" spans="1:13">
      <c r="B126" s="317" t="str">
        <f t="shared" si="14"/>
        <v/>
      </c>
      <c r="C126" s="136"/>
      <c r="D126" s="146" t="str">
        <f>M124 &amp; P$15 &amp; R$15 &amp; VLOOKUP(O$15, $O$50:$P$74,2,FALSE) &amp; "E1"</f>
        <v>INDGDPHBWSTE1</v>
      </c>
      <c r="E126" s="143" t="str">
        <f>+M121 &amp; " " &amp; S$15 &amp; " - " &amp; T$15 &amp; " " &amp; U$15</f>
        <v>Glass &amp; Concrete industry Heat Medium Temp. Boiler - Waste Existing 1</v>
      </c>
      <c r="F126" s="136" t="s">
        <v>44</v>
      </c>
      <c r="G126" s="136" t="s">
        <v>46</v>
      </c>
      <c r="H126" s="136"/>
      <c r="I126" s="136"/>
      <c r="J126" s="136"/>
      <c r="K126" s="69"/>
    </row>
    <row r="127" spans="1:13">
      <c r="B127" s="317" t="str">
        <f t="shared" si="14"/>
        <v/>
      </c>
      <c r="C127" s="136"/>
      <c r="D127" s="146" t="str">
        <f>M124 &amp; P$16 &amp; R$16 &amp; VLOOKUP(O$16, $O$50:$P$74,2,FALSE) &amp; "E1"</f>
        <v>INDGDPHBHETE1</v>
      </c>
      <c r="E127" s="143" t="str">
        <f>+M121 &amp; " " &amp; S$16 &amp; " - " &amp; T$16 &amp; " " &amp; U$16</f>
        <v>Glass &amp; Concrete industry Heat Medium Temp. Boiler - Dist. Heat Existing 1</v>
      </c>
      <c r="F127" s="136" t="s">
        <v>44</v>
      </c>
      <c r="G127" s="136" t="s">
        <v>46</v>
      </c>
      <c r="H127" s="136"/>
      <c r="I127" s="136"/>
      <c r="J127" s="136"/>
      <c r="K127" s="69"/>
    </row>
    <row r="128" spans="1:13">
      <c r="B128" s="317" t="str">
        <f t="shared" si="14"/>
        <v/>
      </c>
      <c r="C128" s="136"/>
      <c r="D128" s="146" t="str">
        <f>M124 &amp; P$17 &amp; R$17 &amp; VLOOKUP(O$17, $O$50:$P$74,2,FALSE) &amp; "E2"</f>
        <v>INDGDPHBHETE2</v>
      </c>
      <c r="E128" s="143" t="str">
        <f>+M121 &amp; " " &amp; S$17 &amp; " - " &amp; T$17 &amp; " " &amp; U$17</f>
        <v>Glass &amp; Concrete industry Heat Medium Temp. Boiler - Dist. Heat Existing 2</v>
      </c>
      <c r="F128" s="317" t="s">
        <v>44</v>
      </c>
      <c r="G128" s="317" t="s">
        <v>46</v>
      </c>
      <c r="H128" s="136"/>
      <c r="I128" s="136"/>
      <c r="J128" s="136"/>
      <c r="K128" s="69"/>
    </row>
    <row r="129" spans="2:11">
      <c r="B129" s="317" t="str">
        <f t="shared" si="14"/>
        <v/>
      </c>
      <c r="C129" s="136"/>
      <c r="D129" s="144" t="str">
        <f>M124 &amp; P$18 &amp; R$18 &amp; VLOOKUP(O$18, $O$50:$P$74,2,FALSE) &amp; "E1"</f>
        <v>INDGDPHBELCE1</v>
      </c>
      <c r="E129" s="144" t="str">
        <f>+M121 &amp; " " &amp; S$18 &amp; " - " &amp; T$18 &amp; " " &amp; U$18</f>
        <v>Glass &amp; Concrete industry Heat Medium Temp. Boiler - Electricity Existing 1</v>
      </c>
      <c r="F129" s="139" t="s">
        <v>44</v>
      </c>
      <c r="G129" s="139" t="s">
        <v>46</v>
      </c>
      <c r="H129" s="139"/>
      <c r="I129" s="139"/>
      <c r="J129" s="139"/>
      <c r="K129" s="69"/>
    </row>
    <row r="130" spans="2:11">
      <c r="B130" s="317" t="str">
        <f t="shared" si="14"/>
        <v/>
      </c>
      <c r="C130" s="136"/>
      <c r="D130" s="143" t="str">
        <f>M124 &amp; P$19 &amp; R$19 &amp; VLOOKUP(O$19, $O$50:$P$74,2,FALSE) &amp; "E1"</f>
        <v>INDGDCOBNGAE1</v>
      </c>
      <c r="E130" s="143" t="str">
        <f>+M121 &amp; " " &amp; S$19 &amp; " - " &amp; T$19 &amp; " " &amp; U$19</f>
        <v>Glass &amp; Concrete industry Heat High Temp. Boiler - Nat. Gas Existing 1</v>
      </c>
      <c r="F130" s="136" t="s">
        <v>44</v>
      </c>
      <c r="G130" s="136" t="s">
        <v>46</v>
      </c>
      <c r="H130" s="136"/>
      <c r="I130" s="136"/>
      <c r="J130" s="136"/>
      <c r="K130" s="69"/>
    </row>
    <row r="131" spans="2:11">
      <c r="B131" s="317" t="str">
        <f t="shared" si="14"/>
        <v/>
      </c>
      <c r="C131" s="136"/>
      <c r="D131" s="143" t="str">
        <f>M124 &amp; P$20 &amp; R$20 &amp; VLOOKUP(O$20, $O$50:$P$74,2,FALSE) &amp; "E1"</f>
        <v>INDGDCOBCOAE1</v>
      </c>
      <c r="E131" s="143" t="str">
        <f>+M121 &amp; " " &amp; S$20 &amp; " - " &amp; T$20 &amp; " " &amp; U$20</f>
        <v>Glass &amp; Concrete industry Heat High Temp. Boiler - Coal Existing 1</v>
      </c>
      <c r="F131" s="136" t="s">
        <v>44</v>
      </c>
      <c r="G131" s="136" t="s">
        <v>46</v>
      </c>
      <c r="H131" s="136"/>
      <c r="I131" s="136"/>
      <c r="J131" s="136"/>
      <c r="K131" s="69"/>
    </row>
    <row r="132" spans="2:11">
      <c r="B132" s="317" t="str">
        <f t="shared" si="14"/>
        <v/>
      </c>
      <c r="C132" s="136"/>
      <c r="D132" s="143" t="str">
        <f>M124 &amp; P$21 &amp; R$21 &amp; VLOOKUP(O$21, $O$50:$P$74,2,FALSE) &amp; "E1"</f>
        <v>INDGDCOBDSLE1</v>
      </c>
      <c r="E132" s="143" t="str">
        <f>+M121 &amp; " " &amp; S$21 &amp; " - " &amp; T$21 &amp; " " &amp; U$21</f>
        <v>Glass &amp; Concrete industry Heat High Temp. Boiler - Diesel Existing 1</v>
      </c>
      <c r="F132" s="136" t="s">
        <v>44</v>
      </c>
      <c r="G132" s="136" t="s">
        <v>46</v>
      </c>
      <c r="H132" s="136"/>
      <c r="I132" s="136"/>
      <c r="J132" s="136"/>
      <c r="K132" s="69"/>
    </row>
    <row r="133" spans="2:11">
      <c r="B133" s="317" t="str">
        <f t="shared" si="14"/>
        <v/>
      </c>
      <c r="C133" s="136"/>
      <c r="D133" s="143" t="str">
        <f>M124 &amp; P$22 &amp; R$22 &amp; VLOOKUP(O$22, $O$50:$P$74,2,FALSE) &amp; "E1"</f>
        <v>INDGDCOBWPEE1</v>
      </c>
      <c r="E133" s="143" t="str">
        <f>+M121 &amp; " " &amp; S$22 &amp; " - " &amp; T$22 &amp; " " &amp; U$22</f>
        <v>Glass &amp; Concrete industry Heat High Temp. Boiler - Wood Pellets Existing 1</v>
      </c>
      <c r="F133" s="136" t="s">
        <v>44</v>
      </c>
      <c r="G133" s="136" t="s">
        <v>46</v>
      </c>
      <c r="H133" s="136"/>
      <c r="I133" s="136"/>
      <c r="J133" s="136"/>
      <c r="K133" s="69"/>
    </row>
    <row r="134" spans="2:11">
      <c r="B134" s="317" t="str">
        <f t="shared" si="14"/>
        <v>*</v>
      </c>
      <c r="C134" s="136"/>
      <c r="D134" s="143"/>
      <c r="E134" s="143"/>
      <c r="F134" s="136"/>
      <c r="G134" s="136"/>
      <c r="H134" s="136"/>
      <c r="I134" s="136"/>
      <c r="J134" s="136"/>
      <c r="K134" s="69"/>
    </row>
    <row r="135" spans="2:11">
      <c r="B135" s="317" t="str">
        <f t="shared" si="14"/>
        <v/>
      </c>
      <c r="C135" s="136"/>
      <c r="D135" s="143" t="str">
        <f>M124 &amp; P$24 &amp; R$24 &amp; VLOOKUP(O$24, $O$50:$P$74,2,FALSE) &amp; "E1"</f>
        <v>INDGDCOBHFOE1</v>
      </c>
      <c r="E135" s="143" t="str">
        <f>+M121 &amp; " " &amp; S$24 &amp; " - " &amp; T$24 &amp; " " &amp; U$24</f>
        <v>Glass &amp; Concrete industry Heat High Temp. Boiler - Heavy Fuel Oil Existing 1</v>
      </c>
      <c r="F135" s="136" t="s">
        <v>44</v>
      </c>
      <c r="G135" s="136" t="s">
        <v>46</v>
      </c>
      <c r="H135" s="136"/>
      <c r="I135" s="136"/>
      <c r="J135" s="136"/>
      <c r="K135" s="69"/>
    </row>
    <row r="136" spans="2:11">
      <c r="B136" s="317" t="str">
        <f t="shared" si="14"/>
        <v/>
      </c>
      <c r="C136" s="136"/>
      <c r="D136" s="143" t="str">
        <f>M124 &amp; P$25 &amp; R$25 &amp; VLOOKUP(O$25, $O$50:$P$74,2,FALSE) &amp; "E1"</f>
        <v>INDGDCOBLPGE1</v>
      </c>
      <c r="E136" s="143" t="str">
        <f>+M121 &amp; " " &amp; S$25 &amp; " - " &amp; T$25 &amp; " " &amp; U$25</f>
        <v>Glass &amp; Concrete industry Heat High Temp. Boiler - Liquified Petroleum Gas Existing 1</v>
      </c>
      <c r="F136" s="136" t="s">
        <v>44</v>
      </c>
      <c r="G136" s="136" t="s">
        <v>46</v>
      </c>
      <c r="H136" s="136"/>
      <c r="I136" s="136"/>
      <c r="J136" s="136"/>
      <c r="K136" s="69"/>
    </row>
    <row r="137" spans="2:11">
      <c r="B137" s="317" t="str">
        <f t="shared" si="14"/>
        <v/>
      </c>
      <c r="C137" s="136"/>
      <c r="D137" s="143" t="str">
        <f>M124 &amp; P$26 &amp; R$26 &amp; VLOOKUP(O$26, $O$50:$P$74,2,FALSE) &amp; "E1"</f>
        <v>INDGDCOBWSTE1</v>
      </c>
      <c r="E137" s="143" t="str">
        <f>+M121 &amp; " " &amp; S$26 &amp; " - " &amp; T$26 &amp; " " &amp; U$26</f>
        <v>Glass &amp; Concrete industry Heat High Temp. Boiler - Waste Existing 1</v>
      </c>
      <c r="F137" s="136" t="s">
        <v>44</v>
      </c>
      <c r="G137" s="136" t="s">
        <v>46</v>
      </c>
      <c r="H137" s="136"/>
      <c r="I137" s="136"/>
      <c r="J137" s="136"/>
      <c r="K137" s="69"/>
    </row>
    <row r="138" spans="2:11">
      <c r="B138" s="317" t="str">
        <f t="shared" si="14"/>
        <v/>
      </c>
      <c r="C138" s="136"/>
      <c r="D138" s="144" t="str">
        <f>M124 &amp; P$27 &amp; R$27 &amp; VLOOKUP(O$27, $O$50:$P$74,2,FALSE) &amp; "E1"</f>
        <v>INDGDCOBELCE1</v>
      </c>
      <c r="E138" s="144" t="str">
        <f>+M121 &amp; " " &amp; S$27 &amp; " - " &amp; T$27 &amp; " " &amp; U$27</f>
        <v>Glass &amp; Concrete industry Heat High Temp. Boiler - Electricity Existing 1</v>
      </c>
      <c r="F138" s="139" t="s">
        <v>44</v>
      </c>
      <c r="G138" s="139" t="s">
        <v>46</v>
      </c>
      <c r="H138" s="139"/>
      <c r="I138" s="139"/>
      <c r="J138" s="139"/>
      <c r="K138" s="69"/>
    </row>
    <row r="139" spans="2:11">
      <c r="B139" s="317" t="str">
        <f t="shared" si="14"/>
        <v/>
      </c>
      <c r="C139" s="136"/>
      <c r="D139" s="146" t="str">
        <f>M124 &amp; P$28 &amp; R$28 &amp; VLOOKUP(O$28, $O$50:$P$74,2,FALSE) &amp; "E1"</f>
        <v>INDGDSHBNGAE1</v>
      </c>
      <c r="E139" s="143" t="str">
        <f>+M121 &amp; " " &amp; S$28 &amp; " - " &amp; T$28 &amp; " " &amp; U$28</f>
        <v>Glass &amp; Concrete industry Heat Room Boiler - Nat. Gas Existing 1</v>
      </c>
      <c r="F139" s="136" t="s">
        <v>44</v>
      </c>
      <c r="G139" s="136" t="s">
        <v>46</v>
      </c>
      <c r="H139" s="136"/>
      <c r="I139" s="136"/>
      <c r="J139" s="136"/>
      <c r="K139" s="69"/>
    </row>
    <row r="140" spans="2:11">
      <c r="B140" s="317" t="str">
        <f t="shared" si="14"/>
        <v/>
      </c>
      <c r="C140" s="136"/>
      <c r="D140" s="146" t="str">
        <f>M124 &amp; P$29 &amp; R$29 &amp; VLOOKUP(O$29, $O$50:$P$74,2,FALSE) &amp; "E1"</f>
        <v>INDGDSHBCOAE1</v>
      </c>
      <c r="E140" s="143" t="str">
        <f>+M121 &amp; " " &amp; S$29 &amp; " - " &amp; T$29 &amp; " " &amp; U$29</f>
        <v>Glass &amp; Concrete industry Heat Room Boiler - Coal Existing 1</v>
      </c>
      <c r="F140" s="136" t="s">
        <v>44</v>
      </c>
      <c r="G140" s="136" t="s">
        <v>46</v>
      </c>
      <c r="H140" s="136"/>
      <c r="I140" s="136"/>
      <c r="J140" s="136"/>
      <c r="K140" s="69"/>
    </row>
    <row r="141" spans="2:11">
      <c r="B141" s="317" t="str">
        <f t="shared" si="14"/>
        <v/>
      </c>
      <c r="C141" s="136"/>
      <c r="D141" s="146" t="str">
        <f>M124 &amp; P$30 &amp; R$30 &amp; VLOOKUP(O$30, $O$50:$P$74,2,FALSE) &amp; "E1"</f>
        <v>INDGDSHBDSLE1</v>
      </c>
      <c r="E141" s="143" t="str">
        <f>+M121 &amp; " " &amp; S$30 &amp; " - " &amp; T$30 &amp; " " &amp; U$30</f>
        <v>Glass &amp; Concrete industry Heat Room Boiler - Diesel Existing 1</v>
      </c>
      <c r="F141" s="136" t="s">
        <v>44</v>
      </c>
      <c r="G141" s="136" t="s">
        <v>46</v>
      </c>
      <c r="H141" s="136"/>
      <c r="I141" s="136"/>
      <c r="J141" s="136"/>
      <c r="K141" s="69"/>
    </row>
    <row r="142" spans="2:11">
      <c r="B142" s="317" t="str">
        <f t="shared" si="14"/>
        <v/>
      </c>
      <c r="C142" s="136"/>
      <c r="D142" s="146" t="str">
        <f>M124 &amp; P$31 &amp; R$31 &amp; VLOOKUP(O$31, $O$50:$P$74,2,FALSE) &amp; "E1"</f>
        <v>INDGDSHBWPEE1</v>
      </c>
      <c r="E142" s="143" t="str">
        <f>+M121 &amp; " " &amp; S$31 &amp; " - " &amp; T$31 &amp; " " &amp; U$31</f>
        <v>Glass &amp; Concrete industry Heat Room Boiler - Wood Pellets Existing 1</v>
      </c>
      <c r="F142" s="136" t="s">
        <v>44</v>
      </c>
      <c r="G142" s="136" t="s">
        <v>46</v>
      </c>
      <c r="H142" s="136"/>
      <c r="I142" s="136"/>
      <c r="J142" s="136"/>
      <c r="K142" s="69"/>
    </row>
    <row r="143" spans="2:11">
      <c r="B143" s="317" t="str">
        <f t="shared" si="14"/>
        <v>*</v>
      </c>
      <c r="C143" s="136"/>
      <c r="D143" s="146"/>
      <c r="E143" s="143"/>
      <c r="F143" s="136"/>
      <c r="G143" s="136"/>
      <c r="H143" s="136"/>
      <c r="I143" s="136"/>
      <c r="J143" s="136"/>
      <c r="K143" s="69"/>
    </row>
    <row r="144" spans="2:11">
      <c r="B144" s="317" t="str">
        <f t="shared" si="14"/>
        <v/>
      </c>
      <c r="C144" s="136"/>
      <c r="D144" s="146" t="str">
        <f>M124 &amp; P$33 &amp; R$33 &amp; VLOOKUP(O$33, $O$50:$P$74,2,FALSE) &amp; "E1"</f>
        <v>INDGDSHBBGAE1</v>
      </c>
      <c r="E144" s="143" t="str">
        <f>+M121 &amp; " " &amp; S$33 &amp; " - " &amp; T$33 &amp; " " &amp; U$33</f>
        <v>Glass &amp; Concrete industry Heat Room Boiler - Biogas Existing 1</v>
      </c>
      <c r="F144" s="136" t="s">
        <v>44</v>
      </c>
      <c r="G144" s="136" t="s">
        <v>46</v>
      </c>
      <c r="H144" s="136"/>
      <c r="I144" s="136"/>
      <c r="J144" s="136"/>
      <c r="K144" s="69"/>
    </row>
    <row r="145" spans="1:13">
      <c r="B145" s="317" t="str">
        <f t="shared" si="14"/>
        <v/>
      </c>
      <c r="C145" s="136"/>
      <c r="D145" s="146" t="str">
        <f>M124 &amp; P$34 &amp; R$34 &amp; VLOOKUP(O$34, $O$50:$P$74,2,FALSE) &amp; "E1"</f>
        <v>INDGDSHBHFOE1</v>
      </c>
      <c r="E145" s="143" t="str">
        <f>+M121 &amp; " " &amp; S$34 &amp; " - " &amp; T$34 &amp; " " &amp; U$34</f>
        <v>Glass &amp; Concrete industry Heat Room Boiler - Heavy Fuel Oil Existing 1</v>
      </c>
      <c r="F145" s="136" t="s">
        <v>44</v>
      </c>
      <c r="G145" s="136" t="s">
        <v>46</v>
      </c>
      <c r="H145" s="136"/>
      <c r="I145" s="136"/>
      <c r="J145" s="136"/>
      <c r="K145" s="69"/>
    </row>
    <row r="146" spans="1:13">
      <c r="B146" s="317" t="str">
        <f t="shared" si="14"/>
        <v/>
      </c>
      <c r="C146" s="136"/>
      <c r="D146" s="146" t="str">
        <f>M124 &amp; P$35 &amp; R$35 &amp; VLOOKUP(O$35, $O$50:$P$74,2,FALSE) &amp; "E1"</f>
        <v>INDGDSHBLPGE1</v>
      </c>
      <c r="E146" s="143" t="str">
        <f>+M121 &amp; " " &amp; S$35 &amp; " - " &amp; T$35 &amp; " " &amp; U$35</f>
        <v>Glass &amp; Concrete industry Heat Room Boiler - Liquified Petroleum Gas Existing 1</v>
      </c>
      <c r="F146" s="136" t="s">
        <v>44</v>
      </c>
      <c r="G146" s="136" t="s">
        <v>46</v>
      </c>
      <c r="H146" s="136"/>
      <c r="I146" s="136"/>
      <c r="J146" s="136"/>
      <c r="K146" s="69"/>
    </row>
    <row r="147" spans="1:13">
      <c r="B147" s="317" t="str">
        <f t="shared" si="14"/>
        <v/>
      </c>
      <c r="C147" s="136"/>
      <c r="D147" s="146" t="str">
        <f>M124 &amp; P$36 &amp; R$36 &amp; VLOOKUP(O$36, $O$50:$P$74,2,FALSE) &amp; "E1"</f>
        <v>INDGDSHBWSTE1</v>
      </c>
      <c r="E147" s="143" t="str">
        <f>+M121 &amp; " " &amp; S$36 &amp; " - " &amp; T$36 &amp; " " &amp; U$36</f>
        <v>Glass &amp; Concrete industry Heat Room Boiler - Waste Existing 1</v>
      </c>
      <c r="F147" s="136" t="s">
        <v>44</v>
      </c>
      <c r="G147" s="136" t="s">
        <v>46</v>
      </c>
      <c r="H147" s="136"/>
      <c r="I147" s="136"/>
      <c r="J147" s="136"/>
      <c r="K147" s="69"/>
    </row>
    <row r="148" spans="1:13">
      <c r="B148" s="317" t="str">
        <f t="shared" si="14"/>
        <v/>
      </c>
      <c r="C148" s="136"/>
      <c r="D148" s="146" t="str">
        <f>M124 &amp; P$37 &amp; R$37 &amp; VLOOKUP(O$37, $O$50:$P$74,2,FALSE) &amp; "E1"</f>
        <v>INDGDSHBHETE1</v>
      </c>
      <c r="E148" s="143" t="str">
        <f>+M121 &amp; " " &amp; S$37 &amp; " - " &amp; T$37 &amp; " " &amp; U$37</f>
        <v>Glass &amp; Concrete industry Heat Room Boiler - Dist. Heat Existing 1</v>
      </c>
      <c r="F148" s="136" t="s">
        <v>44</v>
      </c>
      <c r="G148" s="136" t="s">
        <v>46</v>
      </c>
      <c r="H148" s="136"/>
      <c r="I148" s="136"/>
      <c r="J148" s="136"/>
      <c r="K148" s="69"/>
    </row>
    <row r="149" spans="1:13">
      <c r="B149" s="317" t="str">
        <f t="shared" si="14"/>
        <v/>
      </c>
      <c r="C149" s="146"/>
      <c r="D149" s="146" t="str">
        <f>M124 &amp; P$38 &amp; R$38 &amp; VLOOKUP(O$38, $O$50:$P$74,2,FALSE) &amp; "E2"</f>
        <v>INDGDSHBHETE2</v>
      </c>
      <c r="E149" s="143" t="str">
        <f>+M121 &amp; " " &amp; S$38 &amp; " - " &amp; T$38 &amp; " " &amp; U$38</f>
        <v>Glass &amp; Concrete industry Heat Room Boiler - Dist. Heat Existing 2</v>
      </c>
      <c r="F149" s="317" t="s">
        <v>44</v>
      </c>
      <c r="G149" s="317" t="s">
        <v>46</v>
      </c>
      <c r="H149" s="146"/>
      <c r="I149" s="146"/>
      <c r="J149" s="146"/>
      <c r="K149" s="69"/>
    </row>
    <row r="150" spans="1:13">
      <c r="B150" s="317" t="str">
        <f t="shared" si="14"/>
        <v/>
      </c>
      <c r="C150" s="146"/>
      <c r="D150" s="144" t="str">
        <f>M124 &amp; P$39 &amp; R$39 &amp; VLOOKUP(O$39, $O$50:$P$74,2,FALSE) &amp; "E1"</f>
        <v>INDGDSHBELCE1</v>
      </c>
      <c r="E150" s="144" t="str">
        <f>+M121 &amp; " " &amp; S$39 &amp; " - " &amp; T$39 &amp; " " &amp; U$39</f>
        <v>Glass &amp; Concrete industry Heat Room Boiler - Electricity Existing 1</v>
      </c>
      <c r="F150" s="139" t="s">
        <v>44</v>
      </c>
      <c r="G150" s="139" t="s">
        <v>46</v>
      </c>
      <c r="H150" s="139"/>
      <c r="I150" s="139"/>
      <c r="J150" s="139"/>
      <c r="K150" s="69"/>
    </row>
    <row r="151" spans="1:13">
      <c r="B151" s="317" t="str">
        <f t="shared" si="14"/>
        <v/>
      </c>
      <c r="C151" s="146"/>
      <c r="D151" s="146" t="str">
        <f>M124 &amp; P$40 &amp; R$40 &amp; VLOOKUP(O$40, $O$50:$P$74,2,FALSE) &amp; "E1"</f>
        <v>INDGDLAAELCE1</v>
      </c>
      <c r="E151" s="146" t="str">
        <f>+M121 &amp; " " &amp; S$40 &amp; " - " &amp; T$40 &amp; " " &amp; U$40</f>
        <v>Glass &amp; Concrete industry Electricity Light Appliance - Electricity Existing 1</v>
      </c>
      <c r="F151" s="149" t="s">
        <v>44</v>
      </c>
      <c r="G151" s="146" t="s">
        <v>46</v>
      </c>
      <c r="H151" s="146"/>
      <c r="I151" s="146"/>
      <c r="J151" s="146"/>
      <c r="K151" s="69"/>
    </row>
    <row r="152" spans="1:13">
      <c r="B152" s="317" t="str">
        <f t="shared" si="14"/>
        <v/>
      </c>
      <c r="C152" s="146"/>
      <c r="D152" s="144" t="str">
        <f>M124 &amp; P$41 &amp; R$41 &amp; VLOOKUP(O$41, $O$50:$P$74,2,FALSE) &amp; "E1"</f>
        <v>INDGDEMMELCE1</v>
      </c>
      <c r="E152" s="144" t="str">
        <f>+M121 &amp; " " &amp; S$41 &amp; " - " &amp; T$41 &amp; " " &amp; U$41</f>
        <v>Glass &amp; Concrete industry Electricity Motors - Electricity Existing 1</v>
      </c>
      <c r="F152" s="139" t="s">
        <v>44</v>
      </c>
      <c r="G152" s="139" t="s">
        <v>46</v>
      </c>
      <c r="H152" s="139"/>
      <c r="I152" s="139"/>
      <c r="J152" s="139"/>
      <c r="K152" s="69"/>
    </row>
    <row r="153" spans="1:13">
      <c r="A153" s="236"/>
      <c r="B153" s="317" t="str">
        <f t="shared" si="14"/>
        <v/>
      </c>
      <c r="C153" s="146"/>
      <c r="D153" s="237" t="str">
        <f>M124 &amp; P$42 &amp; R$42 &amp; VLOOKUP(O$42, $O$50:$P$74,2,FALSE) &amp; "E1"</f>
        <v>INDGDTFTDSLE1</v>
      </c>
      <c r="E153" s="146" t="str">
        <f>+M121 &amp; " " &amp; S$42 &amp; " - " &amp; T$42 &amp; " " &amp; U$42</f>
        <v>Glass &amp; Concrete industry Tractors, Trucks, Fishing boats, Forest machines - Diesel Existing 1</v>
      </c>
      <c r="F153" s="146" t="s">
        <v>44</v>
      </c>
      <c r="G153" s="146" t="s">
        <v>46</v>
      </c>
      <c r="H153" s="146"/>
      <c r="I153" s="146"/>
      <c r="J153" s="146"/>
    </row>
    <row r="154" spans="1:13">
      <c r="A154" s="236"/>
      <c r="B154" s="317" t="str">
        <f t="shared" si="14"/>
        <v/>
      </c>
      <c r="C154" s="146"/>
      <c r="D154" s="237" t="str">
        <f>M124&amp;P$43&amp;R$43&amp;VLOOKUP(O$43,$O$50:$P$74,2,FALSE)&amp;"E1"</f>
        <v>INDGDFLTLPGE1</v>
      </c>
      <c r="E154" s="146" t="str">
        <f>+M121 &amp; " " &amp; S$43 &amp; " - " &amp; T$43 &amp; " " &amp; U$43</f>
        <v>Glass &amp; Concrete industry Forklifts - LPG Existing 1</v>
      </c>
      <c r="F154" s="146" t="s">
        <v>44</v>
      </c>
      <c r="G154" s="146" t="s">
        <v>46</v>
      </c>
      <c r="H154" s="146"/>
      <c r="I154" s="146"/>
      <c r="J154" s="146"/>
    </row>
    <row r="155" spans="1:13" ht="15">
      <c r="A155" s="34"/>
      <c r="B155" s="142" t="s">
        <v>25</v>
      </c>
      <c r="C155" s="256"/>
      <c r="D155" s="175" t="str">
        <f>M161 &amp; P$7 &amp; R$7 &amp; VLOOKUP(O$7, $O$50:$P$74,2,FALSE) &amp; "E1"</f>
        <v>INDTDPHBNGAE1</v>
      </c>
      <c r="E155" s="141" t="str">
        <f>+M158 &amp; " " &amp; S$7 &amp; " - " &amp; T$7 &amp; " " &amp; U$7</f>
        <v>Transport industry Heat Medium Temp. Boiler - Nat. Gas Existing 1</v>
      </c>
      <c r="F155" s="142" t="s">
        <v>44</v>
      </c>
      <c r="G155" s="142" t="s">
        <v>46</v>
      </c>
      <c r="H155" s="142"/>
      <c r="I155" s="257"/>
      <c r="J155" s="142"/>
      <c r="K155" s="196"/>
      <c r="L155" s="62" t="s">
        <v>196</v>
      </c>
      <c r="M155" s="131">
        <f>+M118+1</f>
        <v>5</v>
      </c>
    </row>
    <row r="156" spans="1:13">
      <c r="B156" s="317" t="str">
        <f t="shared" ref="B156:B191" si="15">+IF(ISBLANK(D156),"*","")</f>
        <v/>
      </c>
      <c r="C156" s="136"/>
      <c r="D156" s="146" t="str">
        <f>M161 &amp; P$8 &amp; R$8 &amp; VLOOKUP(O$8, $O$50:$P$74,2,FALSE) &amp; "E1"</f>
        <v>INDTDPHBCOAE1</v>
      </c>
      <c r="E156" s="143" t="str">
        <f>+M158 &amp; " " &amp; S$8 &amp; " - " &amp; T$8 &amp; " " &amp; U$8</f>
        <v>Transport industry Heat Medium Temp. Boiler - Coal Existing 1</v>
      </c>
      <c r="F156" s="136" t="s">
        <v>44</v>
      </c>
      <c r="G156" s="136" t="s">
        <v>46</v>
      </c>
      <c r="H156" s="136"/>
      <c r="I156" s="133"/>
      <c r="J156" s="136"/>
      <c r="K156" s="69"/>
      <c r="L156" s="25" t="s">
        <v>130</v>
      </c>
    </row>
    <row r="157" spans="1:13">
      <c r="B157" s="317" t="str">
        <f t="shared" si="15"/>
        <v/>
      </c>
      <c r="C157" s="136"/>
      <c r="D157" s="146" t="str">
        <f>M161 &amp; P$9 &amp; R$9 &amp; VLOOKUP(O$9, $O$50:$P$74,2,FALSE) &amp; "E1"</f>
        <v>INDTDPHBDSLE1</v>
      </c>
      <c r="E157" s="143" t="str">
        <f>+M158 &amp; " " &amp; S$9 &amp; " - " &amp; T$9 &amp; " " &amp; U$9</f>
        <v>Transport industry Heat Medium Temp. Boiler - Diesel Existing 1</v>
      </c>
      <c r="F157" s="136" t="s">
        <v>44</v>
      </c>
      <c r="G157" s="136" t="s">
        <v>46</v>
      </c>
      <c r="H157" s="136"/>
      <c r="I157" s="136"/>
      <c r="J157" s="136"/>
      <c r="K157" s="69"/>
      <c r="L157" s="62" t="s">
        <v>198</v>
      </c>
      <c r="M157" s="64" t="s">
        <v>135</v>
      </c>
    </row>
    <row r="158" spans="1:13">
      <c r="B158" s="317" t="str">
        <f t="shared" si="15"/>
        <v/>
      </c>
      <c r="C158" s="136"/>
      <c r="D158" s="146" t="str">
        <f>M161 &amp; P$10 &amp; R$10 &amp; VLOOKUP(O$10, $O$50:$P$74,2,FALSE) &amp; "E1"</f>
        <v>INDTDPHBWPEE1</v>
      </c>
      <c r="E158" s="143" t="str">
        <f>+M158 &amp; " " &amp; S$10 &amp; " - " &amp; T$10 &amp; " " &amp; U$10</f>
        <v>Transport industry Heat Medium Temp. Boiler - Wood Pellets Existing 1</v>
      </c>
      <c r="F158" s="136" t="s">
        <v>44</v>
      </c>
      <c r="G158" s="136" t="s">
        <v>46</v>
      </c>
      <c r="H158" s="136"/>
      <c r="I158" s="136"/>
      <c r="J158" s="136"/>
      <c r="K158" s="69"/>
      <c r="L158" s="62" t="s">
        <v>201</v>
      </c>
      <c r="M158" s="70" t="str">
        <f>+INDEX(Commodities!$X$6:$X$17,M155)</f>
        <v>Transport industry</v>
      </c>
    </row>
    <row r="159" spans="1:13">
      <c r="B159" s="317" t="str">
        <f t="shared" si="15"/>
        <v>*</v>
      </c>
      <c r="C159" s="136"/>
      <c r="D159" s="146"/>
      <c r="E159" s="143"/>
      <c r="F159" s="136"/>
      <c r="G159" s="136"/>
      <c r="H159" s="136"/>
      <c r="I159" s="136"/>
      <c r="J159" s="136"/>
      <c r="K159" s="69"/>
      <c r="L159" s="62" t="s">
        <v>130</v>
      </c>
      <c r="M159" s="70" t="str">
        <f>+INDEX(Commodities!$Y$6:$Y$17,M155)</f>
        <v>05 Transport equipment</v>
      </c>
    </row>
    <row r="160" spans="1:13">
      <c r="B160" s="317" t="str">
        <f t="shared" si="15"/>
        <v/>
      </c>
      <c r="C160" s="136"/>
      <c r="D160" s="146" t="str">
        <f>M161 &amp; P$12 &amp; R$12 &amp; VLOOKUP(O$12, $O$50:$P$74,2,FALSE) &amp; "E1"</f>
        <v>INDTDPHBBGAE1</v>
      </c>
      <c r="E160" s="143" t="str">
        <f>+M158 &amp; " " &amp; S$12 &amp; " - " &amp; T$12 &amp; " " &amp; U$12</f>
        <v>Transport industry Heat Medium Temp. Boiler - Biogas Existing 1</v>
      </c>
      <c r="F160" s="136" t="s">
        <v>44</v>
      </c>
      <c r="G160" s="136" t="s">
        <v>46</v>
      </c>
      <c r="H160" s="136"/>
      <c r="I160" s="136"/>
      <c r="J160" s="136"/>
      <c r="K160" s="69"/>
      <c r="L160" s="62" t="s">
        <v>197</v>
      </c>
      <c r="M160" s="70" t="str">
        <f>+INDEX(Commodities!$U$6:$U$17,M155)</f>
        <v>IT</v>
      </c>
    </row>
    <row r="161" spans="2:13">
      <c r="B161" s="317" t="str">
        <f t="shared" si="15"/>
        <v/>
      </c>
      <c r="C161" s="136"/>
      <c r="D161" s="146" t="str">
        <f>M161 &amp; P$13 &amp; R$13 &amp; VLOOKUP(O$13, $O$50:$P$74,2,FALSE) &amp; "E1"</f>
        <v>INDTDPHBHFOE1</v>
      </c>
      <c r="E161" s="143" t="str">
        <f>+M158 &amp; " " &amp; S$13 &amp; " - " &amp; T$13 &amp; " " &amp; U$13</f>
        <v>Transport industry Heat Medium Temp. Boiler - Heavy Fuel Oil Existing 1</v>
      </c>
      <c r="F161" s="136" t="s">
        <v>44</v>
      </c>
      <c r="G161" s="136" t="s">
        <v>46</v>
      </c>
      <c r="H161" s="136"/>
      <c r="I161" s="136"/>
      <c r="J161" s="136"/>
      <c r="K161" s="69"/>
      <c r="L161" s="62" t="s">
        <v>197</v>
      </c>
      <c r="M161" s="70" t="str">
        <f>+INDEX(Commodities!$W$6:$W$17,M155)</f>
        <v>INDT</v>
      </c>
    </row>
    <row r="162" spans="2:13">
      <c r="B162" s="317" t="str">
        <f t="shared" si="15"/>
        <v/>
      </c>
      <c r="C162" s="136"/>
      <c r="D162" s="146" t="str">
        <f>M161 &amp; P$14 &amp; R$14 &amp; VLOOKUP(O$14, $O$50:$P$74,2,FALSE) &amp; "E1"</f>
        <v>INDTDPHBLPGE1</v>
      </c>
      <c r="E162" s="143" t="str">
        <f>+M158 &amp; " " &amp; S$14 &amp; " - " &amp; T$14 &amp; " " &amp; U$14</f>
        <v>Transport industry Heat Medium Temp. Boiler - Liquified Petroleum Gas Existing 1</v>
      </c>
      <c r="F162" s="136" t="s">
        <v>44</v>
      </c>
      <c r="G162" s="136" t="s">
        <v>46</v>
      </c>
      <c r="H162" s="136"/>
      <c r="I162" s="136"/>
      <c r="J162" s="136"/>
      <c r="K162" s="69"/>
    </row>
    <row r="163" spans="2:13">
      <c r="B163" s="317" t="str">
        <f t="shared" si="15"/>
        <v/>
      </c>
      <c r="C163" s="136"/>
      <c r="D163" s="146" t="str">
        <f>M161 &amp; P$15 &amp; R$15 &amp; VLOOKUP(O$15, $O$50:$P$74,2,FALSE) &amp; "E1"</f>
        <v>INDTDPHBWSTE1</v>
      </c>
      <c r="E163" s="143" t="str">
        <f>+M158 &amp; " " &amp; S$15 &amp; " - " &amp; T$15 &amp; " " &amp; U$15</f>
        <v>Transport industry Heat Medium Temp. Boiler - Waste Existing 1</v>
      </c>
      <c r="F163" s="136" t="s">
        <v>44</v>
      </c>
      <c r="G163" s="136" t="s">
        <v>46</v>
      </c>
      <c r="H163" s="136"/>
      <c r="I163" s="136"/>
      <c r="J163" s="136"/>
      <c r="K163" s="69"/>
    </row>
    <row r="164" spans="2:13">
      <c r="B164" s="317" t="str">
        <f t="shared" si="15"/>
        <v/>
      </c>
      <c r="C164" s="136"/>
      <c r="D164" s="146" t="str">
        <f>M161 &amp; P$16 &amp; R$16 &amp; VLOOKUP(O$16, $O$50:$P$74,2,FALSE) &amp; "E1"</f>
        <v>INDTDPHBHETE1</v>
      </c>
      <c r="E164" s="143" t="str">
        <f>+M158 &amp; " " &amp; S$16 &amp; " - " &amp; T$16 &amp; " " &amp; U$16</f>
        <v>Transport industry Heat Medium Temp. Boiler - Dist. Heat Existing 1</v>
      </c>
      <c r="F164" s="136" t="s">
        <v>44</v>
      </c>
      <c r="G164" s="136" t="s">
        <v>46</v>
      </c>
      <c r="H164" s="136"/>
      <c r="I164" s="136"/>
      <c r="J164" s="136"/>
      <c r="K164" s="69"/>
    </row>
    <row r="165" spans="2:13">
      <c r="B165" s="317" t="str">
        <f t="shared" si="15"/>
        <v/>
      </c>
      <c r="C165" s="136"/>
      <c r="D165" s="146" t="str">
        <f>M161 &amp; P$17 &amp; R$17 &amp; VLOOKUP(O$17, $O$50:$P$74,2,FALSE) &amp; "E2"</f>
        <v>INDTDPHBHETE2</v>
      </c>
      <c r="E165" s="143" t="str">
        <f>+M158 &amp; " " &amp; S$17 &amp; " - " &amp; T$17 &amp; " " &amp; U$17</f>
        <v>Transport industry Heat Medium Temp. Boiler - Dist. Heat Existing 2</v>
      </c>
      <c r="F165" s="317" t="s">
        <v>44</v>
      </c>
      <c r="G165" s="317" t="s">
        <v>46</v>
      </c>
      <c r="H165" s="136"/>
      <c r="I165" s="136"/>
      <c r="J165" s="136"/>
      <c r="K165" s="69"/>
    </row>
    <row r="166" spans="2:13">
      <c r="B166" s="317" t="str">
        <f t="shared" si="15"/>
        <v/>
      </c>
      <c r="C166" s="136"/>
      <c r="D166" s="144" t="str">
        <f>M161 &amp; P$18 &amp; R$18 &amp; VLOOKUP(O$18, $O$50:$P$74,2,FALSE) &amp; "E1"</f>
        <v>INDTDPHBELCE1</v>
      </c>
      <c r="E166" s="144" t="str">
        <f>+M158 &amp; " " &amp; S$18 &amp; " - " &amp; T$18 &amp; " " &amp; U$18</f>
        <v>Transport industry Heat Medium Temp. Boiler - Electricity Existing 1</v>
      </c>
      <c r="F166" s="139" t="s">
        <v>44</v>
      </c>
      <c r="G166" s="139" t="s">
        <v>46</v>
      </c>
      <c r="H166" s="139"/>
      <c r="I166" s="139"/>
      <c r="J166" s="139"/>
      <c r="K166" s="69"/>
    </row>
    <row r="167" spans="2:13">
      <c r="B167" s="317" t="str">
        <f t="shared" si="15"/>
        <v/>
      </c>
      <c r="C167" s="136"/>
      <c r="D167" s="143" t="str">
        <f>M161 &amp; P$19 &amp; R$19 &amp; VLOOKUP(O$19, $O$50:$P$74,2,FALSE) &amp; "E1"</f>
        <v>INDTDCOBNGAE1</v>
      </c>
      <c r="E167" s="143" t="str">
        <f>+M158 &amp; " " &amp; S$19 &amp; " - " &amp; T$19 &amp; " " &amp; U$19</f>
        <v>Transport industry Heat High Temp. Boiler - Nat. Gas Existing 1</v>
      </c>
      <c r="F167" s="136" t="s">
        <v>44</v>
      </c>
      <c r="G167" s="136" t="s">
        <v>46</v>
      </c>
      <c r="H167" s="136"/>
      <c r="I167" s="136"/>
      <c r="J167" s="136"/>
      <c r="K167" s="69"/>
    </row>
    <row r="168" spans="2:13">
      <c r="B168" s="317" t="str">
        <f t="shared" si="15"/>
        <v/>
      </c>
      <c r="C168" s="136"/>
      <c r="D168" s="143" t="str">
        <f>M161 &amp; P$20 &amp; R$20 &amp; VLOOKUP(O$20, $O$50:$P$74,2,FALSE) &amp; "E1"</f>
        <v>INDTDCOBCOAE1</v>
      </c>
      <c r="E168" s="143" t="str">
        <f>+M158 &amp; " " &amp; S$20 &amp; " - " &amp; T$20 &amp; " " &amp; U$20</f>
        <v>Transport industry Heat High Temp. Boiler - Coal Existing 1</v>
      </c>
      <c r="F168" s="136" t="s">
        <v>44</v>
      </c>
      <c r="G168" s="136" t="s">
        <v>46</v>
      </c>
      <c r="H168" s="136"/>
      <c r="I168" s="136"/>
      <c r="J168" s="136"/>
      <c r="K168" s="69"/>
    </row>
    <row r="169" spans="2:13">
      <c r="B169" s="317" t="str">
        <f t="shared" si="15"/>
        <v/>
      </c>
      <c r="C169" s="136"/>
      <c r="D169" s="143" t="str">
        <f>M161 &amp; P$21 &amp; R$21 &amp; VLOOKUP(O$21, $O$50:$P$74,2,FALSE) &amp; "E1"</f>
        <v>INDTDCOBDSLE1</v>
      </c>
      <c r="E169" s="143" t="str">
        <f>+M158 &amp; " " &amp; S$21 &amp; " - " &amp; T$21 &amp; " " &amp; U$21</f>
        <v>Transport industry Heat High Temp. Boiler - Diesel Existing 1</v>
      </c>
      <c r="F169" s="136" t="s">
        <v>44</v>
      </c>
      <c r="G169" s="136" t="s">
        <v>46</v>
      </c>
      <c r="H169" s="136"/>
      <c r="I169" s="136"/>
      <c r="J169" s="136"/>
      <c r="K169" s="69"/>
    </row>
    <row r="170" spans="2:13">
      <c r="B170" s="317" t="str">
        <f t="shared" si="15"/>
        <v/>
      </c>
      <c r="C170" s="136"/>
      <c r="D170" s="143" t="str">
        <f>M161 &amp; P$22 &amp; R$22 &amp; VLOOKUP(O$22, $O$50:$P$74,2,FALSE) &amp; "E1"</f>
        <v>INDTDCOBWPEE1</v>
      </c>
      <c r="E170" s="143" t="str">
        <f>+M158 &amp; " " &amp; S$22 &amp; " - " &amp; T$22 &amp; " " &amp; U$22</f>
        <v>Transport industry Heat High Temp. Boiler - Wood Pellets Existing 1</v>
      </c>
      <c r="F170" s="136" t="s">
        <v>44</v>
      </c>
      <c r="G170" s="136" t="s">
        <v>46</v>
      </c>
      <c r="H170" s="136"/>
      <c r="I170" s="136"/>
      <c r="J170" s="136"/>
      <c r="K170" s="69"/>
    </row>
    <row r="171" spans="2:13">
      <c r="B171" s="317" t="str">
        <f t="shared" si="15"/>
        <v>*</v>
      </c>
      <c r="C171" s="136"/>
      <c r="D171" s="143"/>
      <c r="E171" s="143"/>
      <c r="F171" s="136"/>
      <c r="G171" s="136"/>
      <c r="H171" s="136"/>
      <c r="I171" s="136"/>
      <c r="J171" s="136"/>
      <c r="K171" s="69"/>
    </row>
    <row r="172" spans="2:13">
      <c r="B172" s="317" t="str">
        <f t="shared" si="15"/>
        <v/>
      </c>
      <c r="C172" s="136"/>
      <c r="D172" s="143" t="str">
        <f>M161 &amp; P$24 &amp; R$24 &amp; VLOOKUP(O$24, $O$50:$P$74,2,FALSE) &amp; "E1"</f>
        <v>INDTDCOBHFOE1</v>
      </c>
      <c r="E172" s="143" t="str">
        <f>+M158 &amp; " " &amp; S$24 &amp; " - " &amp; T$24 &amp; " " &amp; U$24</f>
        <v>Transport industry Heat High Temp. Boiler - Heavy Fuel Oil Existing 1</v>
      </c>
      <c r="F172" s="136" t="s">
        <v>44</v>
      </c>
      <c r="G172" s="136" t="s">
        <v>46</v>
      </c>
      <c r="H172" s="136"/>
      <c r="I172" s="136"/>
      <c r="J172" s="136"/>
      <c r="K172" s="69"/>
    </row>
    <row r="173" spans="2:13">
      <c r="B173" s="317" t="str">
        <f t="shared" si="15"/>
        <v/>
      </c>
      <c r="C173" s="136"/>
      <c r="D173" s="143" t="str">
        <f>M161 &amp; P$25 &amp; R$25 &amp; VLOOKUP(O$25, $O$50:$P$74,2,FALSE) &amp; "E1"</f>
        <v>INDTDCOBLPGE1</v>
      </c>
      <c r="E173" s="143" t="str">
        <f>+M158 &amp; " " &amp; S$25 &amp; " - " &amp; T$25 &amp; " " &amp; U$25</f>
        <v>Transport industry Heat High Temp. Boiler - Liquified Petroleum Gas Existing 1</v>
      </c>
      <c r="F173" s="136" t="s">
        <v>44</v>
      </c>
      <c r="G173" s="136" t="s">
        <v>46</v>
      </c>
      <c r="H173" s="136"/>
      <c r="I173" s="136"/>
      <c r="J173" s="136"/>
      <c r="K173" s="69"/>
    </row>
    <row r="174" spans="2:13">
      <c r="B174" s="317" t="str">
        <f t="shared" si="15"/>
        <v/>
      </c>
      <c r="C174" s="136"/>
      <c r="D174" s="143" t="str">
        <f>M161 &amp; P$26 &amp; R$26 &amp; VLOOKUP(O$26, $O$50:$P$74,2,FALSE) &amp; "E1"</f>
        <v>INDTDCOBWSTE1</v>
      </c>
      <c r="E174" s="143" t="str">
        <f>+M158 &amp; " " &amp; S$26 &amp; " - " &amp; T$26 &amp; " " &amp; U$26</f>
        <v>Transport industry Heat High Temp. Boiler - Waste Existing 1</v>
      </c>
      <c r="F174" s="136" t="s">
        <v>44</v>
      </c>
      <c r="G174" s="136" t="s">
        <v>46</v>
      </c>
      <c r="H174" s="136"/>
      <c r="I174" s="136"/>
      <c r="J174" s="136"/>
      <c r="K174" s="69"/>
    </row>
    <row r="175" spans="2:13">
      <c r="B175" s="317" t="str">
        <f t="shared" si="15"/>
        <v/>
      </c>
      <c r="C175" s="136"/>
      <c r="D175" s="144" t="str">
        <f>M161 &amp; P$27 &amp; R$27 &amp; VLOOKUP(O$27, $O$50:$P$74,2,FALSE) &amp; "E1"</f>
        <v>INDTDCOBELCE1</v>
      </c>
      <c r="E175" s="144" t="str">
        <f>+M158 &amp; " " &amp; S$27 &amp; " - " &amp; T$27 &amp; " " &amp; U$27</f>
        <v>Transport industry Heat High Temp. Boiler - Electricity Existing 1</v>
      </c>
      <c r="F175" s="139" t="s">
        <v>44</v>
      </c>
      <c r="G175" s="139" t="s">
        <v>46</v>
      </c>
      <c r="H175" s="139"/>
      <c r="I175" s="139"/>
      <c r="J175" s="139"/>
      <c r="K175" s="69"/>
    </row>
    <row r="176" spans="2:13">
      <c r="B176" s="317" t="str">
        <f t="shared" si="15"/>
        <v/>
      </c>
      <c r="C176" s="136"/>
      <c r="D176" s="146" t="str">
        <f>M161 &amp; P$28 &amp; R$28 &amp; VLOOKUP(O$28, $O$50:$P$74,2,FALSE) &amp; "E1"</f>
        <v>INDTDSHBNGAE1</v>
      </c>
      <c r="E176" s="143" t="str">
        <f>+M158 &amp; " " &amp; S$28 &amp; " - " &amp; T$28 &amp; " " &amp; U$28</f>
        <v>Transport industry Heat Room Boiler - Nat. Gas Existing 1</v>
      </c>
      <c r="F176" s="136" t="s">
        <v>44</v>
      </c>
      <c r="G176" s="136" t="s">
        <v>46</v>
      </c>
      <c r="H176" s="136"/>
      <c r="I176" s="136"/>
      <c r="J176" s="136"/>
      <c r="K176" s="69"/>
    </row>
    <row r="177" spans="1:13">
      <c r="B177" s="317" t="str">
        <f t="shared" si="15"/>
        <v/>
      </c>
      <c r="C177" s="136"/>
      <c r="D177" s="146" t="str">
        <f>M161 &amp; P$29 &amp; R$29 &amp; VLOOKUP(O$29, $O$50:$P$74,2,FALSE) &amp; "E1"</f>
        <v>INDTDSHBCOAE1</v>
      </c>
      <c r="E177" s="143" t="str">
        <f>+M158 &amp; " " &amp; S$29 &amp; " - " &amp; T$29 &amp; " " &amp; U$29</f>
        <v>Transport industry Heat Room Boiler - Coal Existing 1</v>
      </c>
      <c r="F177" s="136" t="s">
        <v>44</v>
      </c>
      <c r="G177" s="136" t="s">
        <v>46</v>
      </c>
      <c r="H177" s="136"/>
      <c r="I177" s="136"/>
      <c r="J177" s="136"/>
      <c r="K177" s="69"/>
    </row>
    <row r="178" spans="1:13">
      <c r="B178" s="317" t="str">
        <f t="shared" si="15"/>
        <v/>
      </c>
      <c r="C178" s="136"/>
      <c r="D178" s="146" t="str">
        <f>M161 &amp; P$30 &amp; R$30 &amp; VLOOKUP(O$30, $O$50:$P$74,2,FALSE) &amp; "E1"</f>
        <v>INDTDSHBDSLE1</v>
      </c>
      <c r="E178" s="143" t="str">
        <f>+M158 &amp; " " &amp; S$30 &amp; " - " &amp; T$30 &amp; " " &amp; U$30</f>
        <v>Transport industry Heat Room Boiler - Diesel Existing 1</v>
      </c>
      <c r="F178" s="136" t="s">
        <v>44</v>
      </c>
      <c r="G178" s="136" t="s">
        <v>46</v>
      </c>
      <c r="H178" s="136"/>
      <c r="I178" s="136"/>
      <c r="J178" s="136"/>
      <c r="K178" s="69"/>
    </row>
    <row r="179" spans="1:13">
      <c r="B179" s="317" t="str">
        <f t="shared" si="15"/>
        <v/>
      </c>
      <c r="C179" s="136"/>
      <c r="D179" s="146" t="str">
        <f>M161 &amp; P$31 &amp; R$31 &amp; VLOOKUP(O$31, $O$50:$P$74,2,FALSE) &amp; "E1"</f>
        <v>INDTDSHBWPEE1</v>
      </c>
      <c r="E179" s="143" t="str">
        <f>+M158 &amp; " " &amp; S$31 &amp; " - " &amp; T$31 &amp; " " &amp; U$31</f>
        <v>Transport industry Heat Room Boiler - Wood Pellets Existing 1</v>
      </c>
      <c r="F179" s="136" t="s">
        <v>44</v>
      </c>
      <c r="G179" s="136" t="s">
        <v>46</v>
      </c>
      <c r="H179" s="136"/>
      <c r="I179" s="136"/>
      <c r="J179" s="136"/>
      <c r="K179" s="69"/>
    </row>
    <row r="180" spans="1:13">
      <c r="B180" s="317" t="str">
        <f t="shared" si="15"/>
        <v>*</v>
      </c>
      <c r="C180" s="136"/>
      <c r="D180" s="146"/>
      <c r="E180" s="143"/>
      <c r="F180" s="136"/>
      <c r="G180" s="136"/>
      <c r="H180" s="136"/>
      <c r="I180" s="136"/>
      <c r="J180" s="136"/>
      <c r="K180" s="69"/>
    </row>
    <row r="181" spans="1:13">
      <c r="B181" s="317" t="str">
        <f t="shared" si="15"/>
        <v/>
      </c>
      <c r="C181" s="136"/>
      <c r="D181" s="146" t="str">
        <f>M161 &amp; P$33 &amp; R$33 &amp; VLOOKUP(O$33, $O$50:$P$74,2,FALSE) &amp; "E1"</f>
        <v>INDTDSHBBGAE1</v>
      </c>
      <c r="E181" s="143" t="str">
        <f>+M158 &amp; " " &amp; S$33 &amp; " - " &amp; T$33 &amp; " " &amp; U$33</f>
        <v>Transport industry Heat Room Boiler - Biogas Existing 1</v>
      </c>
      <c r="F181" s="136" t="s">
        <v>44</v>
      </c>
      <c r="G181" s="136" t="s">
        <v>46</v>
      </c>
      <c r="H181" s="136"/>
      <c r="I181" s="136"/>
      <c r="J181" s="136"/>
      <c r="K181" s="69"/>
    </row>
    <row r="182" spans="1:13">
      <c r="B182" s="317" t="str">
        <f t="shared" si="15"/>
        <v/>
      </c>
      <c r="C182" s="136"/>
      <c r="D182" s="146" t="str">
        <f>M161 &amp; P$34 &amp; R$34 &amp; VLOOKUP(O$34, $O$50:$P$74,2,FALSE) &amp; "E1"</f>
        <v>INDTDSHBHFOE1</v>
      </c>
      <c r="E182" s="143" t="str">
        <f>+M158 &amp; " " &amp; S$34 &amp; " - " &amp; T$34 &amp; " " &amp; U$34</f>
        <v>Transport industry Heat Room Boiler - Heavy Fuel Oil Existing 1</v>
      </c>
      <c r="F182" s="136" t="s">
        <v>44</v>
      </c>
      <c r="G182" s="136" t="s">
        <v>46</v>
      </c>
      <c r="H182" s="136"/>
      <c r="I182" s="136"/>
      <c r="J182" s="136"/>
      <c r="K182" s="69"/>
    </row>
    <row r="183" spans="1:13">
      <c r="B183" s="317" t="str">
        <f t="shared" si="15"/>
        <v/>
      </c>
      <c r="C183" s="136"/>
      <c r="D183" s="146" t="str">
        <f>M161 &amp; P$35 &amp; R$35 &amp; VLOOKUP(O$35, $O$50:$P$74,2,FALSE) &amp; "E1"</f>
        <v>INDTDSHBLPGE1</v>
      </c>
      <c r="E183" s="143" t="str">
        <f>+M158 &amp; " " &amp; S$35 &amp; " - " &amp; T$35 &amp; " " &amp; U$35</f>
        <v>Transport industry Heat Room Boiler - Liquified Petroleum Gas Existing 1</v>
      </c>
      <c r="F183" s="136" t="s">
        <v>44</v>
      </c>
      <c r="G183" s="136" t="s">
        <v>46</v>
      </c>
      <c r="H183" s="136"/>
      <c r="I183" s="136"/>
      <c r="J183" s="136"/>
      <c r="K183" s="69"/>
    </row>
    <row r="184" spans="1:13">
      <c r="B184" s="317" t="str">
        <f t="shared" si="15"/>
        <v/>
      </c>
      <c r="C184" s="136"/>
      <c r="D184" s="146" t="str">
        <f>M161 &amp; P$36 &amp; R$36 &amp; VLOOKUP(O$36, $O$50:$P$74,2,FALSE) &amp; "E1"</f>
        <v>INDTDSHBWSTE1</v>
      </c>
      <c r="E184" s="143" t="str">
        <f>+M158 &amp; " " &amp; S$36 &amp; " - " &amp; T$36 &amp; " " &amp; U$36</f>
        <v>Transport industry Heat Room Boiler - Waste Existing 1</v>
      </c>
      <c r="F184" s="136" t="s">
        <v>44</v>
      </c>
      <c r="G184" s="136" t="s">
        <v>46</v>
      </c>
      <c r="H184" s="136"/>
      <c r="I184" s="136"/>
      <c r="J184" s="136"/>
      <c r="K184" s="69"/>
    </row>
    <row r="185" spans="1:13">
      <c r="B185" s="317" t="str">
        <f t="shared" si="15"/>
        <v/>
      </c>
      <c r="C185" s="136"/>
      <c r="D185" s="146" t="str">
        <f>M161 &amp; P$37 &amp; R$37 &amp; VLOOKUP(O$37, $O$50:$P$74,2,FALSE) &amp; "E1"</f>
        <v>INDTDSHBHETE1</v>
      </c>
      <c r="E185" s="143" t="str">
        <f>+M158 &amp; " " &amp; S$37 &amp; " - " &amp; T$37 &amp; " " &amp; U$37</f>
        <v>Transport industry Heat Room Boiler - Dist. Heat Existing 1</v>
      </c>
      <c r="F185" s="136" t="s">
        <v>44</v>
      </c>
      <c r="G185" s="136" t="s">
        <v>46</v>
      </c>
      <c r="H185" s="136"/>
      <c r="I185" s="136"/>
      <c r="J185" s="136"/>
      <c r="K185" s="69"/>
    </row>
    <row r="186" spans="1:13">
      <c r="B186" s="317" t="str">
        <f t="shared" si="15"/>
        <v/>
      </c>
      <c r="C186" s="146"/>
      <c r="D186" s="146" t="str">
        <f>M161 &amp; P$38 &amp; R$38 &amp; VLOOKUP(O$38, $O$50:$P$74,2,FALSE) &amp; "E2"</f>
        <v>INDTDSHBHETE2</v>
      </c>
      <c r="E186" s="143" t="str">
        <f>+M158 &amp; " " &amp; S$38 &amp; " - " &amp; T$38 &amp; " " &amp; U$38</f>
        <v>Transport industry Heat Room Boiler - Dist. Heat Existing 2</v>
      </c>
      <c r="F186" s="317" t="s">
        <v>44</v>
      </c>
      <c r="G186" s="317" t="s">
        <v>46</v>
      </c>
      <c r="H186" s="146"/>
      <c r="I186" s="146"/>
      <c r="J186" s="146"/>
      <c r="K186" s="69"/>
    </row>
    <row r="187" spans="1:13">
      <c r="B187" s="317" t="str">
        <f t="shared" si="15"/>
        <v/>
      </c>
      <c r="C187" s="146"/>
      <c r="D187" s="144" t="str">
        <f>M161 &amp; P$39 &amp; R$39 &amp; VLOOKUP(O$39, $O$50:$P$74,2,FALSE) &amp; "E1"</f>
        <v>INDTDSHBELCE1</v>
      </c>
      <c r="E187" s="144" t="str">
        <f>+M158 &amp; " " &amp; S$39 &amp; " - " &amp; T$39 &amp; " " &amp; U$39</f>
        <v>Transport industry Heat Room Boiler - Electricity Existing 1</v>
      </c>
      <c r="F187" s="139" t="s">
        <v>44</v>
      </c>
      <c r="G187" s="139" t="s">
        <v>46</v>
      </c>
      <c r="H187" s="139"/>
      <c r="I187" s="139"/>
      <c r="J187" s="139"/>
      <c r="K187" s="69"/>
    </row>
    <row r="188" spans="1:13">
      <c r="B188" s="317" t="str">
        <f t="shared" si="15"/>
        <v/>
      </c>
      <c r="C188" s="146"/>
      <c r="D188" s="146" t="str">
        <f>M161 &amp; P$40 &amp; R$40 &amp; VLOOKUP(O$40, $O$50:$P$74,2,FALSE) &amp; "E1"</f>
        <v>INDTDLAAELCE1</v>
      </c>
      <c r="E188" s="146" t="str">
        <f>+M158 &amp; " " &amp; S$40 &amp; " - " &amp; T$40 &amp; " " &amp; U$40</f>
        <v>Transport industry Electricity Light Appliance - Electricity Existing 1</v>
      </c>
      <c r="F188" s="149" t="s">
        <v>44</v>
      </c>
      <c r="G188" s="146" t="s">
        <v>46</v>
      </c>
      <c r="H188" s="146"/>
      <c r="I188" s="146"/>
      <c r="J188" s="146"/>
      <c r="K188" s="69"/>
    </row>
    <row r="189" spans="1:13">
      <c r="B189" s="317" t="str">
        <f t="shared" si="15"/>
        <v/>
      </c>
      <c r="C189" s="146"/>
      <c r="D189" s="144" t="str">
        <f>M161 &amp; P$41 &amp; R$41 &amp; VLOOKUP(O$41, $O$50:$P$74,2,FALSE) &amp; "E1"</f>
        <v>INDTDEMMELCE1</v>
      </c>
      <c r="E189" s="144" t="str">
        <f>+M158 &amp; " " &amp; S$41 &amp; " - " &amp; T$41 &amp; " " &amp; U$41</f>
        <v>Transport industry Electricity Motors - Electricity Existing 1</v>
      </c>
      <c r="F189" s="139" t="s">
        <v>44</v>
      </c>
      <c r="G189" s="139" t="s">
        <v>46</v>
      </c>
      <c r="H189" s="139"/>
      <c r="I189" s="139"/>
      <c r="J189" s="139"/>
      <c r="K189" s="69"/>
    </row>
    <row r="190" spans="1:13">
      <c r="A190" s="236"/>
      <c r="B190" s="317" t="str">
        <f t="shared" si="15"/>
        <v/>
      </c>
      <c r="C190" s="146"/>
      <c r="D190" s="237" t="str">
        <f>M161 &amp; P$42 &amp; R$42 &amp; VLOOKUP(O$42, $O$50:$P$74,2,FALSE) &amp; "E1"</f>
        <v>INDTDTFTDSLE1</v>
      </c>
      <c r="E190" s="146" t="str">
        <f>+M158 &amp; " " &amp; S$42 &amp; " - " &amp; T$42 &amp; " " &amp; U$42</f>
        <v>Transport industry Tractors, Trucks, Fishing boats, Forest machines - Diesel Existing 1</v>
      </c>
      <c r="F190" s="146" t="s">
        <v>44</v>
      </c>
      <c r="G190" s="146" t="s">
        <v>46</v>
      </c>
      <c r="H190" s="146"/>
      <c r="I190" s="146"/>
      <c r="J190" s="146"/>
    </row>
    <row r="191" spans="1:13">
      <c r="A191" s="236"/>
      <c r="B191" s="317" t="str">
        <f t="shared" si="15"/>
        <v/>
      </c>
      <c r="C191" s="146"/>
      <c r="D191" s="237" t="str">
        <f>M161&amp;P$43&amp;R$43&amp;VLOOKUP(O$43,$O$50:$P$74,2,FALSE)&amp;"E1"</f>
        <v>INDTDFLTLPGE1</v>
      </c>
      <c r="E191" s="146" t="str">
        <f>+M158 &amp; " " &amp; S$43 &amp; " - " &amp; T$43 &amp; " " &amp; U$43</f>
        <v>Transport industry Forklifts - LPG Existing 1</v>
      </c>
      <c r="F191" s="146" t="s">
        <v>44</v>
      </c>
      <c r="G191" s="146" t="s">
        <v>46</v>
      </c>
      <c r="H191" s="146"/>
      <c r="I191" s="146"/>
      <c r="J191" s="146"/>
    </row>
    <row r="192" spans="1:13" ht="15">
      <c r="A192" s="34"/>
      <c r="B192" s="142" t="s">
        <v>25</v>
      </c>
      <c r="C192" s="256"/>
      <c r="D192" s="175" t="str">
        <f>M198 &amp; P$7 &amp; R$7 &amp; VLOOKUP(O$7, $O$50:$P$74,2,FALSE) &amp; "E1"</f>
        <v>INDMDPHBNGAE1</v>
      </c>
      <c r="E192" s="141" t="str">
        <f>+M195 &amp; " " &amp; S$7 &amp; " - " &amp; T$7 &amp; " " &amp; U$7</f>
        <v>Machinery industry Heat Medium Temp. Boiler - Nat. Gas Existing 1</v>
      </c>
      <c r="F192" s="142" t="s">
        <v>44</v>
      </c>
      <c r="G192" s="142" t="s">
        <v>46</v>
      </c>
      <c r="H192" s="142"/>
      <c r="I192" s="257"/>
      <c r="J192" s="142"/>
      <c r="K192" s="196"/>
      <c r="L192" s="62" t="s">
        <v>196</v>
      </c>
      <c r="M192" s="131">
        <f>+M155+1</f>
        <v>6</v>
      </c>
    </row>
    <row r="193" spans="2:13">
      <c r="B193" s="317" t="str">
        <f t="shared" ref="B193:B228" si="16">+IF(ISBLANK(D193),"*","")</f>
        <v/>
      </c>
      <c r="C193" s="136"/>
      <c r="D193" s="146" t="str">
        <f>M198 &amp; P$8 &amp; R$8 &amp; VLOOKUP(O$8, $O$50:$P$74,2,FALSE) &amp; "E1"</f>
        <v>INDMDPHBCOAE1</v>
      </c>
      <c r="E193" s="143" t="str">
        <f>+M195 &amp; " " &amp; S$8 &amp; " - " &amp; T$8 &amp; " " &amp; U$8</f>
        <v>Machinery industry Heat Medium Temp. Boiler - Coal Existing 1</v>
      </c>
      <c r="F193" s="136" t="s">
        <v>44</v>
      </c>
      <c r="G193" s="136" t="s">
        <v>46</v>
      </c>
      <c r="H193" s="136"/>
      <c r="I193" s="133"/>
      <c r="J193" s="136"/>
      <c r="K193" s="69"/>
      <c r="L193" s="25" t="s">
        <v>130</v>
      </c>
    </row>
    <row r="194" spans="2:13">
      <c r="B194" s="317" t="str">
        <f t="shared" si="16"/>
        <v/>
      </c>
      <c r="C194" s="136"/>
      <c r="D194" s="146" t="str">
        <f>M198 &amp; P$9 &amp; R$9 &amp; VLOOKUP(O$9, $O$50:$P$74,2,FALSE) &amp; "E1"</f>
        <v>INDMDPHBDSLE1</v>
      </c>
      <c r="E194" s="143" t="str">
        <f>+M195 &amp; " " &amp; S$9 &amp; " - " &amp; T$9 &amp; " " &amp; U$9</f>
        <v>Machinery industry Heat Medium Temp. Boiler - Diesel Existing 1</v>
      </c>
      <c r="F194" s="136" t="s">
        <v>44</v>
      </c>
      <c r="G194" s="136" t="s">
        <v>46</v>
      </c>
      <c r="H194" s="136"/>
      <c r="I194" s="136"/>
      <c r="J194" s="136"/>
      <c r="K194" s="69"/>
      <c r="L194" s="62" t="s">
        <v>198</v>
      </c>
      <c r="M194" s="64" t="s">
        <v>135</v>
      </c>
    </row>
    <row r="195" spans="2:13">
      <c r="B195" s="317" t="str">
        <f t="shared" si="16"/>
        <v/>
      </c>
      <c r="C195" s="136"/>
      <c r="D195" s="146" t="str">
        <f>M198 &amp; P$10 &amp; R$10 &amp; VLOOKUP(O$10, $O$50:$P$74,2,FALSE) &amp; "E1"</f>
        <v>INDMDPHBWPEE1</v>
      </c>
      <c r="E195" s="143" t="str">
        <f>+M195 &amp; " " &amp; S$10 &amp; " - " &amp; T$10 &amp; " " &amp; U$10</f>
        <v>Machinery industry Heat Medium Temp. Boiler - Wood Pellets Existing 1</v>
      </c>
      <c r="F195" s="136" t="s">
        <v>44</v>
      </c>
      <c r="G195" s="136" t="s">
        <v>46</v>
      </c>
      <c r="H195" s="136"/>
      <c r="I195" s="136"/>
      <c r="J195" s="136"/>
      <c r="K195" s="69"/>
      <c r="L195" s="62" t="s">
        <v>201</v>
      </c>
      <c r="M195" s="70" t="str">
        <f>+INDEX(Commodities!$X$6:$X$17,M192)</f>
        <v>Machinery industry</v>
      </c>
    </row>
    <row r="196" spans="2:13">
      <c r="B196" s="317" t="str">
        <f t="shared" si="16"/>
        <v>*</v>
      </c>
      <c r="C196" s="136"/>
      <c r="D196" s="146"/>
      <c r="E196" s="143"/>
      <c r="F196" s="136"/>
      <c r="G196" s="136"/>
      <c r="H196" s="136"/>
      <c r="I196" s="136"/>
      <c r="J196" s="136"/>
      <c r="K196" s="69"/>
      <c r="L196" s="62" t="s">
        <v>130</v>
      </c>
      <c r="M196" s="70" t="str">
        <f>+INDEX(Commodities!$Y$6:$Y$17,M192)</f>
        <v>06 Machinery</v>
      </c>
    </row>
    <row r="197" spans="2:13">
      <c r="B197" s="317" t="str">
        <f t="shared" si="16"/>
        <v/>
      </c>
      <c r="C197" s="136"/>
      <c r="D197" s="146" t="str">
        <f>M198 &amp; P$12 &amp; R$12 &amp; VLOOKUP(O$12, $O$50:$P$74,2,FALSE) &amp; "E1"</f>
        <v>INDMDPHBBGAE1</v>
      </c>
      <c r="E197" s="143" t="str">
        <f>+M195 &amp; " " &amp; S$12 &amp; " - " &amp; T$12 &amp; " " &amp; U$12</f>
        <v>Machinery industry Heat Medium Temp. Boiler - Biogas Existing 1</v>
      </c>
      <c r="F197" s="136" t="s">
        <v>44</v>
      </c>
      <c r="G197" s="136" t="s">
        <v>46</v>
      </c>
      <c r="H197" s="136"/>
      <c r="I197" s="136"/>
      <c r="J197" s="136"/>
      <c r="K197" s="69"/>
      <c r="L197" s="62" t="s">
        <v>197</v>
      </c>
      <c r="M197" s="70" t="str">
        <f>+INDEX(Commodities!$U$6:$U$17,M192)</f>
        <v>IM</v>
      </c>
    </row>
    <row r="198" spans="2:13">
      <c r="B198" s="317" t="str">
        <f t="shared" si="16"/>
        <v/>
      </c>
      <c r="C198" s="136"/>
      <c r="D198" s="146" t="str">
        <f>M198 &amp; P$13 &amp; R$13 &amp; VLOOKUP(O$13, $O$50:$P$74,2,FALSE) &amp; "E1"</f>
        <v>INDMDPHBHFOE1</v>
      </c>
      <c r="E198" s="143" t="str">
        <f>+M195 &amp; " " &amp; S$13 &amp; " - " &amp; T$13 &amp; " " &amp; U$13</f>
        <v>Machinery industry Heat Medium Temp. Boiler - Heavy Fuel Oil Existing 1</v>
      </c>
      <c r="F198" s="136" t="s">
        <v>44</v>
      </c>
      <c r="G198" s="136" t="s">
        <v>46</v>
      </c>
      <c r="H198" s="136"/>
      <c r="I198" s="136"/>
      <c r="J198" s="136"/>
      <c r="K198" s="69"/>
      <c r="L198" s="62" t="s">
        <v>197</v>
      </c>
      <c r="M198" s="70" t="str">
        <f>+INDEX(Commodities!$W$6:$W$17,M192)</f>
        <v>INDM</v>
      </c>
    </row>
    <row r="199" spans="2:13">
      <c r="B199" s="317" t="str">
        <f t="shared" si="16"/>
        <v/>
      </c>
      <c r="C199" s="136"/>
      <c r="D199" s="146" t="str">
        <f>M198 &amp; P$14 &amp; R$14 &amp; VLOOKUP(O$14, $O$50:$P$74,2,FALSE) &amp; "E1"</f>
        <v>INDMDPHBLPGE1</v>
      </c>
      <c r="E199" s="143" t="str">
        <f>+M195 &amp; " " &amp; S$14 &amp; " - " &amp; T$14 &amp; " " &amp; U$14</f>
        <v>Machinery industry Heat Medium Temp. Boiler - Liquified Petroleum Gas Existing 1</v>
      </c>
      <c r="F199" s="136" t="s">
        <v>44</v>
      </c>
      <c r="G199" s="136" t="s">
        <v>46</v>
      </c>
      <c r="H199" s="136"/>
      <c r="I199" s="136"/>
      <c r="J199" s="136"/>
      <c r="K199" s="69"/>
    </row>
    <row r="200" spans="2:13">
      <c r="B200" s="317" t="str">
        <f t="shared" si="16"/>
        <v/>
      </c>
      <c r="C200" s="136"/>
      <c r="D200" s="146" t="str">
        <f>M198 &amp; P$15 &amp; R$15 &amp; VLOOKUP(O$15, $O$50:$P$74,2,FALSE) &amp; "E1"</f>
        <v>INDMDPHBWSTE1</v>
      </c>
      <c r="E200" s="143" t="str">
        <f>+M195 &amp; " " &amp; S$15 &amp; " - " &amp; T$15 &amp; " " &amp; U$15</f>
        <v>Machinery industry Heat Medium Temp. Boiler - Waste Existing 1</v>
      </c>
      <c r="F200" s="136" t="s">
        <v>44</v>
      </c>
      <c r="G200" s="136" t="s">
        <v>46</v>
      </c>
      <c r="H200" s="136"/>
      <c r="I200" s="136"/>
      <c r="J200" s="136"/>
      <c r="K200" s="69"/>
    </row>
    <row r="201" spans="2:13">
      <c r="B201" s="317" t="str">
        <f t="shared" si="16"/>
        <v/>
      </c>
      <c r="C201" s="136"/>
      <c r="D201" s="146" t="str">
        <f>M198 &amp; P$16 &amp; R$16 &amp; VLOOKUP(O$16, $O$50:$P$74,2,FALSE) &amp; "E1"</f>
        <v>INDMDPHBHETE1</v>
      </c>
      <c r="E201" s="143" t="str">
        <f>+M195 &amp; " " &amp; S$16 &amp; " - " &amp; T$16 &amp; " " &amp; U$16</f>
        <v>Machinery industry Heat Medium Temp. Boiler - Dist. Heat Existing 1</v>
      </c>
      <c r="F201" s="136" t="s">
        <v>44</v>
      </c>
      <c r="G201" s="136" t="s">
        <v>46</v>
      </c>
      <c r="H201" s="136"/>
      <c r="I201" s="136"/>
      <c r="J201" s="136"/>
      <c r="K201" s="69"/>
    </row>
    <row r="202" spans="2:13">
      <c r="B202" s="317" t="str">
        <f t="shared" si="16"/>
        <v/>
      </c>
      <c r="C202" s="136"/>
      <c r="D202" s="146" t="str">
        <f>M198 &amp; P$17 &amp; R$17 &amp; VLOOKUP(O$17, $O$50:$P$74,2,FALSE) &amp; "E2"</f>
        <v>INDMDPHBHETE2</v>
      </c>
      <c r="E202" s="143" t="str">
        <f>+M195 &amp; " " &amp; S$17 &amp; " - " &amp; T$17 &amp; " " &amp; U$17</f>
        <v>Machinery industry Heat Medium Temp. Boiler - Dist. Heat Existing 2</v>
      </c>
      <c r="F202" s="317" t="s">
        <v>44</v>
      </c>
      <c r="G202" s="317" t="s">
        <v>46</v>
      </c>
      <c r="H202" s="136"/>
      <c r="I202" s="136"/>
      <c r="J202" s="136"/>
      <c r="K202" s="69"/>
    </row>
    <row r="203" spans="2:13">
      <c r="B203" s="317" t="str">
        <f t="shared" si="16"/>
        <v/>
      </c>
      <c r="C203" s="136"/>
      <c r="D203" s="144" t="str">
        <f>M198 &amp; P$18 &amp; R$18 &amp; VLOOKUP(O$18, $O$50:$P$74,2,FALSE) &amp; "E1"</f>
        <v>INDMDPHBELCE1</v>
      </c>
      <c r="E203" s="144" t="str">
        <f>+M195 &amp; " " &amp; S$18 &amp; " - " &amp; T$18 &amp; " " &amp; U$18</f>
        <v>Machinery industry Heat Medium Temp. Boiler - Electricity Existing 1</v>
      </c>
      <c r="F203" s="139" t="s">
        <v>44</v>
      </c>
      <c r="G203" s="139" t="s">
        <v>46</v>
      </c>
      <c r="H203" s="139"/>
      <c r="I203" s="139"/>
      <c r="J203" s="139"/>
      <c r="K203" s="69"/>
    </row>
    <row r="204" spans="2:13">
      <c r="B204" s="317" t="str">
        <f t="shared" si="16"/>
        <v/>
      </c>
      <c r="C204" s="136"/>
      <c r="D204" s="143" t="str">
        <f>M198 &amp; P$19 &amp; R$19 &amp; VLOOKUP(O$19, $O$50:$P$74,2,FALSE) &amp; "E1"</f>
        <v>INDMDCOBNGAE1</v>
      </c>
      <c r="E204" s="143" t="str">
        <f>+M195 &amp; " " &amp; S$19 &amp; " - " &amp; T$19 &amp; " " &amp; U$19</f>
        <v>Machinery industry Heat High Temp. Boiler - Nat. Gas Existing 1</v>
      </c>
      <c r="F204" s="136" t="s">
        <v>44</v>
      </c>
      <c r="G204" s="136" t="s">
        <v>46</v>
      </c>
      <c r="H204" s="136"/>
      <c r="I204" s="136"/>
      <c r="J204" s="136"/>
      <c r="K204" s="69"/>
    </row>
    <row r="205" spans="2:13">
      <c r="B205" s="317" t="str">
        <f t="shared" si="16"/>
        <v/>
      </c>
      <c r="C205" s="136"/>
      <c r="D205" s="143" t="str">
        <f>M198 &amp; P$20 &amp; R$20 &amp; VLOOKUP(O$20, $O$50:$P$74,2,FALSE) &amp; "E1"</f>
        <v>INDMDCOBCOAE1</v>
      </c>
      <c r="E205" s="143" t="str">
        <f>+M195 &amp; " " &amp; S$20 &amp; " - " &amp; T$20 &amp; " " &amp; U$20</f>
        <v>Machinery industry Heat High Temp. Boiler - Coal Existing 1</v>
      </c>
      <c r="F205" s="136" t="s">
        <v>44</v>
      </c>
      <c r="G205" s="136" t="s">
        <v>46</v>
      </c>
      <c r="H205" s="136"/>
      <c r="I205" s="136"/>
      <c r="J205" s="136"/>
      <c r="K205" s="69"/>
    </row>
    <row r="206" spans="2:13">
      <c r="B206" s="317" t="str">
        <f t="shared" si="16"/>
        <v/>
      </c>
      <c r="C206" s="136"/>
      <c r="D206" s="143" t="str">
        <f>M198 &amp; P$21 &amp; R$21 &amp; VLOOKUP(O$21, $O$50:$P$74,2,FALSE) &amp; "E1"</f>
        <v>INDMDCOBDSLE1</v>
      </c>
      <c r="E206" s="143" t="str">
        <f>+M195 &amp; " " &amp; S$21 &amp; " - " &amp; T$21 &amp; " " &amp; U$21</f>
        <v>Machinery industry Heat High Temp. Boiler - Diesel Existing 1</v>
      </c>
      <c r="F206" s="136" t="s">
        <v>44</v>
      </c>
      <c r="G206" s="136" t="s">
        <v>46</v>
      </c>
      <c r="H206" s="136"/>
      <c r="I206" s="136"/>
      <c r="J206" s="136"/>
      <c r="K206" s="69"/>
    </row>
    <row r="207" spans="2:13">
      <c r="B207" s="317" t="str">
        <f t="shared" si="16"/>
        <v/>
      </c>
      <c r="C207" s="136"/>
      <c r="D207" s="143" t="str">
        <f>M198 &amp; P$22 &amp; R$22 &amp; VLOOKUP(O$22, $O$50:$P$74,2,FALSE) &amp; "E1"</f>
        <v>INDMDCOBWPEE1</v>
      </c>
      <c r="E207" s="143" t="str">
        <f>+M195 &amp; " " &amp; S$22 &amp; " - " &amp; T$22 &amp; " " &amp; U$22</f>
        <v>Machinery industry Heat High Temp. Boiler - Wood Pellets Existing 1</v>
      </c>
      <c r="F207" s="136" t="s">
        <v>44</v>
      </c>
      <c r="G207" s="136" t="s">
        <v>46</v>
      </c>
      <c r="H207" s="136"/>
      <c r="I207" s="136"/>
      <c r="J207" s="136"/>
      <c r="K207" s="69"/>
    </row>
    <row r="208" spans="2:13">
      <c r="B208" s="317" t="str">
        <f t="shared" si="16"/>
        <v>*</v>
      </c>
      <c r="C208" s="136"/>
      <c r="D208" s="143"/>
      <c r="E208" s="143"/>
      <c r="F208" s="136"/>
      <c r="G208" s="136"/>
      <c r="H208" s="136"/>
      <c r="I208" s="136"/>
      <c r="J208" s="136"/>
      <c r="K208" s="69"/>
    </row>
    <row r="209" spans="2:11">
      <c r="B209" s="317" t="str">
        <f t="shared" si="16"/>
        <v/>
      </c>
      <c r="C209" s="136"/>
      <c r="D209" s="143" t="str">
        <f>M198 &amp; P$24 &amp; R$24 &amp; VLOOKUP(O$24, $O$50:$P$74,2,FALSE) &amp; "E1"</f>
        <v>INDMDCOBHFOE1</v>
      </c>
      <c r="E209" s="143" t="str">
        <f>+M195 &amp; " " &amp; S$24 &amp; " - " &amp; T$24 &amp; " " &amp; U$24</f>
        <v>Machinery industry Heat High Temp. Boiler - Heavy Fuel Oil Existing 1</v>
      </c>
      <c r="F209" s="136" t="s">
        <v>44</v>
      </c>
      <c r="G209" s="136" t="s">
        <v>46</v>
      </c>
      <c r="H209" s="136"/>
      <c r="I209" s="136"/>
      <c r="J209" s="136"/>
      <c r="K209" s="69"/>
    </row>
    <row r="210" spans="2:11">
      <c r="B210" s="317" t="str">
        <f t="shared" si="16"/>
        <v/>
      </c>
      <c r="C210" s="136"/>
      <c r="D210" s="143" t="str">
        <f>M198 &amp; P$25 &amp; R$25 &amp; VLOOKUP(O$25, $O$50:$P$74,2,FALSE) &amp; "E1"</f>
        <v>INDMDCOBLPGE1</v>
      </c>
      <c r="E210" s="143" t="str">
        <f>+M195 &amp; " " &amp; S$25 &amp; " - " &amp; T$25 &amp; " " &amp; U$25</f>
        <v>Machinery industry Heat High Temp. Boiler - Liquified Petroleum Gas Existing 1</v>
      </c>
      <c r="F210" s="136" t="s">
        <v>44</v>
      </c>
      <c r="G210" s="136" t="s">
        <v>46</v>
      </c>
      <c r="H210" s="136"/>
      <c r="I210" s="136"/>
      <c r="J210" s="136"/>
      <c r="K210" s="69"/>
    </row>
    <row r="211" spans="2:11">
      <c r="B211" s="317" t="str">
        <f t="shared" si="16"/>
        <v/>
      </c>
      <c r="C211" s="136"/>
      <c r="D211" s="143" t="str">
        <f>M198 &amp; P$26 &amp; R$26 &amp; VLOOKUP(O$26, $O$50:$P$74,2,FALSE) &amp; "E1"</f>
        <v>INDMDCOBWSTE1</v>
      </c>
      <c r="E211" s="143" t="str">
        <f>+M195 &amp; " " &amp; S$26 &amp; " - " &amp; T$26 &amp; " " &amp; U$26</f>
        <v>Machinery industry Heat High Temp. Boiler - Waste Existing 1</v>
      </c>
      <c r="F211" s="136" t="s">
        <v>44</v>
      </c>
      <c r="G211" s="136" t="s">
        <v>46</v>
      </c>
      <c r="H211" s="136"/>
      <c r="I211" s="136"/>
      <c r="J211" s="136"/>
      <c r="K211" s="69"/>
    </row>
    <row r="212" spans="2:11">
      <c r="B212" s="317" t="str">
        <f t="shared" si="16"/>
        <v/>
      </c>
      <c r="C212" s="136"/>
      <c r="D212" s="144" t="str">
        <f>M198 &amp; P$27 &amp; R$27 &amp; VLOOKUP(O$27, $O$50:$P$74,2,FALSE) &amp; "E1"</f>
        <v>INDMDCOBELCE1</v>
      </c>
      <c r="E212" s="144" t="str">
        <f>+M195 &amp; " " &amp; S$27 &amp; " - " &amp; T$27 &amp; " " &amp; U$27</f>
        <v>Machinery industry Heat High Temp. Boiler - Electricity Existing 1</v>
      </c>
      <c r="F212" s="139" t="s">
        <v>44</v>
      </c>
      <c r="G212" s="139" t="s">
        <v>46</v>
      </c>
      <c r="H212" s="139"/>
      <c r="I212" s="139"/>
      <c r="J212" s="139"/>
      <c r="K212" s="69"/>
    </row>
    <row r="213" spans="2:11">
      <c r="B213" s="317" t="str">
        <f t="shared" si="16"/>
        <v/>
      </c>
      <c r="C213" s="136"/>
      <c r="D213" s="146" t="str">
        <f>M198 &amp; P$28 &amp; R$28 &amp; VLOOKUP(O$28, $O$50:$P$74,2,FALSE) &amp; "E1"</f>
        <v>INDMDSHBNGAE1</v>
      </c>
      <c r="E213" s="143" t="str">
        <f>+M195 &amp; " " &amp; S$28 &amp; " - " &amp; T$28 &amp; " " &amp; U$28</f>
        <v>Machinery industry Heat Room Boiler - Nat. Gas Existing 1</v>
      </c>
      <c r="F213" s="136" t="s">
        <v>44</v>
      </c>
      <c r="G213" s="136" t="s">
        <v>46</v>
      </c>
      <c r="H213" s="136"/>
      <c r="I213" s="136"/>
      <c r="J213" s="136"/>
      <c r="K213" s="69"/>
    </row>
    <row r="214" spans="2:11">
      <c r="B214" s="317" t="str">
        <f t="shared" si="16"/>
        <v/>
      </c>
      <c r="C214" s="136"/>
      <c r="D214" s="146" t="str">
        <f>M198 &amp; P$29 &amp; R$29 &amp; VLOOKUP(O$29, $O$50:$P$74,2,FALSE) &amp; "E1"</f>
        <v>INDMDSHBCOAE1</v>
      </c>
      <c r="E214" s="143" t="str">
        <f>+M195 &amp; " " &amp; S$29 &amp; " - " &amp; T$29 &amp; " " &amp; U$29</f>
        <v>Machinery industry Heat Room Boiler - Coal Existing 1</v>
      </c>
      <c r="F214" s="136" t="s">
        <v>44</v>
      </c>
      <c r="G214" s="136" t="s">
        <v>46</v>
      </c>
      <c r="H214" s="136"/>
      <c r="I214" s="136"/>
      <c r="J214" s="136"/>
      <c r="K214" s="69"/>
    </row>
    <row r="215" spans="2:11">
      <c r="B215" s="317" t="str">
        <f t="shared" si="16"/>
        <v/>
      </c>
      <c r="C215" s="136"/>
      <c r="D215" s="146" t="str">
        <f>M198 &amp; P$30 &amp; R$30 &amp; VLOOKUP(O$30, $O$50:$P$74,2,FALSE) &amp; "E1"</f>
        <v>INDMDSHBDSLE1</v>
      </c>
      <c r="E215" s="143" t="str">
        <f>+M195 &amp; " " &amp; S$30 &amp; " - " &amp; T$30 &amp; " " &amp; U$30</f>
        <v>Machinery industry Heat Room Boiler - Diesel Existing 1</v>
      </c>
      <c r="F215" s="136" t="s">
        <v>44</v>
      </c>
      <c r="G215" s="136" t="s">
        <v>46</v>
      </c>
      <c r="H215" s="136"/>
      <c r="I215" s="136"/>
      <c r="J215" s="136"/>
      <c r="K215" s="69"/>
    </row>
    <row r="216" spans="2:11">
      <c r="B216" s="317" t="str">
        <f t="shared" si="16"/>
        <v/>
      </c>
      <c r="C216" s="136"/>
      <c r="D216" s="146" t="str">
        <f>M198 &amp; P$31 &amp; R$31 &amp; VLOOKUP(O$31, $O$50:$P$74,2,FALSE) &amp; "E1"</f>
        <v>INDMDSHBWPEE1</v>
      </c>
      <c r="E216" s="143" t="str">
        <f>+M195 &amp; " " &amp; S$31 &amp; " - " &amp; T$31 &amp; " " &amp; U$31</f>
        <v>Machinery industry Heat Room Boiler - Wood Pellets Existing 1</v>
      </c>
      <c r="F216" s="136" t="s">
        <v>44</v>
      </c>
      <c r="G216" s="136" t="s">
        <v>46</v>
      </c>
      <c r="H216" s="136"/>
      <c r="I216" s="136"/>
      <c r="J216" s="136"/>
      <c r="K216" s="69"/>
    </row>
    <row r="217" spans="2:11">
      <c r="B217" s="317" t="str">
        <f t="shared" si="16"/>
        <v>*</v>
      </c>
      <c r="C217" s="136"/>
      <c r="D217" s="146"/>
      <c r="E217" s="143"/>
      <c r="F217" s="136"/>
      <c r="G217" s="136"/>
      <c r="H217" s="136"/>
      <c r="I217" s="136"/>
      <c r="J217" s="136"/>
      <c r="K217" s="69"/>
    </row>
    <row r="218" spans="2:11">
      <c r="B218" s="317" t="str">
        <f t="shared" si="16"/>
        <v/>
      </c>
      <c r="C218" s="136"/>
      <c r="D218" s="146" t="str">
        <f>M198 &amp; P$33 &amp; R$33 &amp; VLOOKUP(O$33, $O$50:$P$74,2,FALSE) &amp; "E1"</f>
        <v>INDMDSHBBGAE1</v>
      </c>
      <c r="E218" s="143" t="str">
        <f>+M195 &amp; " " &amp; S$33 &amp; " - " &amp; T$33 &amp; " " &amp; U$33</f>
        <v>Machinery industry Heat Room Boiler - Biogas Existing 1</v>
      </c>
      <c r="F218" s="136" t="s">
        <v>44</v>
      </c>
      <c r="G218" s="136" t="s">
        <v>46</v>
      </c>
      <c r="H218" s="136"/>
      <c r="I218" s="136"/>
      <c r="J218" s="136"/>
      <c r="K218" s="69"/>
    </row>
    <row r="219" spans="2:11">
      <c r="B219" s="317" t="str">
        <f t="shared" si="16"/>
        <v/>
      </c>
      <c r="C219" s="136"/>
      <c r="D219" s="146" t="str">
        <f>M198 &amp; P$34 &amp; R$34 &amp; VLOOKUP(O$34, $O$50:$P$74,2,FALSE) &amp; "E1"</f>
        <v>INDMDSHBHFOE1</v>
      </c>
      <c r="E219" s="143" t="str">
        <f>+M195 &amp; " " &amp; S$34 &amp; " - " &amp; T$34 &amp; " " &amp; U$34</f>
        <v>Machinery industry Heat Room Boiler - Heavy Fuel Oil Existing 1</v>
      </c>
      <c r="F219" s="136" t="s">
        <v>44</v>
      </c>
      <c r="G219" s="136" t="s">
        <v>46</v>
      </c>
      <c r="H219" s="136"/>
      <c r="I219" s="136"/>
      <c r="J219" s="136"/>
      <c r="K219" s="69"/>
    </row>
    <row r="220" spans="2:11">
      <c r="B220" s="317" t="str">
        <f t="shared" si="16"/>
        <v/>
      </c>
      <c r="C220" s="136"/>
      <c r="D220" s="146" t="str">
        <f>M198 &amp; P$35 &amp; R$35 &amp; VLOOKUP(O$35, $O$50:$P$74,2,FALSE) &amp; "E1"</f>
        <v>INDMDSHBLPGE1</v>
      </c>
      <c r="E220" s="143" t="str">
        <f>+M195 &amp; " " &amp; S$35 &amp; " - " &amp; T$35 &amp; " " &amp; U$35</f>
        <v>Machinery industry Heat Room Boiler - Liquified Petroleum Gas Existing 1</v>
      </c>
      <c r="F220" s="136" t="s">
        <v>44</v>
      </c>
      <c r="G220" s="136" t="s">
        <v>46</v>
      </c>
      <c r="H220" s="136"/>
      <c r="I220" s="136"/>
      <c r="J220" s="136"/>
      <c r="K220" s="69"/>
    </row>
    <row r="221" spans="2:11">
      <c r="B221" s="317" t="str">
        <f t="shared" si="16"/>
        <v/>
      </c>
      <c r="C221" s="136"/>
      <c r="D221" s="146" t="str">
        <f>M198 &amp; P$36 &amp; R$36 &amp; VLOOKUP(O$36, $O$50:$P$74,2,FALSE) &amp; "E1"</f>
        <v>INDMDSHBWSTE1</v>
      </c>
      <c r="E221" s="143" t="str">
        <f>+M195 &amp; " " &amp; S$36 &amp; " - " &amp; T$36 &amp; " " &amp; U$36</f>
        <v>Machinery industry Heat Room Boiler - Waste Existing 1</v>
      </c>
      <c r="F221" s="136" t="s">
        <v>44</v>
      </c>
      <c r="G221" s="136" t="s">
        <v>46</v>
      </c>
      <c r="H221" s="136"/>
      <c r="I221" s="136"/>
      <c r="J221" s="136"/>
      <c r="K221" s="69"/>
    </row>
    <row r="222" spans="2:11">
      <c r="B222" s="317" t="str">
        <f t="shared" si="16"/>
        <v/>
      </c>
      <c r="C222" s="136"/>
      <c r="D222" s="146" t="str">
        <f>M198 &amp; P$37 &amp; R$37 &amp; VLOOKUP(O$37, $O$50:$P$74,2,FALSE) &amp; "E1"</f>
        <v>INDMDSHBHETE1</v>
      </c>
      <c r="E222" s="143" t="str">
        <f>+M195 &amp; " " &amp; S$37 &amp; " - " &amp; T$37 &amp; " " &amp; U$37</f>
        <v>Machinery industry Heat Room Boiler - Dist. Heat Existing 1</v>
      </c>
      <c r="F222" s="136" t="s">
        <v>44</v>
      </c>
      <c r="G222" s="136" t="s">
        <v>46</v>
      </c>
      <c r="H222" s="136"/>
      <c r="I222" s="136"/>
      <c r="J222" s="136"/>
      <c r="K222" s="69"/>
    </row>
    <row r="223" spans="2:11">
      <c r="B223" s="317" t="str">
        <f t="shared" si="16"/>
        <v/>
      </c>
      <c r="C223" s="146"/>
      <c r="D223" s="146" t="str">
        <f>M198 &amp; P$38 &amp; R$38 &amp; VLOOKUP(O$38, $O$50:$P$74,2,FALSE) &amp; "E2"</f>
        <v>INDMDSHBHETE2</v>
      </c>
      <c r="E223" s="143" t="str">
        <f>+M195 &amp; " " &amp; S$38 &amp; " - " &amp; T$38 &amp; " " &amp; U$38</f>
        <v>Machinery industry Heat Room Boiler - Dist. Heat Existing 2</v>
      </c>
      <c r="F223" s="317" t="s">
        <v>44</v>
      </c>
      <c r="G223" s="317" t="s">
        <v>46</v>
      </c>
      <c r="H223" s="146"/>
      <c r="I223" s="146"/>
      <c r="J223" s="146"/>
      <c r="K223" s="69"/>
    </row>
    <row r="224" spans="2:11">
      <c r="B224" s="317" t="str">
        <f t="shared" si="16"/>
        <v/>
      </c>
      <c r="C224" s="146"/>
      <c r="D224" s="144" t="str">
        <f>M198 &amp; P$39 &amp; R$39 &amp; VLOOKUP(O$39, $O$50:$P$74,2,FALSE) &amp; "E1"</f>
        <v>INDMDSHBELCE1</v>
      </c>
      <c r="E224" s="144" t="str">
        <f>+M195 &amp; " " &amp; S$39 &amp; " - " &amp; T$39 &amp; " " &amp; U$39</f>
        <v>Machinery industry Heat Room Boiler - Electricity Existing 1</v>
      </c>
      <c r="F224" s="139" t="s">
        <v>44</v>
      </c>
      <c r="G224" s="139" t="s">
        <v>46</v>
      </c>
      <c r="H224" s="139"/>
      <c r="I224" s="139"/>
      <c r="J224" s="139"/>
      <c r="K224" s="69"/>
    </row>
    <row r="225" spans="1:13">
      <c r="B225" s="317" t="str">
        <f t="shared" si="16"/>
        <v/>
      </c>
      <c r="C225" s="146"/>
      <c r="D225" s="146" t="str">
        <f>M198 &amp; P$40 &amp; R$40 &amp; VLOOKUP(O$40, $O$50:$P$74,2,FALSE) &amp; "E1"</f>
        <v>INDMDLAAELCE1</v>
      </c>
      <c r="E225" s="146" t="str">
        <f>+M195 &amp; " " &amp; S$40 &amp; " - " &amp; T$40 &amp; " " &amp; U$40</f>
        <v>Machinery industry Electricity Light Appliance - Electricity Existing 1</v>
      </c>
      <c r="F225" s="149" t="s">
        <v>44</v>
      </c>
      <c r="G225" s="146" t="s">
        <v>46</v>
      </c>
      <c r="H225" s="146"/>
      <c r="I225" s="146"/>
      <c r="J225" s="146"/>
      <c r="K225" s="69"/>
    </row>
    <row r="226" spans="1:13">
      <c r="B226" s="317" t="str">
        <f t="shared" si="16"/>
        <v/>
      </c>
      <c r="C226" s="146"/>
      <c r="D226" s="144" t="str">
        <f>M198 &amp; P$41 &amp; R$41 &amp; VLOOKUP(O$41, $O$50:$P$74,2,FALSE) &amp; "E1"</f>
        <v>INDMDEMMELCE1</v>
      </c>
      <c r="E226" s="144" t="str">
        <f>+M195 &amp; " " &amp; S$41 &amp; " - " &amp; T$41 &amp; " " &amp; U$41</f>
        <v>Machinery industry Electricity Motors - Electricity Existing 1</v>
      </c>
      <c r="F226" s="139" t="s">
        <v>44</v>
      </c>
      <c r="G226" s="139" t="s">
        <v>46</v>
      </c>
      <c r="H226" s="139"/>
      <c r="I226" s="139"/>
      <c r="J226" s="139"/>
      <c r="K226" s="69"/>
    </row>
    <row r="227" spans="1:13">
      <c r="A227" s="236"/>
      <c r="B227" s="317" t="str">
        <f t="shared" si="16"/>
        <v/>
      </c>
      <c r="C227" s="146"/>
      <c r="D227" s="237" t="str">
        <f>M198 &amp; P$42 &amp; R$42 &amp; VLOOKUP(O$42, $O$50:$P$74,2,FALSE) &amp; "E1"</f>
        <v>INDMDTFTDSLE1</v>
      </c>
      <c r="E227" s="146" t="str">
        <f>+M195 &amp; " " &amp; S$42 &amp; " - " &amp; T$42 &amp; " " &amp; U$42</f>
        <v>Machinery industry Tractors, Trucks, Fishing boats, Forest machines - Diesel Existing 1</v>
      </c>
      <c r="F227" s="146" t="s">
        <v>44</v>
      </c>
      <c r="G227" s="146" t="s">
        <v>46</v>
      </c>
      <c r="H227" s="146"/>
      <c r="I227" s="146"/>
      <c r="J227" s="146"/>
    </row>
    <row r="228" spans="1:13">
      <c r="A228" s="236"/>
      <c r="B228" s="317" t="str">
        <f t="shared" si="16"/>
        <v/>
      </c>
      <c r="C228" s="146"/>
      <c r="D228" s="237" t="str">
        <f>M198&amp;P$43&amp;R$43&amp;VLOOKUP(O$43,$O$50:$P$74,2,FALSE)&amp;"E1"</f>
        <v>INDMDFLTLPGE1</v>
      </c>
      <c r="E228" s="146" t="str">
        <f>+M195 &amp; " " &amp; S$43 &amp; " - " &amp; T$43 &amp; " " &amp; U$43</f>
        <v>Machinery industry Forklifts - LPG Existing 1</v>
      </c>
      <c r="F228" s="146" t="s">
        <v>44</v>
      </c>
      <c r="G228" s="146" t="s">
        <v>46</v>
      </c>
      <c r="H228" s="146"/>
      <c r="I228" s="146"/>
      <c r="J228" s="146"/>
    </row>
    <row r="229" spans="1:13" ht="15">
      <c r="A229" s="34"/>
      <c r="B229" s="142" t="s">
        <v>25</v>
      </c>
      <c r="C229" s="256"/>
      <c r="D229" s="175" t="str">
        <f>M235 &amp; P$7 &amp; R$7 &amp; VLOOKUP(O$7, $O$50:$P$74,2,FALSE) &amp; "E1"</f>
        <v>INDIDPHBNGAE1</v>
      </c>
      <c r="E229" s="141" t="str">
        <f>+M232 &amp; " " &amp; S$7 &amp; " - " &amp; T$7 &amp; " " &amp; U$7</f>
        <v>Mining Heat Medium Temp. Boiler - Nat. Gas Existing 1</v>
      </c>
      <c r="F229" s="142" t="s">
        <v>44</v>
      </c>
      <c r="G229" s="142" t="s">
        <v>46</v>
      </c>
      <c r="H229" s="142"/>
      <c r="I229" s="257"/>
      <c r="J229" s="142"/>
      <c r="K229" s="196"/>
      <c r="L229" s="62" t="s">
        <v>196</v>
      </c>
      <c r="M229" s="131">
        <f>+M192+1</f>
        <v>7</v>
      </c>
    </row>
    <row r="230" spans="1:13">
      <c r="B230" s="317" t="str">
        <f t="shared" ref="B230:B265" si="17">+IF(ISBLANK(D230),"*","")</f>
        <v/>
      </c>
      <c r="C230" s="136"/>
      <c r="D230" s="146" t="str">
        <f>M235 &amp; P$8 &amp; R$8 &amp; VLOOKUP(O$8, $O$50:$P$74,2,FALSE) &amp; "E1"</f>
        <v>INDIDPHBCOAE1</v>
      </c>
      <c r="E230" s="143" t="str">
        <f>+M232 &amp; " " &amp; S$8 &amp; " - " &amp; T$8 &amp; " " &amp; U$8</f>
        <v>Mining Heat Medium Temp. Boiler - Coal Existing 1</v>
      </c>
      <c r="F230" s="136" t="s">
        <v>44</v>
      </c>
      <c r="G230" s="136" t="s">
        <v>46</v>
      </c>
      <c r="H230" s="136"/>
      <c r="I230" s="133"/>
      <c r="J230" s="136"/>
      <c r="K230" s="69"/>
      <c r="L230" s="25" t="s">
        <v>130</v>
      </c>
    </row>
    <row r="231" spans="1:13">
      <c r="B231" s="317" t="str">
        <f t="shared" si="17"/>
        <v/>
      </c>
      <c r="C231" s="136"/>
      <c r="D231" s="146" t="str">
        <f>M235 &amp; P$9 &amp; R$9 &amp; VLOOKUP(O$9, $O$50:$P$74,2,FALSE) &amp; "E1"</f>
        <v>INDIDPHBDSLE1</v>
      </c>
      <c r="E231" s="143" t="str">
        <f>+M232 &amp; " " &amp; S$9 &amp; " - " &amp; T$9 &amp; " " &amp; U$9</f>
        <v>Mining Heat Medium Temp. Boiler - Diesel Existing 1</v>
      </c>
      <c r="F231" s="136" t="s">
        <v>44</v>
      </c>
      <c r="G231" s="136" t="s">
        <v>46</v>
      </c>
      <c r="H231" s="136"/>
      <c r="I231" s="136"/>
      <c r="J231" s="136"/>
      <c r="K231" s="69"/>
      <c r="L231" s="62" t="s">
        <v>198</v>
      </c>
      <c r="M231" s="64" t="s">
        <v>135</v>
      </c>
    </row>
    <row r="232" spans="1:13">
      <c r="B232" s="317" t="str">
        <f t="shared" si="17"/>
        <v/>
      </c>
      <c r="C232" s="136"/>
      <c r="D232" s="146" t="str">
        <f>M235 &amp; P$10 &amp; R$10 &amp; VLOOKUP(O$10, $O$50:$P$74,2,FALSE) &amp; "E1"</f>
        <v>INDIDPHBWPEE1</v>
      </c>
      <c r="E232" s="143" t="str">
        <f>+M232 &amp; " " &amp; S$10 &amp; " - " &amp; T$10 &amp; " " &amp; U$10</f>
        <v>Mining Heat Medium Temp. Boiler - Wood Pellets Existing 1</v>
      </c>
      <c r="F232" s="136" t="s">
        <v>44</v>
      </c>
      <c r="G232" s="136" t="s">
        <v>46</v>
      </c>
      <c r="H232" s="136"/>
      <c r="I232" s="136"/>
      <c r="J232" s="136"/>
      <c r="K232" s="69"/>
      <c r="L232" s="62" t="s">
        <v>201</v>
      </c>
      <c r="M232" s="70" t="str">
        <f>+INDEX(Commodities!$X$6:$X$17,M229)</f>
        <v>Mining</v>
      </c>
    </row>
    <row r="233" spans="1:13">
      <c r="B233" s="317" t="str">
        <f t="shared" si="17"/>
        <v>*</v>
      </c>
      <c r="C233" s="136"/>
      <c r="D233" s="146"/>
      <c r="E233" s="143"/>
      <c r="F233" s="136"/>
      <c r="G233" s="136"/>
      <c r="H233" s="136"/>
      <c r="I233" s="136"/>
      <c r="J233" s="136"/>
      <c r="K233" s="69"/>
      <c r="L233" s="62" t="s">
        <v>130</v>
      </c>
      <c r="M233" s="70" t="str">
        <f>+INDEX(Commodities!$Y$6:$Y$17,M229)</f>
        <v>07 Mining and quarrying</v>
      </c>
    </row>
    <row r="234" spans="1:13">
      <c r="B234" s="317" t="str">
        <f t="shared" si="17"/>
        <v/>
      </c>
      <c r="C234" s="136"/>
      <c r="D234" s="146" t="str">
        <f>M235 &amp; P$12 &amp; R$12 &amp; VLOOKUP(O$12, $O$50:$P$74,2,FALSE) &amp; "E1"</f>
        <v>INDIDPHBBGAE1</v>
      </c>
      <c r="E234" s="143" t="str">
        <f>+M232 &amp; " " &amp; S$12 &amp; " - " &amp; T$12 &amp; " " &amp; U$12</f>
        <v>Mining Heat Medium Temp. Boiler - Biogas Existing 1</v>
      </c>
      <c r="F234" s="136" t="s">
        <v>44</v>
      </c>
      <c r="G234" s="136" t="s">
        <v>46</v>
      </c>
      <c r="H234" s="136"/>
      <c r="I234" s="136"/>
      <c r="J234" s="136"/>
      <c r="K234" s="69"/>
      <c r="L234" s="62" t="s">
        <v>197</v>
      </c>
      <c r="M234" s="70" t="str">
        <f>+INDEX(Commodities!$U$6:$U$17,M229)</f>
        <v>II</v>
      </c>
    </row>
    <row r="235" spans="1:13">
      <c r="B235" s="317" t="str">
        <f t="shared" si="17"/>
        <v/>
      </c>
      <c r="C235" s="136"/>
      <c r="D235" s="146" t="str">
        <f>M235 &amp; P$13 &amp; R$13 &amp; VLOOKUP(O$13, $O$50:$P$74,2,FALSE) &amp; "E1"</f>
        <v>INDIDPHBHFOE1</v>
      </c>
      <c r="E235" s="143" t="str">
        <f>+M232 &amp; " " &amp; S$13 &amp; " - " &amp; T$13 &amp; " " &amp; U$13</f>
        <v>Mining Heat Medium Temp. Boiler - Heavy Fuel Oil Existing 1</v>
      </c>
      <c r="F235" s="136" t="s">
        <v>44</v>
      </c>
      <c r="G235" s="136" t="s">
        <v>46</v>
      </c>
      <c r="H235" s="136"/>
      <c r="I235" s="136"/>
      <c r="J235" s="136"/>
      <c r="K235" s="69"/>
      <c r="L235" s="62" t="s">
        <v>197</v>
      </c>
      <c r="M235" s="70" t="str">
        <f>+INDEX(Commodities!$W$6:$W$17,M229)</f>
        <v>INDI</v>
      </c>
    </row>
    <row r="236" spans="1:13">
      <c r="B236" s="317" t="str">
        <f t="shared" si="17"/>
        <v/>
      </c>
      <c r="C236" s="136"/>
      <c r="D236" s="146" t="str">
        <f>M235 &amp; P$14 &amp; R$14 &amp; VLOOKUP(O$14, $O$50:$P$74,2,FALSE) &amp; "E1"</f>
        <v>INDIDPHBLPGE1</v>
      </c>
      <c r="E236" s="143" t="str">
        <f>+M232 &amp; " " &amp; S$14 &amp; " - " &amp; T$14 &amp; " " &amp; U$14</f>
        <v>Mining Heat Medium Temp. Boiler - Liquified Petroleum Gas Existing 1</v>
      </c>
      <c r="F236" s="136" t="s">
        <v>44</v>
      </c>
      <c r="G236" s="136" t="s">
        <v>46</v>
      </c>
      <c r="H236" s="136"/>
      <c r="I236" s="136"/>
      <c r="J236" s="136"/>
      <c r="K236" s="69"/>
    </row>
    <row r="237" spans="1:13">
      <c r="B237" s="317" t="str">
        <f t="shared" si="17"/>
        <v/>
      </c>
      <c r="C237" s="136"/>
      <c r="D237" s="146" t="str">
        <f>M235 &amp; P$15 &amp; R$15 &amp; VLOOKUP(O$15, $O$50:$P$74,2,FALSE) &amp; "E1"</f>
        <v>INDIDPHBWSTE1</v>
      </c>
      <c r="E237" s="143" t="str">
        <f>+M232 &amp; " " &amp; S$15 &amp; " - " &amp; T$15 &amp; " " &amp; U$15</f>
        <v>Mining Heat Medium Temp. Boiler - Waste Existing 1</v>
      </c>
      <c r="F237" s="136" t="s">
        <v>44</v>
      </c>
      <c r="G237" s="136" t="s">
        <v>46</v>
      </c>
      <c r="H237" s="136"/>
      <c r="I237" s="136"/>
      <c r="J237" s="136"/>
      <c r="K237" s="69"/>
    </row>
    <row r="238" spans="1:13">
      <c r="B238" s="317" t="str">
        <f t="shared" si="17"/>
        <v/>
      </c>
      <c r="C238" s="136"/>
      <c r="D238" s="146" t="str">
        <f>M235 &amp; P$16 &amp; R$16 &amp; VLOOKUP(O$16, $O$50:$P$74,2,FALSE) &amp; "E1"</f>
        <v>INDIDPHBHETE1</v>
      </c>
      <c r="E238" s="143" t="str">
        <f>+M232 &amp; " " &amp; S$16 &amp; " - " &amp; T$16 &amp; " " &amp; U$16</f>
        <v>Mining Heat Medium Temp. Boiler - Dist. Heat Existing 1</v>
      </c>
      <c r="F238" s="136" t="s">
        <v>44</v>
      </c>
      <c r="G238" s="136" t="s">
        <v>46</v>
      </c>
      <c r="H238" s="136"/>
      <c r="I238" s="136"/>
      <c r="J238" s="136"/>
      <c r="K238" s="69"/>
    </row>
    <row r="239" spans="1:13">
      <c r="B239" s="317" t="str">
        <f t="shared" si="17"/>
        <v/>
      </c>
      <c r="C239" s="136"/>
      <c r="D239" s="146" t="str">
        <f>M235 &amp; P$17 &amp; R$17 &amp; VLOOKUP(O$17, $O$50:$P$74,2,FALSE) &amp; "E2"</f>
        <v>INDIDPHBHETE2</v>
      </c>
      <c r="E239" s="143" t="str">
        <f>+M232 &amp; " " &amp; S$17 &amp; " - " &amp; T$17 &amp; " " &amp; U$17</f>
        <v>Mining Heat Medium Temp. Boiler - Dist. Heat Existing 2</v>
      </c>
      <c r="F239" s="317" t="s">
        <v>44</v>
      </c>
      <c r="G239" s="317" t="s">
        <v>46</v>
      </c>
      <c r="H239" s="136"/>
      <c r="I239" s="136"/>
      <c r="J239" s="136"/>
      <c r="K239" s="69"/>
    </row>
    <row r="240" spans="1:13">
      <c r="B240" s="317" t="str">
        <f t="shared" si="17"/>
        <v/>
      </c>
      <c r="C240" s="136"/>
      <c r="D240" s="144" t="str">
        <f>M235 &amp; P$18 &amp; R$18 &amp; VLOOKUP(O$18, $O$50:$P$74,2,FALSE) &amp; "E1"</f>
        <v>INDIDPHBELCE1</v>
      </c>
      <c r="E240" s="144" t="str">
        <f>+M232 &amp; " " &amp; S$18 &amp; " - " &amp; T$18 &amp; " " &amp; U$18</f>
        <v>Mining Heat Medium Temp. Boiler - Electricity Existing 1</v>
      </c>
      <c r="F240" s="139" t="s">
        <v>44</v>
      </c>
      <c r="G240" s="139" t="s">
        <v>46</v>
      </c>
      <c r="H240" s="139"/>
      <c r="I240" s="139"/>
      <c r="J240" s="139"/>
      <c r="K240" s="69"/>
    </row>
    <row r="241" spans="2:11">
      <c r="B241" s="317" t="str">
        <f t="shared" si="17"/>
        <v/>
      </c>
      <c r="C241" s="136"/>
      <c r="D241" s="143" t="str">
        <f>M235 &amp; P$19 &amp; R$19 &amp; VLOOKUP(O$19, $O$50:$P$74,2,FALSE) &amp; "E1"</f>
        <v>INDIDCOBNGAE1</v>
      </c>
      <c r="E241" s="143" t="str">
        <f>+M232 &amp; " " &amp; S$19 &amp; " - " &amp; T$19 &amp; " " &amp; U$19</f>
        <v>Mining Heat High Temp. Boiler - Nat. Gas Existing 1</v>
      </c>
      <c r="F241" s="136" t="s">
        <v>44</v>
      </c>
      <c r="G241" s="136" t="s">
        <v>46</v>
      </c>
      <c r="H241" s="136"/>
      <c r="I241" s="136"/>
      <c r="J241" s="136"/>
      <c r="K241" s="69"/>
    </row>
    <row r="242" spans="2:11">
      <c r="B242" s="317" t="str">
        <f t="shared" si="17"/>
        <v/>
      </c>
      <c r="C242" s="136"/>
      <c r="D242" s="143" t="str">
        <f>M235 &amp; P$20 &amp; R$20 &amp; VLOOKUP(O$20, $O$50:$P$74,2,FALSE) &amp; "E1"</f>
        <v>INDIDCOBCOAE1</v>
      </c>
      <c r="E242" s="143" t="str">
        <f>+M232 &amp; " " &amp; S$20 &amp; " - " &amp; T$20 &amp; " " &amp; U$20</f>
        <v>Mining Heat High Temp. Boiler - Coal Existing 1</v>
      </c>
      <c r="F242" s="136" t="s">
        <v>44</v>
      </c>
      <c r="G242" s="136" t="s">
        <v>46</v>
      </c>
      <c r="H242" s="136"/>
      <c r="I242" s="136"/>
      <c r="J242" s="136"/>
      <c r="K242" s="69"/>
    </row>
    <row r="243" spans="2:11">
      <c r="B243" s="317" t="str">
        <f t="shared" si="17"/>
        <v/>
      </c>
      <c r="C243" s="136"/>
      <c r="D243" s="143" t="str">
        <f>M235 &amp; P$21 &amp; R$21 &amp; VLOOKUP(O$21, $O$50:$P$74,2,FALSE) &amp; "E1"</f>
        <v>INDIDCOBDSLE1</v>
      </c>
      <c r="E243" s="143" t="str">
        <f>+M232 &amp; " " &amp; S$21 &amp; " - " &amp; T$21 &amp; " " &amp; U$21</f>
        <v>Mining Heat High Temp. Boiler - Diesel Existing 1</v>
      </c>
      <c r="F243" s="136" t="s">
        <v>44</v>
      </c>
      <c r="G243" s="136" t="s">
        <v>46</v>
      </c>
      <c r="H243" s="136"/>
      <c r="I243" s="136"/>
      <c r="J243" s="136"/>
      <c r="K243" s="69"/>
    </row>
    <row r="244" spans="2:11">
      <c r="B244" s="317" t="str">
        <f t="shared" si="17"/>
        <v/>
      </c>
      <c r="C244" s="136"/>
      <c r="D244" s="143" t="str">
        <f>M235 &amp; P$22 &amp; R$22 &amp; VLOOKUP(O$22, $O$50:$P$74,2,FALSE) &amp; "E1"</f>
        <v>INDIDCOBWPEE1</v>
      </c>
      <c r="E244" s="143" t="str">
        <f>+M232 &amp; " " &amp; S$22 &amp; " - " &amp; T$22 &amp; " " &amp; U$22</f>
        <v>Mining Heat High Temp. Boiler - Wood Pellets Existing 1</v>
      </c>
      <c r="F244" s="136" t="s">
        <v>44</v>
      </c>
      <c r="G244" s="136" t="s">
        <v>46</v>
      </c>
      <c r="H244" s="136"/>
      <c r="I244" s="136"/>
      <c r="J244" s="136"/>
      <c r="K244" s="69"/>
    </row>
    <row r="245" spans="2:11">
      <c r="B245" s="317" t="str">
        <f t="shared" si="17"/>
        <v>*</v>
      </c>
      <c r="C245" s="136"/>
      <c r="D245" s="143"/>
      <c r="E245" s="143"/>
      <c r="F245" s="136"/>
      <c r="G245" s="136"/>
      <c r="H245" s="136"/>
      <c r="I245" s="136"/>
      <c r="J245" s="136"/>
      <c r="K245" s="69"/>
    </row>
    <row r="246" spans="2:11">
      <c r="B246" s="317" t="str">
        <f t="shared" si="17"/>
        <v/>
      </c>
      <c r="C246" s="136"/>
      <c r="D246" s="143" t="str">
        <f>M235 &amp; P$24 &amp; R$24 &amp; VLOOKUP(O$24, $O$50:$P$74,2,FALSE) &amp; "E1"</f>
        <v>INDIDCOBHFOE1</v>
      </c>
      <c r="E246" s="143" t="str">
        <f>+M232 &amp; " " &amp; S$24 &amp; " - " &amp; T$24 &amp; " " &amp; U$24</f>
        <v>Mining Heat High Temp. Boiler - Heavy Fuel Oil Existing 1</v>
      </c>
      <c r="F246" s="136" t="s">
        <v>44</v>
      </c>
      <c r="G246" s="136" t="s">
        <v>46</v>
      </c>
      <c r="H246" s="136"/>
      <c r="I246" s="136"/>
      <c r="J246" s="136"/>
      <c r="K246" s="69"/>
    </row>
    <row r="247" spans="2:11">
      <c r="B247" s="317" t="str">
        <f t="shared" si="17"/>
        <v/>
      </c>
      <c r="C247" s="136"/>
      <c r="D247" s="143" t="str">
        <f>M235 &amp; P$25 &amp; R$25 &amp; VLOOKUP(O$25, $O$50:$P$74,2,FALSE) &amp; "E1"</f>
        <v>INDIDCOBLPGE1</v>
      </c>
      <c r="E247" s="143" t="str">
        <f>+M232 &amp; " " &amp; S$25 &amp; " - " &amp; T$25 &amp; " " &amp; U$25</f>
        <v>Mining Heat High Temp. Boiler - Liquified Petroleum Gas Existing 1</v>
      </c>
      <c r="F247" s="136" t="s">
        <v>44</v>
      </c>
      <c r="G247" s="136" t="s">
        <v>46</v>
      </c>
      <c r="H247" s="136"/>
      <c r="I247" s="136"/>
      <c r="J247" s="136"/>
      <c r="K247" s="69"/>
    </row>
    <row r="248" spans="2:11">
      <c r="B248" s="317" t="str">
        <f t="shared" si="17"/>
        <v/>
      </c>
      <c r="C248" s="136"/>
      <c r="D248" s="143" t="str">
        <f>M235 &amp; P$26 &amp; R$26 &amp; VLOOKUP(O$26, $O$50:$P$74,2,FALSE) &amp; "E1"</f>
        <v>INDIDCOBWSTE1</v>
      </c>
      <c r="E248" s="143" t="str">
        <f>+M232 &amp; " " &amp; S$26 &amp; " - " &amp; T$26 &amp; " " &amp; U$26</f>
        <v>Mining Heat High Temp. Boiler - Waste Existing 1</v>
      </c>
      <c r="F248" s="136" t="s">
        <v>44</v>
      </c>
      <c r="G248" s="136" t="s">
        <v>46</v>
      </c>
      <c r="H248" s="136"/>
      <c r="I248" s="136"/>
      <c r="J248" s="136"/>
      <c r="K248" s="69"/>
    </row>
    <row r="249" spans="2:11">
      <c r="B249" s="317" t="str">
        <f t="shared" si="17"/>
        <v/>
      </c>
      <c r="C249" s="136"/>
      <c r="D249" s="144" t="str">
        <f>M235 &amp; P$27 &amp; R$27 &amp; VLOOKUP(O$27, $O$50:$P$74,2,FALSE) &amp; "E1"</f>
        <v>INDIDCOBELCE1</v>
      </c>
      <c r="E249" s="144" t="str">
        <f>+M232 &amp; " " &amp; S$27 &amp; " - " &amp; T$27 &amp; " " &amp; U$27</f>
        <v>Mining Heat High Temp. Boiler - Electricity Existing 1</v>
      </c>
      <c r="F249" s="139" t="s">
        <v>44</v>
      </c>
      <c r="G249" s="139" t="s">
        <v>46</v>
      </c>
      <c r="H249" s="139"/>
      <c r="I249" s="139"/>
      <c r="J249" s="139"/>
      <c r="K249" s="69"/>
    </row>
    <row r="250" spans="2:11">
      <c r="B250" s="317" t="str">
        <f t="shared" si="17"/>
        <v/>
      </c>
      <c r="C250" s="136"/>
      <c r="D250" s="146" t="str">
        <f>M235 &amp; P$28 &amp; R$28 &amp; VLOOKUP(O$28, $O$50:$P$74,2,FALSE) &amp; "E1"</f>
        <v>INDIDSHBNGAE1</v>
      </c>
      <c r="E250" s="143" t="str">
        <f>+M232 &amp; " " &amp; S$28 &amp; " - " &amp; T$28 &amp; " " &amp; U$28</f>
        <v>Mining Heat Room Boiler - Nat. Gas Existing 1</v>
      </c>
      <c r="F250" s="136" t="s">
        <v>44</v>
      </c>
      <c r="G250" s="136" t="s">
        <v>46</v>
      </c>
      <c r="H250" s="136"/>
      <c r="I250" s="136"/>
      <c r="J250" s="136"/>
      <c r="K250" s="69"/>
    </row>
    <row r="251" spans="2:11">
      <c r="B251" s="317" t="str">
        <f t="shared" si="17"/>
        <v/>
      </c>
      <c r="C251" s="136"/>
      <c r="D251" s="146" t="str">
        <f>M235 &amp; P$29 &amp; R$29 &amp; VLOOKUP(O$29, $O$50:$P$74,2,FALSE) &amp; "E1"</f>
        <v>INDIDSHBCOAE1</v>
      </c>
      <c r="E251" s="143" t="str">
        <f>+M232 &amp; " " &amp; S$29 &amp; " - " &amp; T$29 &amp; " " &amp; U$29</f>
        <v>Mining Heat Room Boiler - Coal Existing 1</v>
      </c>
      <c r="F251" s="136" t="s">
        <v>44</v>
      </c>
      <c r="G251" s="136" t="s">
        <v>46</v>
      </c>
      <c r="H251" s="136"/>
      <c r="I251" s="136"/>
      <c r="J251" s="136"/>
      <c r="K251" s="69"/>
    </row>
    <row r="252" spans="2:11">
      <c r="B252" s="317" t="str">
        <f t="shared" si="17"/>
        <v/>
      </c>
      <c r="C252" s="136"/>
      <c r="D252" s="146" t="str">
        <f>M235 &amp; P$30 &amp; R$30 &amp; VLOOKUP(O$30, $O$50:$P$74,2,FALSE) &amp; "E1"</f>
        <v>INDIDSHBDSLE1</v>
      </c>
      <c r="E252" s="143" t="str">
        <f>+M232 &amp; " " &amp; S$30 &amp; " - " &amp; T$30 &amp; " " &amp; U$30</f>
        <v>Mining Heat Room Boiler - Diesel Existing 1</v>
      </c>
      <c r="F252" s="136" t="s">
        <v>44</v>
      </c>
      <c r="G252" s="136" t="s">
        <v>46</v>
      </c>
      <c r="H252" s="136"/>
      <c r="I252" s="136"/>
      <c r="J252" s="136"/>
      <c r="K252" s="69"/>
    </row>
    <row r="253" spans="2:11">
      <c r="B253" s="317" t="str">
        <f t="shared" si="17"/>
        <v/>
      </c>
      <c r="C253" s="136"/>
      <c r="D253" s="146" t="str">
        <f>M235 &amp; P$31 &amp; R$31 &amp; VLOOKUP(O$31, $O$50:$P$74,2,FALSE) &amp; "E1"</f>
        <v>INDIDSHBWPEE1</v>
      </c>
      <c r="E253" s="143" t="str">
        <f>+M232 &amp; " " &amp; S$31 &amp; " - " &amp; T$31 &amp; " " &amp; U$31</f>
        <v>Mining Heat Room Boiler - Wood Pellets Existing 1</v>
      </c>
      <c r="F253" s="136" t="s">
        <v>44</v>
      </c>
      <c r="G253" s="136" t="s">
        <v>46</v>
      </c>
      <c r="H253" s="136"/>
      <c r="I253" s="136"/>
      <c r="J253" s="136"/>
      <c r="K253" s="69"/>
    </row>
    <row r="254" spans="2:11">
      <c r="B254" s="317" t="str">
        <f t="shared" si="17"/>
        <v>*</v>
      </c>
      <c r="C254" s="136"/>
      <c r="D254" s="146"/>
      <c r="E254" s="143"/>
      <c r="F254" s="136"/>
      <c r="G254" s="136"/>
      <c r="H254" s="136"/>
      <c r="I254" s="136"/>
      <c r="J254" s="136"/>
      <c r="K254" s="69"/>
    </row>
    <row r="255" spans="2:11">
      <c r="B255" s="317" t="str">
        <f t="shared" si="17"/>
        <v/>
      </c>
      <c r="C255" s="136"/>
      <c r="D255" s="146" t="str">
        <f>M235 &amp; P$33 &amp; R$33 &amp; VLOOKUP(O$33, $O$50:$P$74,2,FALSE) &amp; "E1"</f>
        <v>INDIDSHBBGAE1</v>
      </c>
      <c r="E255" s="143" t="str">
        <f>+M232 &amp; " " &amp; S$33 &amp; " - " &amp; T$33 &amp; " " &amp; U$33</f>
        <v>Mining Heat Room Boiler - Biogas Existing 1</v>
      </c>
      <c r="F255" s="136" t="s">
        <v>44</v>
      </c>
      <c r="G255" s="136" t="s">
        <v>46</v>
      </c>
      <c r="H255" s="136"/>
      <c r="I255" s="136"/>
      <c r="J255" s="136"/>
      <c r="K255" s="69"/>
    </row>
    <row r="256" spans="2:11">
      <c r="B256" s="317" t="str">
        <f t="shared" si="17"/>
        <v/>
      </c>
      <c r="C256" s="136"/>
      <c r="D256" s="146" t="str">
        <f>M235 &amp; P$34 &amp; R$34 &amp; VLOOKUP(O$34, $O$50:$P$74,2,FALSE) &amp; "E1"</f>
        <v>INDIDSHBHFOE1</v>
      </c>
      <c r="E256" s="143" t="str">
        <f>+M232 &amp; " " &amp; S$34 &amp; " - " &amp; T$34 &amp; " " &amp; U$34</f>
        <v>Mining Heat Room Boiler - Heavy Fuel Oil Existing 1</v>
      </c>
      <c r="F256" s="136" t="s">
        <v>44</v>
      </c>
      <c r="G256" s="136" t="s">
        <v>46</v>
      </c>
      <c r="H256" s="136"/>
      <c r="I256" s="136"/>
      <c r="J256" s="136"/>
      <c r="K256" s="69"/>
    </row>
    <row r="257" spans="1:13">
      <c r="B257" s="317" t="str">
        <f t="shared" si="17"/>
        <v/>
      </c>
      <c r="C257" s="136"/>
      <c r="D257" s="146" t="str">
        <f>M235 &amp; P$35 &amp; R$35 &amp; VLOOKUP(O$35, $O$50:$P$74,2,FALSE) &amp; "E1"</f>
        <v>INDIDSHBLPGE1</v>
      </c>
      <c r="E257" s="143" t="str">
        <f>+M232 &amp; " " &amp; S$35 &amp; " - " &amp; T$35 &amp; " " &amp; U$35</f>
        <v>Mining Heat Room Boiler - Liquified Petroleum Gas Existing 1</v>
      </c>
      <c r="F257" s="136" t="s">
        <v>44</v>
      </c>
      <c r="G257" s="136" t="s">
        <v>46</v>
      </c>
      <c r="H257" s="136"/>
      <c r="I257" s="136"/>
      <c r="J257" s="136"/>
      <c r="K257" s="69"/>
    </row>
    <row r="258" spans="1:13">
      <c r="B258" s="317" t="str">
        <f t="shared" si="17"/>
        <v/>
      </c>
      <c r="C258" s="136"/>
      <c r="D258" s="146" t="str">
        <f>M235 &amp; P$36 &amp; R$36 &amp; VLOOKUP(O$36, $O$50:$P$74,2,FALSE) &amp; "E1"</f>
        <v>INDIDSHBWSTE1</v>
      </c>
      <c r="E258" s="143" t="str">
        <f>+M232 &amp; " " &amp; S$36 &amp; " - " &amp; T$36 &amp; " " &amp; U$36</f>
        <v>Mining Heat Room Boiler - Waste Existing 1</v>
      </c>
      <c r="F258" s="136" t="s">
        <v>44</v>
      </c>
      <c r="G258" s="136" t="s">
        <v>46</v>
      </c>
      <c r="H258" s="136"/>
      <c r="I258" s="136"/>
      <c r="J258" s="136"/>
      <c r="K258" s="69"/>
    </row>
    <row r="259" spans="1:13">
      <c r="B259" s="317" t="str">
        <f t="shared" si="17"/>
        <v/>
      </c>
      <c r="C259" s="136"/>
      <c r="D259" s="146" t="str">
        <f>M235 &amp; P$37 &amp; R$37 &amp; VLOOKUP(O$37, $O$50:$P$74,2,FALSE) &amp; "E1"</f>
        <v>INDIDSHBHETE1</v>
      </c>
      <c r="E259" s="143" t="str">
        <f>+M232 &amp; " " &amp; S$37 &amp; " - " &amp; T$37 &amp; " " &amp; U$37</f>
        <v>Mining Heat Room Boiler - Dist. Heat Existing 1</v>
      </c>
      <c r="F259" s="136" t="s">
        <v>44</v>
      </c>
      <c r="G259" s="136" t="s">
        <v>46</v>
      </c>
      <c r="H259" s="136"/>
      <c r="I259" s="136"/>
      <c r="J259" s="136"/>
      <c r="K259" s="69"/>
    </row>
    <row r="260" spans="1:13">
      <c r="B260" s="317" t="str">
        <f t="shared" si="17"/>
        <v/>
      </c>
      <c r="C260" s="146"/>
      <c r="D260" s="146" t="str">
        <f>M235 &amp; P$38 &amp; R$38 &amp; VLOOKUP(O$38, $O$50:$P$74,2,FALSE) &amp; "E2"</f>
        <v>INDIDSHBHETE2</v>
      </c>
      <c r="E260" s="143" t="str">
        <f>+M232 &amp; " " &amp; S$38 &amp; " - " &amp; T$38 &amp; " " &amp; U$38</f>
        <v>Mining Heat Room Boiler - Dist. Heat Existing 2</v>
      </c>
      <c r="F260" s="317" t="s">
        <v>44</v>
      </c>
      <c r="G260" s="317" t="s">
        <v>46</v>
      </c>
      <c r="H260" s="146"/>
      <c r="I260" s="146"/>
      <c r="J260" s="146"/>
      <c r="K260" s="69"/>
    </row>
    <row r="261" spans="1:13">
      <c r="B261" s="317" t="str">
        <f t="shared" si="17"/>
        <v/>
      </c>
      <c r="C261" s="146"/>
      <c r="D261" s="144" t="str">
        <f>M235 &amp; P$39 &amp; R$39 &amp; VLOOKUP(O$39, $O$50:$P$74,2,FALSE) &amp; "E1"</f>
        <v>INDIDSHBELCE1</v>
      </c>
      <c r="E261" s="144" t="str">
        <f>+M232 &amp; " " &amp; S$39 &amp; " - " &amp; T$39 &amp; " " &amp; U$39</f>
        <v>Mining Heat Room Boiler - Electricity Existing 1</v>
      </c>
      <c r="F261" s="139" t="s">
        <v>44</v>
      </c>
      <c r="G261" s="139" t="s">
        <v>46</v>
      </c>
      <c r="H261" s="139"/>
      <c r="I261" s="139"/>
      <c r="J261" s="139"/>
      <c r="K261" s="69"/>
    </row>
    <row r="262" spans="1:13">
      <c r="B262" s="317" t="str">
        <f t="shared" si="17"/>
        <v/>
      </c>
      <c r="C262" s="146"/>
      <c r="D262" s="146" t="str">
        <f>M235 &amp; P$40 &amp; R$40 &amp; VLOOKUP(O$40, $O$50:$P$74,2,FALSE) &amp; "E1"</f>
        <v>INDIDLAAELCE1</v>
      </c>
      <c r="E262" s="146" t="str">
        <f>+M232 &amp; " " &amp; S$40 &amp; " - " &amp; T$40 &amp; " " &amp; U$40</f>
        <v>Mining Electricity Light Appliance - Electricity Existing 1</v>
      </c>
      <c r="F262" s="149" t="s">
        <v>44</v>
      </c>
      <c r="G262" s="146" t="s">
        <v>46</v>
      </c>
      <c r="H262" s="146"/>
      <c r="I262" s="146"/>
      <c r="J262" s="146"/>
      <c r="K262" s="69"/>
    </row>
    <row r="263" spans="1:13">
      <c r="B263" s="317" t="str">
        <f t="shared" si="17"/>
        <v/>
      </c>
      <c r="C263" s="146"/>
      <c r="D263" s="144" t="str">
        <f>M235 &amp; P$41 &amp; R$41 &amp; VLOOKUP(O$41, $O$50:$P$74,2,FALSE) &amp; "E1"</f>
        <v>INDIDEMMELCE1</v>
      </c>
      <c r="E263" s="144" t="str">
        <f>+M232 &amp; " " &amp; S$41 &amp; " - " &amp; T$41 &amp; " " &amp; U$41</f>
        <v>Mining Electricity Motors - Electricity Existing 1</v>
      </c>
      <c r="F263" s="139" t="s">
        <v>44</v>
      </c>
      <c r="G263" s="139" t="s">
        <v>46</v>
      </c>
      <c r="H263" s="139"/>
      <c r="I263" s="139"/>
      <c r="J263" s="139"/>
      <c r="K263" s="69"/>
    </row>
    <row r="264" spans="1:13">
      <c r="A264" s="236"/>
      <c r="B264" s="317" t="str">
        <f t="shared" si="17"/>
        <v/>
      </c>
      <c r="C264" s="146"/>
      <c r="D264" s="237" t="str">
        <f>M235 &amp; P$42 &amp; R$42 &amp; VLOOKUP(O$42, $O$50:$P$74,2,FALSE) &amp; "E1"</f>
        <v>INDIDTFTDSLE1</v>
      </c>
      <c r="E264" s="146" t="str">
        <f>+M232 &amp; " " &amp; S$42 &amp; " - " &amp; T$42 &amp; " " &amp; U$42</f>
        <v>Mining Tractors, Trucks, Fishing boats, Forest machines - Diesel Existing 1</v>
      </c>
      <c r="F264" s="146" t="s">
        <v>44</v>
      </c>
      <c r="G264" s="146" t="s">
        <v>46</v>
      </c>
      <c r="H264" s="146"/>
      <c r="I264" s="146"/>
      <c r="J264" s="146"/>
    </row>
    <row r="265" spans="1:13">
      <c r="A265" s="236"/>
      <c r="B265" s="317" t="str">
        <f t="shared" si="17"/>
        <v/>
      </c>
      <c r="C265" s="146"/>
      <c r="D265" s="237" t="str">
        <f>M235&amp;P$43&amp;R$43&amp;VLOOKUP(O$43,$O$50:$P$74,2,FALSE)&amp;"E1"</f>
        <v>INDIDFLTLPGE1</v>
      </c>
      <c r="E265" s="146" t="str">
        <f>+M232 &amp; " " &amp; S$43 &amp; " - " &amp; T$43 &amp; " " &amp; U$43</f>
        <v>Mining Forklifts - LPG Existing 1</v>
      </c>
      <c r="F265" s="146" t="s">
        <v>44</v>
      </c>
      <c r="G265" s="146" t="s">
        <v>46</v>
      </c>
      <c r="H265" s="146"/>
      <c r="I265" s="146"/>
      <c r="J265" s="146"/>
    </row>
    <row r="266" spans="1:13" ht="15">
      <c r="A266" s="34"/>
      <c r="B266" s="142" t="s">
        <v>25</v>
      </c>
      <c r="C266" s="256"/>
      <c r="D266" s="175" t="str">
        <f>M272 &amp; P$7 &amp; R$7 &amp; VLOOKUP(O$7, $O$50:$P$74,2,FALSE) &amp; "E1"</f>
        <v>INDFDPHBNGAE1</v>
      </c>
      <c r="E266" s="141" t="str">
        <f>+M269 &amp; " " &amp; S$7 &amp; " - " &amp; T$7 &amp; " " &amp; U$7</f>
        <v>Food industry Heat Medium Temp. Boiler - Nat. Gas Existing 1</v>
      </c>
      <c r="F266" s="142" t="s">
        <v>44</v>
      </c>
      <c r="G266" s="142" t="s">
        <v>46</v>
      </c>
      <c r="H266" s="142"/>
      <c r="I266" s="257"/>
      <c r="J266" s="142"/>
      <c r="K266" s="196"/>
      <c r="L266" s="62" t="s">
        <v>196</v>
      </c>
      <c r="M266" s="131">
        <f>+M229+1</f>
        <v>8</v>
      </c>
    </row>
    <row r="267" spans="1:13">
      <c r="B267" s="317" t="str">
        <f t="shared" ref="B267:B302" si="18">+IF(ISBLANK(D267),"*","")</f>
        <v/>
      </c>
      <c r="C267" s="136"/>
      <c r="D267" s="146" t="str">
        <f>M272 &amp; P$8 &amp; R$8 &amp; VLOOKUP(O$8, $O$50:$P$74,2,FALSE) &amp; "E1"</f>
        <v>INDFDPHBCOAE1</v>
      </c>
      <c r="E267" s="143" t="str">
        <f>+M269 &amp; " " &amp; S$8 &amp; " - " &amp; T$8 &amp; " " &amp; U$8</f>
        <v>Food industry Heat Medium Temp. Boiler - Coal Existing 1</v>
      </c>
      <c r="F267" s="136" t="s">
        <v>44</v>
      </c>
      <c r="G267" s="136" t="s">
        <v>46</v>
      </c>
      <c r="H267" s="136"/>
      <c r="I267" s="133"/>
      <c r="J267" s="136"/>
      <c r="K267" s="69"/>
      <c r="L267" s="25" t="s">
        <v>130</v>
      </c>
    </row>
    <row r="268" spans="1:13">
      <c r="B268" s="317" t="str">
        <f t="shared" si="18"/>
        <v/>
      </c>
      <c r="C268" s="136"/>
      <c r="D268" s="146" t="str">
        <f>M272 &amp; P$9 &amp; R$9 &amp; VLOOKUP(O$9, $O$50:$P$74,2,FALSE) &amp; "E1"</f>
        <v>INDFDPHBDSLE1</v>
      </c>
      <c r="E268" s="143" t="str">
        <f>+M269 &amp; " " &amp; S$9 &amp; " - " &amp; T$9 &amp; " " &amp; U$9</f>
        <v>Food industry Heat Medium Temp. Boiler - Diesel Existing 1</v>
      </c>
      <c r="F268" s="136" t="s">
        <v>44</v>
      </c>
      <c r="G268" s="136" t="s">
        <v>46</v>
      </c>
      <c r="H268" s="136"/>
      <c r="I268" s="136"/>
      <c r="J268" s="136"/>
      <c r="K268" s="69"/>
      <c r="L268" s="62" t="s">
        <v>198</v>
      </c>
      <c r="M268" s="64" t="s">
        <v>135</v>
      </c>
    </row>
    <row r="269" spans="1:13">
      <c r="B269" s="317" t="str">
        <f t="shared" si="18"/>
        <v/>
      </c>
      <c r="C269" s="136"/>
      <c r="D269" s="146" t="str">
        <f>M272 &amp; P$10 &amp; R$10 &amp; VLOOKUP(O$10, $O$50:$P$74,2,FALSE) &amp; "E1"</f>
        <v>INDFDPHBWPEE1</v>
      </c>
      <c r="E269" s="143" t="str">
        <f>+M269 &amp; " " &amp; S$10 &amp; " - " &amp; T$10 &amp; " " &amp; U$10</f>
        <v>Food industry Heat Medium Temp. Boiler - Wood Pellets Existing 1</v>
      </c>
      <c r="F269" s="136" t="s">
        <v>44</v>
      </c>
      <c r="G269" s="136" t="s">
        <v>46</v>
      </c>
      <c r="H269" s="136"/>
      <c r="I269" s="136"/>
      <c r="J269" s="136"/>
      <c r="K269" s="69"/>
      <c r="L269" s="62" t="s">
        <v>201</v>
      </c>
      <c r="M269" s="70" t="str">
        <f>+INDEX(Commodities!$X$6:$X$17,M266)</f>
        <v>Food industry</v>
      </c>
    </row>
    <row r="270" spans="1:13">
      <c r="B270" s="317" t="str">
        <f t="shared" si="18"/>
        <v>*</v>
      </c>
      <c r="C270" s="136"/>
      <c r="D270" s="146"/>
      <c r="E270" s="143"/>
      <c r="F270" s="136"/>
      <c r="G270" s="136"/>
      <c r="H270" s="136"/>
      <c r="I270" s="136"/>
      <c r="J270" s="136"/>
      <c r="K270" s="69"/>
      <c r="L270" s="62" t="s">
        <v>130</v>
      </c>
      <c r="M270" s="70" t="str">
        <f>+INDEX(Commodities!$Y$6:$Y$17,M266)</f>
        <v>08 Food and tobacco</v>
      </c>
    </row>
    <row r="271" spans="1:13">
      <c r="B271" s="317" t="str">
        <f t="shared" si="18"/>
        <v/>
      </c>
      <c r="C271" s="136"/>
      <c r="D271" s="146" t="str">
        <f>M272 &amp; P$12 &amp; R$12 &amp; VLOOKUP(O$12, $O$50:$P$74,2,FALSE) &amp; "E1"</f>
        <v>INDFDPHBBGAE1</v>
      </c>
      <c r="E271" s="143" t="str">
        <f>+M269 &amp; " " &amp; S$12 &amp; " - " &amp; T$12 &amp; " " &amp; U$12</f>
        <v>Food industry Heat Medium Temp. Boiler - Biogas Existing 1</v>
      </c>
      <c r="F271" s="136" t="s">
        <v>44</v>
      </c>
      <c r="G271" s="136" t="s">
        <v>46</v>
      </c>
      <c r="H271" s="136"/>
      <c r="I271" s="136"/>
      <c r="J271" s="136"/>
      <c r="K271" s="69"/>
      <c r="L271" s="62" t="s">
        <v>197</v>
      </c>
      <c r="M271" s="70" t="str">
        <f>+INDEX(Commodities!$U$6:$U$17,M266)</f>
        <v>IF</v>
      </c>
    </row>
    <row r="272" spans="1:13">
      <c r="B272" s="317" t="str">
        <f t="shared" si="18"/>
        <v/>
      </c>
      <c r="C272" s="136"/>
      <c r="D272" s="146" t="str">
        <f>M272 &amp; P$13 &amp; R$13 &amp; VLOOKUP(O$13, $O$50:$P$74,2,FALSE) &amp; "E1"</f>
        <v>INDFDPHBHFOE1</v>
      </c>
      <c r="E272" s="143" t="str">
        <f>+M269 &amp; " " &amp; S$13 &amp; " - " &amp; T$13 &amp; " " &amp; U$13</f>
        <v>Food industry Heat Medium Temp. Boiler - Heavy Fuel Oil Existing 1</v>
      </c>
      <c r="F272" s="136" t="s">
        <v>44</v>
      </c>
      <c r="G272" s="136" t="s">
        <v>46</v>
      </c>
      <c r="H272" s="136"/>
      <c r="I272" s="136"/>
      <c r="J272" s="136"/>
      <c r="K272" s="69"/>
      <c r="L272" s="62" t="s">
        <v>197</v>
      </c>
      <c r="M272" s="70" t="str">
        <f>+INDEX(Commodities!$W$6:$W$17,M266)</f>
        <v>INDF</v>
      </c>
    </row>
    <row r="273" spans="2:11">
      <c r="B273" s="317" t="str">
        <f t="shared" si="18"/>
        <v/>
      </c>
      <c r="C273" s="136"/>
      <c r="D273" s="146" t="str">
        <f>M272 &amp; P$14 &amp; R$14 &amp; VLOOKUP(O$14, $O$50:$P$74,2,FALSE) &amp; "E1"</f>
        <v>INDFDPHBLPGE1</v>
      </c>
      <c r="E273" s="143" t="str">
        <f>+M269 &amp; " " &amp; S$14 &amp; " - " &amp; T$14 &amp; " " &amp; U$14</f>
        <v>Food industry Heat Medium Temp. Boiler - Liquified Petroleum Gas Existing 1</v>
      </c>
      <c r="F273" s="136" t="s">
        <v>44</v>
      </c>
      <c r="G273" s="136" t="s">
        <v>46</v>
      </c>
      <c r="H273" s="136"/>
      <c r="I273" s="136"/>
      <c r="J273" s="136"/>
      <c r="K273" s="69"/>
    </row>
    <row r="274" spans="2:11">
      <c r="B274" s="317" t="str">
        <f t="shared" si="18"/>
        <v/>
      </c>
      <c r="C274" s="136"/>
      <c r="D274" s="146" t="str">
        <f>M272 &amp; P$15 &amp; R$15 &amp; VLOOKUP(O$15, $O$50:$P$74,2,FALSE) &amp; "E1"</f>
        <v>INDFDPHBWSTE1</v>
      </c>
      <c r="E274" s="143" t="str">
        <f>+M269 &amp; " " &amp; S$15 &amp; " - " &amp; T$15 &amp; " " &amp; U$15</f>
        <v>Food industry Heat Medium Temp. Boiler - Waste Existing 1</v>
      </c>
      <c r="F274" s="136" t="s">
        <v>44</v>
      </c>
      <c r="G274" s="136" t="s">
        <v>46</v>
      </c>
      <c r="H274" s="136"/>
      <c r="I274" s="136"/>
      <c r="J274" s="136"/>
      <c r="K274" s="69"/>
    </row>
    <row r="275" spans="2:11">
      <c r="B275" s="317" t="str">
        <f t="shared" si="18"/>
        <v/>
      </c>
      <c r="C275" s="136"/>
      <c r="D275" s="146" t="str">
        <f>M272 &amp; P$16 &amp; R$16 &amp; VLOOKUP(O$16, $O$50:$P$74,2,FALSE) &amp; "E1"</f>
        <v>INDFDPHBHETE1</v>
      </c>
      <c r="E275" s="143" t="str">
        <f>+M269 &amp; " " &amp; S$16 &amp; " - " &amp; T$16 &amp; " " &amp; U$16</f>
        <v>Food industry Heat Medium Temp. Boiler - Dist. Heat Existing 1</v>
      </c>
      <c r="F275" s="136" t="s">
        <v>44</v>
      </c>
      <c r="G275" s="136" t="s">
        <v>46</v>
      </c>
      <c r="H275" s="136"/>
      <c r="I275" s="136"/>
      <c r="J275" s="136"/>
      <c r="K275" s="69"/>
    </row>
    <row r="276" spans="2:11">
      <c r="B276" s="317" t="str">
        <f t="shared" si="18"/>
        <v/>
      </c>
      <c r="C276" s="136"/>
      <c r="D276" s="146" t="str">
        <f>M272 &amp; P$17 &amp; R$17 &amp; VLOOKUP(O$17, $O$50:$P$74,2,FALSE) &amp; "E2"</f>
        <v>INDFDPHBHETE2</v>
      </c>
      <c r="E276" s="143" t="str">
        <f>+M269 &amp; " " &amp; S$17 &amp; " - " &amp; T$17 &amp; " " &amp; U$17</f>
        <v>Food industry Heat Medium Temp. Boiler - Dist. Heat Existing 2</v>
      </c>
      <c r="F276" s="317" t="s">
        <v>44</v>
      </c>
      <c r="G276" s="317" t="s">
        <v>46</v>
      </c>
      <c r="H276" s="136"/>
      <c r="I276" s="136"/>
      <c r="J276" s="136"/>
      <c r="K276" s="69"/>
    </row>
    <row r="277" spans="2:11">
      <c r="B277" s="317" t="str">
        <f t="shared" si="18"/>
        <v/>
      </c>
      <c r="C277" s="136"/>
      <c r="D277" s="144" t="str">
        <f>M272 &amp; P$18 &amp; R$18 &amp; VLOOKUP(O$18, $O$50:$P$74,2,FALSE) &amp; "E1"</f>
        <v>INDFDPHBELCE1</v>
      </c>
      <c r="E277" s="144" t="str">
        <f>+M269 &amp; " " &amp; S$18 &amp; " - " &amp; T$18 &amp; " " &amp; U$18</f>
        <v>Food industry Heat Medium Temp. Boiler - Electricity Existing 1</v>
      </c>
      <c r="F277" s="139" t="s">
        <v>44</v>
      </c>
      <c r="G277" s="139" t="s">
        <v>46</v>
      </c>
      <c r="H277" s="139"/>
      <c r="I277" s="139"/>
      <c r="J277" s="139"/>
      <c r="K277" s="69"/>
    </row>
    <row r="278" spans="2:11">
      <c r="B278" s="317" t="str">
        <f t="shared" si="18"/>
        <v/>
      </c>
      <c r="C278" s="136"/>
      <c r="D278" s="143" t="str">
        <f>M272 &amp; P$19 &amp; R$19 &amp; VLOOKUP(O$19, $O$50:$P$74,2,FALSE) &amp; "E1"</f>
        <v>INDFDCOBNGAE1</v>
      </c>
      <c r="E278" s="143" t="str">
        <f>+M269 &amp; " " &amp; S$19 &amp; " - " &amp; T$19 &amp; " " &amp; U$19</f>
        <v>Food industry Heat High Temp. Boiler - Nat. Gas Existing 1</v>
      </c>
      <c r="F278" s="136" t="s">
        <v>44</v>
      </c>
      <c r="G278" s="136" t="s">
        <v>46</v>
      </c>
      <c r="H278" s="136"/>
      <c r="I278" s="136"/>
      <c r="J278" s="136"/>
      <c r="K278" s="69"/>
    </row>
    <row r="279" spans="2:11">
      <c r="B279" s="317" t="str">
        <f t="shared" si="18"/>
        <v/>
      </c>
      <c r="C279" s="136"/>
      <c r="D279" s="143" t="str">
        <f>M272 &amp; P$20 &amp; R$20 &amp; VLOOKUP(O$20, $O$50:$P$74,2,FALSE) &amp; "E1"</f>
        <v>INDFDCOBCOAE1</v>
      </c>
      <c r="E279" s="143" t="str">
        <f>+M269 &amp; " " &amp; S$20 &amp; " - " &amp; T$20 &amp; " " &amp; U$20</f>
        <v>Food industry Heat High Temp. Boiler - Coal Existing 1</v>
      </c>
      <c r="F279" s="136" t="s">
        <v>44</v>
      </c>
      <c r="G279" s="136" t="s">
        <v>46</v>
      </c>
      <c r="H279" s="136"/>
      <c r="I279" s="136"/>
      <c r="J279" s="136"/>
      <c r="K279" s="69"/>
    </row>
    <row r="280" spans="2:11">
      <c r="B280" s="317" t="str">
        <f t="shared" si="18"/>
        <v/>
      </c>
      <c r="C280" s="136"/>
      <c r="D280" s="143" t="str">
        <f>M272 &amp; P$21 &amp; R$21 &amp; VLOOKUP(O$21, $O$50:$P$74,2,FALSE) &amp; "E1"</f>
        <v>INDFDCOBDSLE1</v>
      </c>
      <c r="E280" s="143" t="str">
        <f>+M269 &amp; " " &amp; S$21 &amp; " - " &amp; T$21 &amp; " " &amp; U$21</f>
        <v>Food industry Heat High Temp. Boiler - Diesel Existing 1</v>
      </c>
      <c r="F280" s="136" t="s">
        <v>44</v>
      </c>
      <c r="G280" s="136" t="s">
        <v>46</v>
      </c>
      <c r="H280" s="136"/>
      <c r="I280" s="136"/>
      <c r="J280" s="136"/>
      <c r="K280" s="69"/>
    </row>
    <row r="281" spans="2:11">
      <c r="B281" s="317" t="str">
        <f t="shared" si="18"/>
        <v/>
      </c>
      <c r="C281" s="136"/>
      <c r="D281" s="143" t="str">
        <f>M272 &amp; P$22 &amp; R$22 &amp; VLOOKUP(O$22, $O$50:$P$74,2,FALSE) &amp; "E1"</f>
        <v>INDFDCOBWPEE1</v>
      </c>
      <c r="E281" s="143" t="str">
        <f>+M269 &amp; " " &amp; S$22 &amp; " - " &amp; T$22 &amp; " " &amp; U$22</f>
        <v>Food industry Heat High Temp. Boiler - Wood Pellets Existing 1</v>
      </c>
      <c r="F281" s="136" t="s">
        <v>44</v>
      </c>
      <c r="G281" s="136" t="s">
        <v>46</v>
      </c>
      <c r="H281" s="136"/>
      <c r="I281" s="136"/>
      <c r="J281" s="136"/>
      <c r="K281" s="69"/>
    </row>
    <row r="282" spans="2:11">
      <c r="B282" s="317" t="str">
        <f t="shared" si="18"/>
        <v>*</v>
      </c>
      <c r="C282" s="136"/>
      <c r="D282" s="143"/>
      <c r="E282" s="143"/>
      <c r="F282" s="136"/>
      <c r="G282" s="136"/>
      <c r="H282" s="136"/>
      <c r="I282" s="136"/>
      <c r="J282" s="136"/>
      <c r="K282" s="69"/>
    </row>
    <row r="283" spans="2:11">
      <c r="B283" s="317" t="str">
        <f t="shared" si="18"/>
        <v/>
      </c>
      <c r="C283" s="136"/>
      <c r="D283" s="143" t="str">
        <f>M272 &amp; P$24 &amp; R$24 &amp; VLOOKUP(O$24, $O$50:$P$74,2,FALSE) &amp; "E1"</f>
        <v>INDFDCOBHFOE1</v>
      </c>
      <c r="E283" s="143" t="str">
        <f>+M269 &amp; " " &amp; S$24 &amp; " - " &amp; T$24 &amp; " " &amp; U$24</f>
        <v>Food industry Heat High Temp. Boiler - Heavy Fuel Oil Existing 1</v>
      </c>
      <c r="F283" s="136" t="s">
        <v>44</v>
      </c>
      <c r="G283" s="136" t="s">
        <v>46</v>
      </c>
      <c r="H283" s="136"/>
      <c r="I283" s="136"/>
      <c r="J283" s="136"/>
      <c r="K283" s="69"/>
    </row>
    <row r="284" spans="2:11">
      <c r="B284" s="317" t="str">
        <f t="shared" si="18"/>
        <v/>
      </c>
      <c r="C284" s="136"/>
      <c r="D284" s="143" t="str">
        <f>M272 &amp; P$25 &amp; R$25 &amp; VLOOKUP(O$25, $O$50:$P$74,2,FALSE) &amp; "E1"</f>
        <v>INDFDCOBLPGE1</v>
      </c>
      <c r="E284" s="143" t="str">
        <f>+M269 &amp; " " &amp; S$25 &amp; " - " &amp; T$25 &amp; " " &amp; U$25</f>
        <v>Food industry Heat High Temp. Boiler - Liquified Petroleum Gas Existing 1</v>
      </c>
      <c r="F284" s="136" t="s">
        <v>44</v>
      </c>
      <c r="G284" s="136" t="s">
        <v>46</v>
      </c>
      <c r="H284" s="136"/>
      <c r="I284" s="136"/>
      <c r="J284" s="136"/>
      <c r="K284" s="69"/>
    </row>
    <row r="285" spans="2:11">
      <c r="B285" s="317" t="str">
        <f t="shared" si="18"/>
        <v/>
      </c>
      <c r="C285" s="136"/>
      <c r="D285" s="143" t="str">
        <f>M272 &amp; P$26 &amp; R$26 &amp; VLOOKUP(O$26, $O$50:$P$74,2,FALSE) &amp; "E1"</f>
        <v>INDFDCOBWSTE1</v>
      </c>
      <c r="E285" s="143" t="str">
        <f>+M269 &amp; " " &amp; S$26 &amp; " - " &amp; T$26 &amp; " " &amp; U$26</f>
        <v>Food industry Heat High Temp. Boiler - Waste Existing 1</v>
      </c>
      <c r="F285" s="136" t="s">
        <v>44</v>
      </c>
      <c r="G285" s="136" t="s">
        <v>46</v>
      </c>
      <c r="H285" s="136"/>
      <c r="I285" s="136"/>
      <c r="J285" s="136"/>
      <c r="K285" s="69"/>
    </row>
    <row r="286" spans="2:11">
      <c r="B286" s="317" t="str">
        <f t="shared" si="18"/>
        <v/>
      </c>
      <c r="C286" s="136"/>
      <c r="D286" s="144" t="str">
        <f>M272 &amp; P$27 &amp; R$27 &amp; VLOOKUP(O$27, $O$50:$P$74,2,FALSE) &amp; "E1"</f>
        <v>INDFDCOBELCE1</v>
      </c>
      <c r="E286" s="144" t="str">
        <f>+M269 &amp; " " &amp; S$27 &amp; " - " &amp; T$27 &amp; " " &amp; U$27</f>
        <v>Food industry Heat High Temp. Boiler - Electricity Existing 1</v>
      </c>
      <c r="F286" s="139" t="s">
        <v>44</v>
      </c>
      <c r="G286" s="139" t="s">
        <v>46</v>
      </c>
      <c r="H286" s="139"/>
      <c r="I286" s="139"/>
      <c r="J286" s="139"/>
      <c r="K286" s="69"/>
    </row>
    <row r="287" spans="2:11">
      <c r="B287" s="317" t="str">
        <f t="shared" si="18"/>
        <v/>
      </c>
      <c r="C287" s="136"/>
      <c r="D287" s="146" t="str">
        <f>M272 &amp; P$28 &amp; R$28 &amp; VLOOKUP(O$28, $O$50:$P$74,2,FALSE) &amp; "E1"</f>
        <v>INDFDSHBNGAE1</v>
      </c>
      <c r="E287" s="143" t="str">
        <f>+M269 &amp; " " &amp; S$28 &amp; " - " &amp; T$28 &amp; " " &amp; U$28</f>
        <v>Food industry Heat Room Boiler - Nat. Gas Existing 1</v>
      </c>
      <c r="F287" s="136" t="s">
        <v>44</v>
      </c>
      <c r="G287" s="136" t="s">
        <v>46</v>
      </c>
      <c r="H287" s="136"/>
      <c r="I287" s="136"/>
      <c r="J287" s="136"/>
      <c r="K287" s="69"/>
    </row>
    <row r="288" spans="2:11">
      <c r="B288" s="317" t="str">
        <f t="shared" si="18"/>
        <v/>
      </c>
      <c r="C288" s="136"/>
      <c r="D288" s="146" t="str">
        <f>M272 &amp; P$29 &amp; R$29 &amp; VLOOKUP(O$29, $O$50:$P$74,2,FALSE) &amp; "E1"</f>
        <v>INDFDSHBCOAE1</v>
      </c>
      <c r="E288" s="143" t="str">
        <f>+M269 &amp; " " &amp; S$29 &amp; " - " &amp; T$29 &amp; " " &amp; U$29</f>
        <v>Food industry Heat Room Boiler - Coal Existing 1</v>
      </c>
      <c r="F288" s="136" t="s">
        <v>44</v>
      </c>
      <c r="G288" s="136" t="s">
        <v>46</v>
      </c>
      <c r="H288" s="136"/>
      <c r="I288" s="136"/>
      <c r="J288" s="136"/>
      <c r="K288" s="69"/>
    </row>
    <row r="289" spans="1:13">
      <c r="B289" s="317" t="str">
        <f t="shared" si="18"/>
        <v/>
      </c>
      <c r="C289" s="136"/>
      <c r="D289" s="146" t="str">
        <f>M272 &amp; P$30 &amp; R$30 &amp; VLOOKUP(O$30, $O$50:$P$74,2,FALSE) &amp; "E1"</f>
        <v>INDFDSHBDSLE1</v>
      </c>
      <c r="E289" s="143" t="str">
        <f>+M269 &amp; " " &amp; S$30 &amp; " - " &amp; T$30 &amp; " " &amp; U$30</f>
        <v>Food industry Heat Room Boiler - Diesel Existing 1</v>
      </c>
      <c r="F289" s="136" t="s">
        <v>44</v>
      </c>
      <c r="G289" s="136" t="s">
        <v>46</v>
      </c>
      <c r="H289" s="136"/>
      <c r="I289" s="136"/>
      <c r="J289" s="136"/>
      <c r="K289" s="69"/>
    </row>
    <row r="290" spans="1:13">
      <c r="B290" s="317" t="str">
        <f t="shared" si="18"/>
        <v/>
      </c>
      <c r="C290" s="136"/>
      <c r="D290" s="146" t="str">
        <f>M272 &amp; P$31 &amp; R$31 &amp; VLOOKUP(O$31, $O$50:$P$74,2,FALSE) &amp; "E1"</f>
        <v>INDFDSHBWPEE1</v>
      </c>
      <c r="E290" s="143" t="str">
        <f>+M269 &amp; " " &amp; S$31 &amp; " - " &amp; T$31 &amp; " " &amp; U$31</f>
        <v>Food industry Heat Room Boiler - Wood Pellets Existing 1</v>
      </c>
      <c r="F290" s="136" t="s">
        <v>44</v>
      </c>
      <c r="G290" s="136" t="s">
        <v>46</v>
      </c>
      <c r="H290" s="136"/>
      <c r="I290" s="136"/>
      <c r="J290" s="136"/>
      <c r="K290" s="69"/>
    </row>
    <row r="291" spans="1:13">
      <c r="B291" s="317" t="str">
        <f t="shared" si="18"/>
        <v>*</v>
      </c>
      <c r="C291" s="136"/>
      <c r="D291" s="146"/>
      <c r="E291" s="143"/>
      <c r="F291" s="136"/>
      <c r="G291" s="136"/>
      <c r="H291" s="136"/>
      <c r="I291" s="136"/>
      <c r="J291" s="136"/>
      <c r="K291" s="69"/>
    </row>
    <row r="292" spans="1:13">
      <c r="B292" s="317" t="str">
        <f t="shared" si="18"/>
        <v/>
      </c>
      <c r="C292" s="136"/>
      <c r="D292" s="146" t="str">
        <f>M272 &amp; P$33 &amp; R$33 &amp; VLOOKUP(O$33, $O$50:$P$74,2,FALSE) &amp; "E1"</f>
        <v>INDFDSHBBGAE1</v>
      </c>
      <c r="E292" s="143" t="str">
        <f>+M269 &amp; " " &amp; S$33 &amp; " - " &amp; T$33 &amp; " " &amp; U$33</f>
        <v>Food industry Heat Room Boiler - Biogas Existing 1</v>
      </c>
      <c r="F292" s="136" t="s">
        <v>44</v>
      </c>
      <c r="G292" s="136" t="s">
        <v>46</v>
      </c>
      <c r="H292" s="136"/>
      <c r="I292" s="136"/>
      <c r="J292" s="136"/>
      <c r="K292" s="69"/>
    </row>
    <row r="293" spans="1:13">
      <c r="B293" s="317" t="str">
        <f t="shared" si="18"/>
        <v/>
      </c>
      <c r="C293" s="136"/>
      <c r="D293" s="146" t="str">
        <f>M272 &amp; P$34 &amp; R$34 &amp; VLOOKUP(O$34, $O$50:$P$74,2,FALSE) &amp; "E1"</f>
        <v>INDFDSHBHFOE1</v>
      </c>
      <c r="E293" s="143" t="str">
        <f>+M269 &amp; " " &amp; S$34 &amp; " - " &amp; T$34 &amp; " " &amp; U$34</f>
        <v>Food industry Heat Room Boiler - Heavy Fuel Oil Existing 1</v>
      </c>
      <c r="F293" s="136" t="s">
        <v>44</v>
      </c>
      <c r="G293" s="136" t="s">
        <v>46</v>
      </c>
      <c r="H293" s="136"/>
      <c r="I293" s="136"/>
      <c r="J293" s="136"/>
      <c r="K293" s="69"/>
    </row>
    <row r="294" spans="1:13">
      <c r="B294" s="317" t="str">
        <f t="shared" si="18"/>
        <v/>
      </c>
      <c r="C294" s="136"/>
      <c r="D294" s="146" t="str">
        <f>M272 &amp; P$35 &amp; R$35 &amp; VLOOKUP(O$35, $O$50:$P$74,2,FALSE) &amp; "E1"</f>
        <v>INDFDSHBLPGE1</v>
      </c>
      <c r="E294" s="143" t="str">
        <f>+M269 &amp; " " &amp; S$35 &amp; " - " &amp; T$35 &amp; " " &amp; U$35</f>
        <v>Food industry Heat Room Boiler - Liquified Petroleum Gas Existing 1</v>
      </c>
      <c r="F294" s="136" t="s">
        <v>44</v>
      </c>
      <c r="G294" s="136" t="s">
        <v>46</v>
      </c>
      <c r="H294" s="136"/>
      <c r="I294" s="136"/>
      <c r="J294" s="136"/>
      <c r="K294" s="69"/>
    </row>
    <row r="295" spans="1:13">
      <c r="B295" s="317" t="str">
        <f t="shared" si="18"/>
        <v/>
      </c>
      <c r="C295" s="136"/>
      <c r="D295" s="146" t="str">
        <f>M272 &amp; P$36 &amp; R$36 &amp; VLOOKUP(O$36, $O$50:$P$74,2,FALSE) &amp; "E1"</f>
        <v>INDFDSHBWSTE1</v>
      </c>
      <c r="E295" s="143" t="str">
        <f>+M269 &amp; " " &amp; S$36 &amp; " - " &amp; T$36 &amp; " " &amp; U$36</f>
        <v>Food industry Heat Room Boiler - Waste Existing 1</v>
      </c>
      <c r="F295" s="136" t="s">
        <v>44</v>
      </c>
      <c r="G295" s="136" t="s">
        <v>46</v>
      </c>
      <c r="H295" s="136"/>
      <c r="I295" s="136"/>
      <c r="J295" s="136"/>
      <c r="K295" s="69"/>
    </row>
    <row r="296" spans="1:13">
      <c r="B296" s="317" t="str">
        <f t="shared" si="18"/>
        <v/>
      </c>
      <c r="C296" s="136"/>
      <c r="D296" s="146" t="str">
        <f>M272 &amp; P$37 &amp; R$37 &amp; VLOOKUP(O$37, $O$50:$P$74,2,FALSE) &amp; "E1"</f>
        <v>INDFDSHBHETE1</v>
      </c>
      <c r="E296" s="143" t="str">
        <f>+M269 &amp; " " &amp; S$37 &amp; " - " &amp; T$37 &amp; " " &amp; U$37</f>
        <v>Food industry Heat Room Boiler - Dist. Heat Existing 1</v>
      </c>
      <c r="F296" s="136" t="s">
        <v>44</v>
      </c>
      <c r="G296" s="136" t="s">
        <v>46</v>
      </c>
      <c r="H296" s="136"/>
      <c r="I296" s="136"/>
      <c r="J296" s="136"/>
      <c r="K296" s="69"/>
    </row>
    <row r="297" spans="1:13">
      <c r="B297" s="317" t="str">
        <f t="shared" si="18"/>
        <v/>
      </c>
      <c r="C297" s="146"/>
      <c r="D297" s="146" t="str">
        <f>M272 &amp; P$38 &amp; R$38 &amp; VLOOKUP(O$38, $O$50:$P$74,2,FALSE) &amp; "E2"</f>
        <v>INDFDSHBHETE2</v>
      </c>
      <c r="E297" s="143" t="str">
        <f>+M269 &amp; " " &amp; S$38 &amp; " - " &amp; T$38 &amp; " " &amp; U$38</f>
        <v>Food industry Heat Room Boiler - Dist. Heat Existing 2</v>
      </c>
      <c r="F297" s="317" t="s">
        <v>44</v>
      </c>
      <c r="G297" s="317" t="s">
        <v>46</v>
      </c>
      <c r="H297" s="146"/>
      <c r="I297" s="146"/>
      <c r="J297" s="146"/>
      <c r="K297" s="69"/>
    </row>
    <row r="298" spans="1:13">
      <c r="B298" s="317" t="str">
        <f t="shared" si="18"/>
        <v/>
      </c>
      <c r="C298" s="146"/>
      <c r="D298" s="144" t="str">
        <f>M272 &amp; P$39 &amp; R$39 &amp; VLOOKUP(O$39, $O$50:$P$74,2,FALSE) &amp; "E1"</f>
        <v>INDFDSHBELCE1</v>
      </c>
      <c r="E298" s="144" t="str">
        <f>+M269 &amp; " " &amp; S$39 &amp; " - " &amp; T$39 &amp; " " &amp; U$39</f>
        <v>Food industry Heat Room Boiler - Electricity Existing 1</v>
      </c>
      <c r="F298" s="139" t="s">
        <v>44</v>
      </c>
      <c r="G298" s="139" t="s">
        <v>46</v>
      </c>
      <c r="H298" s="139"/>
      <c r="I298" s="139"/>
      <c r="J298" s="139"/>
      <c r="K298" s="69"/>
    </row>
    <row r="299" spans="1:13">
      <c r="B299" s="317" t="str">
        <f t="shared" si="18"/>
        <v/>
      </c>
      <c r="C299" s="146"/>
      <c r="D299" s="146" t="str">
        <f>M272 &amp; P$40 &amp; R$40 &amp; VLOOKUP(O$40, $O$50:$P$74,2,FALSE) &amp; "E1"</f>
        <v>INDFDLAAELCE1</v>
      </c>
      <c r="E299" s="146" t="str">
        <f>+M269 &amp; " " &amp; S$40 &amp; " - " &amp; T$40 &amp; " " &amp; U$40</f>
        <v>Food industry Electricity Light Appliance - Electricity Existing 1</v>
      </c>
      <c r="F299" s="149" t="s">
        <v>44</v>
      </c>
      <c r="G299" s="146" t="s">
        <v>46</v>
      </c>
      <c r="H299" s="146"/>
      <c r="I299" s="146"/>
      <c r="J299" s="146"/>
      <c r="K299" s="69"/>
    </row>
    <row r="300" spans="1:13">
      <c r="B300" s="317" t="str">
        <f t="shared" si="18"/>
        <v/>
      </c>
      <c r="C300" s="146"/>
      <c r="D300" s="144" t="str">
        <f>M272 &amp; P$41 &amp; R$41 &amp; VLOOKUP(O$41, $O$50:$P$74,2,FALSE) &amp; "E1"</f>
        <v>INDFDEMMELCE1</v>
      </c>
      <c r="E300" s="144" t="str">
        <f>+M269 &amp; " " &amp; S$41 &amp; " - " &amp; T$41 &amp; " " &amp; U$41</f>
        <v>Food industry Electricity Motors - Electricity Existing 1</v>
      </c>
      <c r="F300" s="139" t="s">
        <v>44</v>
      </c>
      <c r="G300" s="139" t="s">
        <v>46</v>
      </c>
      <c r="H300" s="139"/>
      <c r="I300" s="139"/>
      <c r="J300" s="139"/>
      <c r="K300" s="69"/>
    </row>
    <row r="301" spans="1:13">
      <c r="A301" s="236"/>
      <c r="B301" s="317" t="str">
        <f t="shared" si="18"/>
        <v/>
      </c>
      <c r="C301" s="146"/>
      <c r="D301" s="237" t="str">
        <f>M272 &amp; P$42 &amp; R$42 &amp; VLOOKUP(O$42, $O$50:$P$74,2,FALSE) &amp; "E1"</f>
        <v>INDFDTFTDSLE1</v>
      </c>
      <c r="E301" s="146" t="str">
        <f>+M269 &amp; " " &amp; S$42 &amp; " - " &amp; T$42 &amp; " " &amp; U$42</f>
        <v>Food industry Tractors, Trucks, Fishing boats, Forest machines - Diesel Existing 1</v>
      </c>
      <c r="F301" s="146" t="s">
        <v>44</v>
      </c>
      <c r="G301" s="146" t="s">
        <v>46</v>
      </c>
      <c r="H301" s="146"/>
      <c r="I301" s="146"/>
      <c r="J301" s="146"/>
    </row>
    <row r="302" spans="1:13">
      <c r="A302" s="236"/>
      <c r="B302" s="317" t="str">
        <f t="shared" si="18"/>
        <v/>
      </c>
      <c r="C302" s="146"/>
      <c r="D302" s="237" t="str">
        <f>M272&amp;P$43&amp;R$43&amp;VLOOKUP(O$43,$O$50:$P$74,2,FALSE)&amp;"E1"</f>
        <v>INDFDFLTLPGE1</v>
      </c>
      <c r="E302" s="146" t="str">
        <f>+M269 &amp; " " &amp; S$43 &amp; " - " &amp; T$43 &amp; " " &amp; U$43</f>
        <v>Food industry Forklifts - LPG Existing 1</v>
      </c>
      <c r="F302" s="146" t="s">
        <v>44</v>
      </c>
      <c r="G302" s="146" t="s">
        <v>46</v>
      </c>
      <c r="H302" s="146"/>
      <c r="I302" s="146"/>
      <c r="J302" s="146"/>
    </row>
    <row r="303" spans="1:13" ht="15">
      <c r="A303" s="34"/>
      <c r="B303" s="142" t="s">
        <v>25</v>
      </c>
      <c r="C303" s="256"/>
      <c r="D303" s="175" t="str">
        <f>M309 &amp; P$7 &amp; R$7 &amp; VLOOKUP(O$7, $O$50:$P$74,2,FALSE) &amp; "E1"</f>
        <v>INDRDPHBNGAE1</v>
      </c>
      <c r="E303" s="141" t="str">
        <f>+M306 &amp; " " &amp; S$7 &amp; " - " &amp; T$7 &amp; " " &amp; U$7</f>
        <v>Paper &amp; Pulp industry Heat Medium Temp. Boiler - Nat. Gas Existing 1</v>
      </c>
      <c r="F303" s="142" t="s">
        <v>44</v>
      </c>
      <c r="G303" s="142" t="s">
        <v>46</v>
      </c>
      <c r="H303" s="142"/>
      <c r="I303" s="257"/>
      <c r="J303" s="142"/>
      <c r="L303" s="62" t="s">
        <v>196</v>
      </c>
      <c r="M303" s="131">
        <f>+M266+1</f>
        <v>9</v>
      </c>
    </row>
    <row r="304" spans="1:13">
      <c r="B304" s="317" t="str">
        <f t="shared" ref="B304:B339" si="19">+IF(ISBLANK(D304),"*","")</f>
        <v/>
      </c>
      <c r="C304" s="136"/>
      <c r="D304" s="146" t="str">
        <f>M309 &amp; P$8 &amp; R$8 &amp; VLOOKUP(O$8, $O$50:$P$74,2,FALSE) &amp; "E1"</f>
        <v>INDRDPHBCOAE1</v>
      </c>
      <c r="E304" s="143" t="str">
        <f>+M306 &amp; " " &amp; S$8 &amp; " - " &amp; T$8 &amp; " " &amp; U$8</f>
        <v>Paper &amp; Pulp industry Heat Medium Temp. Boiler - Coal Existing 1</v>
      </c>
      <c r="F304" s="136" t="s">
        <v>44</v>
      </c>
      <c r="G304" s="136" t="s">
        <v>46</v>
      </c>
      <c r="H304" s="136"/>
      <c r="I304" s="133"/>
      <c r="J304" s="136"/>
      <c r="L304" s="25" t="s">
        <v>130</v>
      </c>
    </row>
    <row r="305" spans="2:13">
      <c r="B305" s="317" t="str">
        <f t="shared" si="19"/>
        <v/>
      </c>
      <c r="C305" s="136"/>
      <c r="D305" s="146" t="str">
        <f>M309 &amp; P$9 &amp; R$9 &amp; VLOOKUP(O$9, $O$50:$P$74,2,FALSE) &amp; "E1"</f>
        <v>INDRDPHBDSLE1</v>
      </c>
      <c r="E305" s="143" t="str">
        <f>+M306 &amp; " " &amp; S$9 &amp; " - " &amp; T$9 &amp; " " &amp; U$9</f>
        <v>Paper &amp; Pulp industry Heat Medium Temp. Boiler - Diesel Existing 1</v>
      </c>
      <c r="F305" s="136" t="s">
        <v>44</v>
      </c>
      <c r="G305" s="136" t="s">
        <v>46</v>
      </c>
      <c r="H305" s="136"/>
      <c r="I305" s="136"/>
      <c r="J305" s="136"/>
      <c r="L305" s="62" t="s">
        <v>198</v>
      </c>
      <c r="M305" s="64" t="s">
        <v>135</v>
      </c>
    </row>
    <row r="306" spans="2:13">
      <c r="B306" s="317" t="str">
        <f t="shared" si="19"/>
        <v/>
      </c>
      <c r="C306" s="136"/>
      <c r="D306" s="146" t="str">
        <f>M309 &amp; P$10 &amp; R$10 &amp; VLOOKUP(O$10, $O$50:$P$74,2,FALSE) &amp; "E1"</f>
        <v>INDRDPHBWPEE1</v>
      </c>
      <c r="E306" s="143" t="str">
        <f>+M306 &amp; " " &amp; S$10 &amp; " - " &amp; T$10 &amp; " " &amp; U$10</f>
        <v>Paper &amp; Pulp industry Heat Medium Temp. Boiler - Wood Pellets Existing 1</v>
      </c>
      <c r="F306" s="136" t="s">
        <v>44</v>
      </c>
      <c r="G306" s="136" t="s">
        <v>46</v>
      </c>
      <c r="H306" s="136"/>
      <c r="I306" s="136"/>
      <c r="J306" s="136"/>
      <c r="L306" s="62" t="s">
        <v>201</v>
      </c>
      <c r="M306" s="70" t="str">
        <f>+INDEX(Commodities!$X$6:$X$17,M303)</f>
        <v>Paper &amp; Pulp industry</v>
      </c>
    </row>
    <row r="307" spans="2:13">
      <c r="B307" s="317" t="str">
        <f t="shared" si="19"/>
        <v>*</v>
      </c>
      <c r="C307" s="136"/>
      <c r="D307" s="146"/>
      <c r="E307" s="143"/>
      <c r="F307" s="136"/>
      <c r="G307" s="136"/>
      <c r="H307" s="136"/>
      <c r="I307" s="136"/>
      <c r="J307" s="136"/>
      <c r="L307" s="62" t="s">
        <v>130</v>
      </c>
      <c r="M307" s="70" t="str">
        <f>+INDEX(Commodities!$Y$6:$Y$17,M303)</f>
        <v>09 Paper, pulp and printing</v>
      </c>
    </row>
    <row r="308" spans="2:13">
      <c r="B308" s="317" t="str">
        <f t="shared" si="19"/>
        <v/>
      </c>
      <c r="C308" s="136"/>
      <c r="D308" s="146" t="str">
        <f>M309 &amp; P$12 &amp; R$12 &amp; VLOOKUP(O$12, $O$50:$P$74,2,FALSE) &amp; "E1"</f>
        <v>INDRDPHBBGAE1</v>
      </c>
      <c r="E308" s="143" t="str">
        <f>+M306 &amp; " " &amp; S$12 &amp; " - " &amp; T$12 &amp; " " &amp; U$12</f>
        <v>Paper &amp; Pulp industry Heat Medium Temp. Boiler - Biogas Existing 1</v>
      </c>
      <c r="F308" s="136" t="s">
        <v>44</v>
      </c>
      <c r="G308" s="136" t="s">
        <v>46</v>
      </c>
      <c r="H308" s="136"/>
      <c r="I308" s="136"/>
      <c r="J308" s="136"/>
      <c r="L308" s="62" t="s">
        <v>197</v>
      </c>
      <c r="M308" s="70" t="str">
        <f>+INDEX(Commodities!$U$6:$U$17,M303)</f>
        <v>IR</v>
      </c>
    </row>
    <row r="309" spans="2:13">
      <c r="B309" s="317" t="str">
        <f t="shared" si="19"/>
        <v/>
      </c>
      <c r="C309" s="136"/>
      <c r="D309" s="146" t="str">
        <f>M309 &amp; P$13 &amp; R$13 &amp; VLOOKUP(O$13, $O$50:$P$74,2,FALSE) &amp; "E1"</f>
        <v>INDRDPHBHFOE1</v>
      </c>
      <c r="E309" s="143" t="str">
        <f>+M306 &amp; " " &amp; S$13 &amp; " - " &amp; T$13 &amp; " " &amp; U$13</f>
        <v>Paper &amp; Pulp industry Heat Medium Temp. Boiler - Heavy Fuel Oil Existing 1</v>
      </c>
      <c r="F309" s="136" t="s">
        <v>44</v>
      </c>
      <c r="G309" s="136" t="s">
        <v>46</v>
      </c>
      <c r="H309" s="136"/>
      <c r="I309" s="136"/>
      <c r="J309" s="136"/>
      <c r="L309" s="62" t="s">
        <v>197</v>
      </c>
      <c r="M309" s="70" t="str">
        <f>+INDEX(Commodities!$W$6:$W$17,M303)</f>
        <v>INDR</v>
      </c>
    </row>
    <row r="310" spans="2:13">
      <c r="B310" s="317" t="str">
        <f t="shared" si="19"/>
        <v/>
      </c>
      <c r="C310" s="136"/>
      <c r="D310" s="146" t="str">
        <f>M309 &amp; P$14 &amp; R$14 &amp; VLOOKUP(O$14, $O$50:$P$74,2,FALSE) &amp; "E1"</f>
        <v>INDRDPHBLPGE1</v>
      </c>
      <c r="E310" s="143" t="str">
        <f>+M306 &amp; " " &amp; S$14 &amp; " - " &amp; T$14 &amp; " " &amp; U$14</f>
        <v>Paper &amp; Pulp industry Heat Medium Temp. Boiler - Liquified Petroleum Gas Existing 1</v>
      </c>
      <c r="F310" s="136" t="s">
        <v>44</v>
      </c>
      <c r="G310" s="136" t="s">
        <v>46</v>
      </c>
      <c r="H310" s="136"/>
      <c r="I310" s="136"/>
      <c r="J310" s="136"/>
    </row>
    <row r="311" spans="2:13">
      <c r="B311" s="317" t="str">
        <f t="shared" si="19"/>
        <v/>
      </c>
      <c r="C311" s="136"/>
      <c r="D311" s="146" t="str">
        <f>M309 &amp; P$15 &amp; R$15 &amp; VLOOKUP(O$15, $O$50:$P$74,2,FALSE) &amp; "E1"</f>
        <v>INDRDPHBWSTE1</v>
      </c>
      <c r="E311" s="143" t="str">
        <f>+M306 &amp; " " &amp; S$15 &amp; " - " &amp; T$15 &amp; " " &amp; U$15</f>
        <v>Paper &amp; Pulp industry Heat Medium Temp. Boiler - Waste Existing 1</v>
      </c>
      <c r="F311" s="136" t="s">
        <v>44</v>
      </c>
      <c r="G311" s="136" t="s">
        <v>46</v>
      </c>
      <c r="H311" s="136"/>
      <c r="I311" s="136"/>
      <c r="J311" s="136"/>
    </row>
    <row r="312" spans="2:13">
      <c r="B312" s="317" t="str">
        <f t="shared" si="19"/>
        <v/>
      </c>
      <c r="C312" s="136"/>
      <c r="D312" s="146" t="str">
        <f>M309 &amp; P$16 &amp; R$16 &amp; VLOOKUP(O$16, $O$50:$P$74,2,FALSE) &amp; "E1"</f>
        <v>INDRDPHBHETE1</v>
      </c>
      <c r="E312" s="143" t="str">
        <f>+M306 &amp; " " &amp; S$16 &amp; " - " &amp; T$16 &amp; " " &amp; U$16</f>
        <v>Paper &amp; Pulp industry Heat Medium Temp. Boiler - Dist. Heat Existing 1</v>
      </c>
      <c r="F312" s="136" t="s">
        <v>44</v>
      </c>
      <c r="G312" s="136" t="s">
        <v>46</v>
      </c>
      <c r="H312" s="136"/>
      <c r="I312" s="136"/>
      <c r="J312" s="136"/>
    </row>
    <row r="313" spans="2:13">
      <c r="B313" s="317" t="str">
        <f t="shared" si="19"/>
        <v/>
      </c>
      <c r="C313" s="136"/>
      <c r="D313" s="146" t="str">
        <f>M309 &amp; P$17 &amp; R$17 &amp; VLOOKUP(O$17, $O$50:$P$74,2,FALSE) &amp; "E2"</f>
        <v>INDRDPHBHETE2</v>
      </c>
      <c r="E313" s="143" t="str">
        <f>+M306 &amp; " " &amp; S$17 &amp; " - " &amp; T$17 &amp; " " &amp; U$17</f>
        <v>Paper &amp; Pulp industry Heat Medium Temp. Boiler - Dist. Heat Existing 2</v>
      </c>
      <c r="F313" s="317" t="s">
        <v>44</v>
      </c>
      <c r="G313" s="317" t="s">
        <v>46</v>
      </c>
      <c r="H313" s="136"/>
      <c r="I313" s="136"/>
      <c r="J313" s="136"/>
    </row>
    <row r="314" spans="2:13">
      <c r="B314" s="317" t="str">
        <f t="shared" si="19"/>
        <v/>
      </c>
      <c r="C314" s="136"/>
      <c r="D314" s="144" t="str">
        <f>M309 &amp; P$18 &amp; R$18 &amp; VLOOKUP(O$18, $O$50:$P$74,2,FALSE) &amp; "E1"</f>
        <v>INDRDPHBELCE1</v>
      </c>
      <c r="E314" s="144" t="str">
        <f>+M306 &amp; " " &amp; S$18 &amp; " - " &amp; T$18 &amp; " " &amp; U$18</f>
        <v>Paper &amp; Pulp industry Heat Medium Temp. Boiler - Electricity Existing 1</v>
      </c>
      <c r="F314" s="139" t="s">
        <v>44</v>
      </c>
      <c r="G314" s="139" t="s">
        <v>46</v>
      </c>
      <c r="H314" s="139"/>
      <c r="I314" s="139"/>
      <c r="J314" s="139"/>
    </row>
    <row r="315" spans="2:13">
      <c r="B315" s="317" t="str">
        <f t="shared" si="19"/>
        <v/>
      </c>
      <c r="C315" s="136"/>
      <c r="D315" s="143" t="str">
        <f>M309 &amp; P$19 &amp; R$19 &amp; VLOOKUP(O$19, $O$50:$P$74,2,FALSE) &amp; "E1"</f>
        <v>INDRDCOBNGAE1</v>
      </c>
      <c r="E315" s="143" t="str">
        <f>+M306 &amp; " " &amp; S$19 &amp; " - " &amp; T$19 &amp; " " &amp; U$19</f>
        <v>Paper &amp; Pulp industry Heat High Temp. Boiler - Nat. Gas Existing 1</v>
      </c>
      <c r="F315" s="136" t="s">
        <v>44</v>
      </c>
      <c r="G315" s="136" t="s">
        <v>46</v>
      </c>
      <c r="H315" s="136"/>
      <c r="I315" s="136"/>
      <c r="J315" s="136"/>
    </row>
    <row r="316" spans="2:13">
      <c r="B316" s="317" t="str">
        <f t="shared" si="19"/>
        <v/>
      </c>
      <c r="C316" s="136"/>
      <c r="D316" s="143" t="str">
        <f>M309 &amp; P$20 &amp; R$20 &amp; VLOOKUP(O$20, $O$50:$P$74,2,FALSE) &amp; "E1"</f>
        <v>INDRDCOBCOAE1</v>
      </c>
      <c r="E316" s="143" t="str">
        <f>+M306 &amp; " " &amp; S$20 &amp; " - " &amp; T$20 &amp; " " &amp; U$20</f>
        <v>Paper &amp; Pulp industry Heat High Temp. Boiler - Coal Existing 1</v>
      </c>
      <c r="F316" s="136" t="s">
        <v>44</v>
      </c>
      <c r="G316" s="136" t="s">
        <v>46</v>
      </c>
      <c r="H316" s="136"/>
      <c r="I316" s="136"/>
      <c r="J316" s="136"/>
    </row>
    <row r="317" spans="2:13">
      <c r="B317" s="317" t="str">
        <f t="shared" si="19"/>
        <v/>
      </c>
      <c r="C317" s="136"/>
      <c r="D317" s="143" t="str">
        <f>M309 &amp; P$21 &amp; R$21 &amp; VLOOKUP(O$21, $O$50:$P$74,2,FALSE) &amp; "E1"</f>
        <v>INDRDCOBDSLE1</v>
      </c>
      <c r="E317" s="143" t="str">
        <f>+M306 &amp; " " &amp; S$21 &amp; " - " &amp; T$21 &amp; " " &amp; U$21</f>
        <v>Paper &amp; Pulp industry Heat High Temp. Boiler - Diesel Existing 1</v>
      </c>
      <c r="F317" s="136" t="s">
        <v>44</v>
      </c>
      <c r="G317" s="136" t="s">
        <v>46</v>
      </c>
      <c r="H317" s="136"/>
      <c r="I317" s="136"/>
      <c r="J317" s="136"/>
    </row>
    <row r="318" spans="2:13">
      <c r="B318" s="317" t="str">
        <f t="shared" si="19"/>
        <v/>
      </c>
      <c r="C318" s="136"/>
      <c r="D318" s="143" t="str">
        <f>M309 &amp; P$22 &amp; R$22 &amp; VLOOKUP(O$22, $O$50:$P$74,2,FALSE) &amp; "E1"</f>
        <v>INDRDCOBWPEE1</v>
      </c>
      <c r="E318" s="143" t="str">
        <f>+M306 &amp; " " &amp; S$22 &amp; " - " &amp; T$22 &amp; " " &amp; U$22</f>
        <v>Paper &amp; Pulp industry Heat High Temp. Boiler - Wood Pellets Existing 1</v>
      </c>
      <c r="F318" s="136" t="s">
        <v>44</v>
      </c>
      <c r="G318" s="136" t="s">
        <v>46</v>
      </c>
      <c r="H318" s="136"/>
      <c r="I318" s="136"/>
      <c r="J318" s="136"/>
    </row>
    <row r="319" spans="2:13">
      <c r="B319" s="317" t="str">
        <f t="shared" si="19"/>
        <v>*</v>
      </c>
      <c r="C319" s="136"/>
      <c r="D319" s="143"/>
      <c r="E319" s="143"/>
      <c r="F319" s="136"/>
      <c r="G319" s="136"/>
      <c r="H319" s="136"/>
      <c r="I319" s="136"/>
      <c r="J319" s="136"/>
    </row>
    <row r="320" spans="2:13">
      <c r="B320" s="317" t="str">
        <f t="shared" si="19"/>
        <v/>
      </c>
      <c r="C320" s="136"/>
      <c r="D320" s="143" t="str">
        <f>M309 &amp; P$24 &amp; R$24 &amp; VLOOKUP(O$24, $O$50:$P$74,2,FALSE) &amp; "E1"</f>
        <v>INDRDCOBHFOE1</v>
      </c>
      <c r="E320" s="143" t="str">
        <f>+M306 &amp; " " &amp; S$24 &amp; " - " &amp; T$24 &amp; " " &amp; U$24</f>
        <v>Paper &amp; Pulp industry Heat High Temp. Boiler - Heavy Fuel Oil Existing 1</v>
      </c>
      <c r="F320" s="136" t="s">
        <v>44</v>
      </c>
      <c r="G320" s="136" t="s">
        <v>46</v>
      </c>
      <c r="H320" s="136"/>
      <c r="I320" s="136"/>
      <c r="J320" s="136"/>
    </row>
    <row r="321" spans="2:10">
      <c r="B321" s="317" t="str">
        <f t="shared" si="19"/>
        <v/>
      </c>
      <c r="C321" s="136"/>
      <c r="D321" s="143" t="str">
        <f>M309 &amp; P$25 &amp; R$25 &amp; VLOOKUP(O$25, $O$50:$P$74,2,FALSE) &amp; "E1"</f>
        <v>INDRDCOBLPGE1</v>
      </c>
      <c r="E321" s="143" t="str">
        <f>+M306 &amp; " " &amp; S$25 &amp; " - " &amp; T$25 &amp; " " &amp; U$25</f>
        <v>Paper &amp; Pulp industry Heat High Temp. Boiler - Liquified Petroleum Gas Existing 1</v>
      </c>
      <c r="F321" s="136" t="s">
        <v>44</v>
      </c>
      <c r="G321" s="136" t="s">
        <v>46</v>
      </c>
      <c r="H321" s="136"/>
      <c r="I321" s="136"/>
      <c r="J321" s="136"/>
    </row>
    <row r="322" spans="2:10">
      <c r="B322" s="317" t="str">
        <f t="shared" si="19"/>
        <v/>
      </c>
      <c r="C322" s="136"/>
      <c r="D322" s="143" t="str">
        <f>M309 &amp; P$26 &amp; R$26 &amp; VLOOKUP(O$26, $O$50:$P$74,2,FALSE) &amp; "E1"</f>
        <v>INDRDCOBWSTE1</v>
      </c>
      <c r="E322" s="143" t="str">
        <f>+M306 &amp; " " &amp; S$26 &amp; " - " &amp; T$26 &amp; " " &amp; U$26</f>
        <v>Paper &amp; Pulp industry Heat High Temp. Boiler - Waste Existing 1</v>
      </c>
      <c r="F322" s="136" t="s">
        <v>44</v>
      </c>
      <c r="G322" s="136" t="s">
        <v>46</v>
      </c>
      <c r="H322" s="136"/>
      <c r="I322" s="136"/>
      <c r="J322" s="136"/>
    </row>
    <row r="323" spans="2:10">
      <c r="B323" s="317" t="str">
        <f t="shared" si="19"/>
        <v/>
      </c>
      <c r="C323" s="136"/>
      <c r="D323" s="144" t="str">
        <f>M309 &amp; P$27 &amp; R$27 &amp; VLOOKUP(O$27, $O$50:$P$74,2,FALSE) &amp; "E1"</f>
        <v>INDRDCOBELCE1</v>
      </c>
      <c r="E323" s="144" t="str">
        <f>+M306 &amp; " " &amp; S$27 &amp; " - " &amp; T$27 &amp; " " &amp; U$27</f>
        <v>Paper &amp; Pulp industry Heat High Temp. Boiler - Electricity Existing 1</v>
      </c>
      <c r="F323" s="139" t="s">
        <v>44</v>
      </c>
      <c r="G323" s="139" t="s">
        <v>46</v>
      </c>
      <c r="H323" s="139"/>
      <c r="I323" s="139"/>
      <c r="J323" s="139"/>
    </row>
    <row r="324" spans="2:10">
      <c r="B324" s="317" t="str">
        <f t="shared" si="19"/>
        <v/>
      </c>
      <c r="C324" s="136"/>
      <c r="D324" s="146" t="str">
        <f>M309 &amp; P$28 &amp; R$28 &amp; VLOOKUP(O$28, $O$50:$P$74,2,FALSE) &amp; "E1"</f>
        <v>INDRDSHBNGAE1</v>
      </c>
      <c r="E324" s="143" t="str">
        <f>+M306 &amp; " " &amp; S$28 &amp; " - " &amp; T$28 &amp; " " &amp; U$28</f>
        <v>Paper &amp; Pulp industry Heat Room Boiler - Nat. Gas Existing 1</v>
      </c>
      <c r="F324" s="136" t="s">
        <v>44</v>
      </c>
      <c r="G324" s="136" t="s">
        <v>46</v>
      </c>
      <c r="H324" s="136"/>
      <c r="I324" s="136"/>
      <c r="J324" s="136"/>
    </row>
    <row r="325" spans="2:10">
      <c r="B325" s="317" t="str">
        <f t="shared" si="19"/>
        <v/>
      </c>
      <c r="C325" s="136"/>
      <c r="D325" s="146" t="str">
        <f>M309 &amp; P$29 &amp; R$29 &amp; VLOOKUP(O$29, $O$50:$P$74,2,FALSE) &amp; "E1"</f>
        <v>INDRDSHBCOAE1</v>
      </c>
      <c r="E325" s="143" t="str">
        <f>+M306 &amp; " " &amp; S$29 &amp; " - " &amp; T$29 &amp; " " &amp; U$29</f>
        <v>Paper &amp; Pulp industry Heat Room Boiler - Coal Existing 1</v>
      </c>
      <c r="F325" s="136" t="s">
        <v>44</v>
      </c>
      <c r="G325" s="136" t="s">
        <v>46</v>
      </c>
      <c r="H325" s="136"/>
      <c r="I325" s="136"/>
      <c r="J325" s="136"/>
    </row>
    <row r="326" spans="2:10">
      <c r="B326" s="317" t="str">
        <f t="shared" si="19"/>
        <v/>
      </c>
      <c r="C326" s="136"/>
      <c r="D326" s="146" t="str">
        <f>M309 &amp; P$30 &amp; R$30 &amp; VLOOKUP(O$30, $O$50:$P$74,2,FALSE) &amp; "E1"</f>
        <v>INDRDSHBDSLE1</v>
      </c>
      <c r="E326" s="143" t="str">
        <f>+M306 &amp; " " &amp; S$30 &amp; " - " &amp; T$30 &amp; " " &amp; U$30</f>
        <v>Paper &amp; Pulp industry Heat Room Boiler - Diesel Existing 1</v>
      </c>
      <c r="F326" s="136" t="s">
        <v>44</v>
      </c>
      <c r="G326" s="136" t="s">
        <v>46</v>
      </c>
      <c r="H326" s="136"/>
      <c r="I326" s="136"/>
      <c r="J326" s="136"/>
    </row>
    <row r="327" spans="2:10">
      <c r="B327" s="317" t="str">
        <f t="shared" si="19"/>
        <v/>
      </c>
      <c r="C327" s="136"/>
      <c r="D327" s="146" t="str">
        <f>M309 &amp; P$31 &amp; R$31 &amp; VLOOKUP(O$31, $O$50:$P$74,2,FALSE) &amp; "E1"</f>
        <v>INDRDSHBWPEE1</v>
      </c>
      <c r="E327" s="143" t="str">
        <f>+M306 &amp; " " &amp; S$31 &amp; " - " &amp; T$31 &amp; " " &amp; U$31</f>
        <v>Paper &amp; Pulp industry Heat Room Boiler - Wood Pellets Existing 1</v>
      </c>
      <c r="F327" s="136" t="s">
        <v>44</v>
      </c>
      <c r="G327" s="136" t="s">
        <v>46</v>
      </c>
      <c r="H327" s="136"/>
      <c r="I327" s="136"/>
      <c r="J327" s="136"/>
    </row>
    <row r="328" spans="2:10">
      <c r="B328" s="317" t="str">
        <f t="shared" si="19"/>
        <v>*</v>
      </c>
      <c r="C328" s="136"/>
      <c r="D328" s="146"/>
      <c r="E328" s="143"/>
      <c r="F328" s="136"/>
      <c r="G328" s="136"/>
      <c r="H328" s="136"/>
      <c r="I328" s="136"/>
      <c r="J328" s="136"/>
    </row>
    <row r="329" spans="2:10">
      <c r="B329" s="317" t="str">
        <f t="shared" si="19"/>
        <v/>
      </c>
      <c r="C329" s="136"/>
      <c r="D329" s="146" t="str">
        <f>M309 &amp; P$33 &amp; R$33 &amp; VLOOKUP(O$33, $O$50:$P$74,2,FALSE) &amp; "E1"</f>
        <v>INDRDSHBBGAE1</v>
      </c>
      <c r="E329" s="143" t="str">
        <f>+M306 &amp; " " &amp; S$33 &amp; " - " &amp; T$33 &amp; " " &amp; U$33</f>
        <v>Paper &amp; Pulp industry Heat Room Boiler - Biogas Existing 1</v>
      </c>
      <c r="F329" s="136" t="s">
        <v>44</v>
      </c>
      <c r="G329" s="136" t="s">
        <v>46</v>
      </c>
      <c r="H329" s="136"/>
      <c r="I329" s="136"/>
      <c r="J329" s="136"/>
    </row>
    <row r="330" spans="2:10">
      <c r="B330" s="317" t="str">
        <f t="shared" si="19"/>
        <v/>
      </c>
      <c r="C330" s="136"/>
      <c r="D330" s="146" t="str">
        <f>M309 &amp; P$34 &amp; R$34 &amp; VLOOKUP(O$34, $O$50:$P$74,2,FALSE) &amp; "E1"</f>
        <v>INDRDSHBHFOE1</v>
      </c>
      <c r="E330" s="143" t="str">
        <f>+M306 &amp; " " &amp; S$34 &amp; " - " &amp; T$34 &amp; " " &amp; U$34</f>
        <v>Paper &amp; Pulp industry Heat Room Boiler - Heavy Fuel Oil Existing 1</v>
      </c>
      <c r="F330" s="136" t="s">
        <v>44</v>
      </c>
      <c r="G330" s="136" t="s">
        <v>46</v>
      </c>
      <c r="H330" s="136"/>
      <c r="I330" s="136"/>
      <c r="J330" s="136"/>
    </row>
    <row r="331" spans="2:10">
      <c r="B331" s="317" t="str">
        <f t="shared" si="19"/>
        <v/>
      </c>
      <c r="C331" s="136"/>
      <c r="D331" s="146" t="str">
        <f>M309 &amp; P$35 &amp; R$35 &amp; VLOOKUP(O$35, $O$50:$P$74,2,FALSE) &amp; "E1"</f>
        <v>INDRDSHBLPGE1</v>
      </c>
      <c r="E331" s="143" t="str">
        <f>+M306 &amp; " " &amp; S$35 &amp; " - " &amp; T$35 &amp; " " &amp; U$35</f>
        <v>Paper &amp; Pulp industry Heat Room Boiler - Liquified Petroleum Gas Existing 1</v>
      </c>
      <c r="F331" s="136" t="s">
        <v>44</v>
      </c>
      <c r="G331" s="136" t="s">
        <v>46</v>
      </c>
      <c r="H331" s="136"/>
      <c r="I331" s="136"/>
      <c r="J331" s="136"/>
    </row>
    <row r="332" spans="2:10">
      <c r="B332" s="317" t="str">
        <f t="shared" si="19"/>
        <v/>
      </c>
      <c r="C332" s="136"/>
      <c r="D332" s="146" t="str">
        <f>M309 &amp; P$36 &amp; R$36 &amp; VLOOKUP(O$36, $O$50:$P$74,2,FALSE) &amp; "E1"</f>
        <v>INDRDSHBWSTE1</v>
      </c>
      <c r="E332" s="143" t="str">
        <f>+M306 &amp; " " &amp; S$36 &amp; " - " &amp; T$36 &amp; " " &amp; U$36</f>
        <v>Paper &amp; Pulp industry Heat Room Boiler - Waste Existing 1</v>
      </c>
      <c r="F332" s="136" t="s">
        <v>44</v>
      </c>
      <c r="G332" s="136" t="s">
        <v>46</v>
      </c>
      <c r="H332" s="136"/>
      <c r="I332" s="136"/>
      <c r="J332" s="136"/>
    </row>
    <row r="333" spans="2:10">
      <c r="B333" s="317" t="str">
        <f t="shared" si="19"/>
        <v/>
      </c>
      <c r="C333" s="136"/>
      <c r="D333" s="146" t="str">
        <f>M309 &amp; P$37 &amp; R$37 &amp; VLOOKUP(O$37, $O$50:$P$74,2,FALSE) &amp; "E1"</f>
        <v>INDRDSHBHETE1</v>
      </c>
      <c r="E333" s="143" t="str">
        <f>+M306 &amp; " " &amp; S$37 &amp; " - " &amp; T$37 &amp; " " &amp; U$37</f>
        <v>Paper &amp; Pulp industry Heat Room Boiler - Dist. Heat Existing 1</v>
      </c>
      <c r="F333" s="136" t="s">
        <v>44</v>
      </c>
      <c r="G333" s="136" t="s">
        <v>46</v>
      </c>
      <c r="H333" s="136"/>
      <c r="I333" s="136"/>
      <c r="J333" s="136"/>
    </row>
    <row r="334" spans="2:10">
      <c r="B334" s="317" t="str">
        <f t="shared" si="19"/>
        <v/>
      </c>
      <c r="C334" s="146"/>
      <c r="D334" s="146" t="str">
        <f>M309 &amp; P$38 &amp; R$38 &amp; VLOOKUP(O$38, $O$50:$P$74,2,FALSE) &amp; "E2"</f>
        <v>INDRDSHBHETE2</v>
      </c>
      <c r="E334" s="143" t="str">
        <f>+M306 &amp; " " &amp; S$38 &amp; " - " &amp; T$38 &amp; " " &amp; U$38</f>
        <v>Paper &amp; Pulp industry Heat Room Boiler - Dist. Heat Existing 2</v>
      </c>
      <c r="F334" s="317" t="s">
        <v>44</v>
      </c>
      <c r="G334" s="317" t="s">
        <v>46</v>
      </c>
      <c r="H334" s="146"/>
      <c r="I334" s="146"/>
      <c r="J334" s="146"/>
    </row>
    <row r="335" spans="2:10">
      <c r="B335" s="317" t="str">
        <f t="shared" si="19"/>
        <v/>
      </c>
      <c r="C335" s="146"/>
      <c r="D335" s="144" t="str">
        <f>M309 &amp; P$39 &amp; R$39 &amp; VLOOKUP(O$39, $O$50:$P$74,2,FALSE) &amp; "E1"</f>
        <v>INDRDSHBELCE1</v>
      </c>
      <c r="E335" s="144" t="str">
        <f>+M306 &amp; " " &amp; S$39 &amp; " - " &amp; T$39 &amp; " " &amp; U$39</f>
        <v>Paper &amp; Pulp industry Heat Room Boiler - Electricity Existing 1</v>
      </c>
      <c r="F335" s="139" t="s">
        <v>44</v>
      </c>
      <c r="G335" s="139" t="s">
        <v>46</v>
      </c>
      <c r="H335" s="139"/>
      <c r="I335" s="139"/>
      <c r="J335" s="139"/>
    </row>
    <row r="336" spans="2:10">
      <c r="B336" s="317" t="str">
        <f t="shared" si="19"/>
        <v/>
      </c>
      <c r="C336" s="146"/>
      <c r="D336" s="146" t="str">
        <f>M309 &amp; P$40 &amp; R$40 &amp; VLOOKUP(O$40, $O$50:$P$74,2,FALSE) &amp; "E1"</f>
        <v>INDRDLAAELCE1</v>
      </c>
      <c r="E336" s="146" t="str">
        <f>+M306 &amp; " " &amp; S$40 &amp; " - " &amp; T$40 &amp; " " &amp; U$40</f>
        <v>Paper &amp; Pulp industry Electricity Light Appliance - Electricity Existing 1</v>
      </c>
      <c r="F336" s="149" t="s">
        <v>44</v>
      </c>
      <c r="G336" s="146" t="s">
        <v>46</v>
      </c>
      <c r="H336" s="146"/>
      <c r="I336" s="146"/>
      <c r="J336" s="146"/>
    </row>
    <row r="337" spans="1:13">
      <c r="B337" s="317" t="str">
        <f t="shared" si="19"/>
        <v/>
      </c>
      <c r="C337" s="146"/>
      <c r="D337" s="144" t="str">
        <f>M309 &amp; P$41 &amp; R$41 &amp; VLOOKUP(O$41, $O$50:$P$74,2,FALSE) &amp; "E1"</f>
        <v>INDRDEMMELCE1</v>
      </c>
      <c r="E337" s="144" t="str">
        <f>+M306 &amp; " " &amp; S$41 &amp; " - " &amp; T$41 &amp; " " &amp; U$41</f>
        <v>Paper &amp; Pulp industry Electricity Motors - Electricity Existing 1</v>
      </c>
      <c r="F337" s="139" t="s">
        <v>44</v>
      </c>
      <c r="G337" s="139" t="s">
        <v>46</v>
      </c>
      <c r="H337" s="139"/>
      <c r="I337" s="139"/>
      <c r="J337" s="139"/>
    </row>
    <row r="338" spans="1:13">
      <c r="A338" s="236"/>
      <c r="B338" s="317" t="str">
        <f t="shared" si="19"/>
        <v/>
      </c>
      <c r="C338" s="146"/>
      <c r="D338" s="237" t="str">
        <f>M309 &amp; P$42 &amp; R$42 &amp; VLOOKUP(O$42, $O$50:$P$74,2,FALSE) &amp; "E1"</f>
        <v>INDRDTFTDSLE1</v>
      </c>
      <c r="E338" s="146" t="str">
        <f>+M306 &amp; " " &amp; S$42 &amp; " - " &amp; T$42 &amp; " " &amp; U$42</f>
        <v>Paper &amp; Pulp industry Tractors, Trucks, Fishing boats, Forest machines - Diesel Existing 1</v>
      </c>
      <c r="F338" s="146" t="s">
        <v>44</v>
      </c>
      <c r="G338" s="146" t="s">
        <v>46</v>
      </c>
      <c r="H338" s="146"/>
      <c r="I338" s="146"/>
      <c r="J338" s="146"/>
    </row>
    <row r="339" spans="1:13">
      <c r="A339" s="236"/>
      <c r="B339" s="317" t="str">
        <f t="shared" si="19"/>
        <v/>
      </c>
      <c r="C339" s="146"/>
      <c r="D339" s="237" t="str">
        <f>M309&amp;P$43&amp;R$43&amp;VLOOKUP(O$43,$O$50:$P$74,2,FALSE)&amp;"E1"</f>
        <v>INDRDFLTLPGE1</v>
      </c>
      <c r="E339" s="146" t="str">
        <f>+M306 &amp; " " &amp; S$43 &amp; " - " &amp; T$43 &amp; " " &amp; U$43</f>
        <v>Paper &amp; Pulp industry Forklifts - LPG Existing 1</v>
      </c>
      <c r="F339" s="146" t="s">
        <v>44</v>
      </c>
      <c r="G339" s="146" t="s">
        <v>46</v>
      </c>
      <c r="H339" s="146"/>
      <c r="I339" s="146"/>
      <c r="J339" s="146"/>
    </row>
    <row r="340" spans="1:13" ht="15">
      <c r="A340" s="34"/>
      <c r="B340" s="142" t="s">
        <v>25</v>
      </c>
      <c r="C340" s="256"/>
      <c r="D340" s="175" t="str">
        <f>M346 &amp; P$7 &amp; R$7 &amp; VLOOKUP(O$7, $O$50:$P$74,2,FALSE) &amp; "E1"</f>
        <v>INDWDPHBNGAE1</v>
      </c>
      <c r="E340" s="141" t="str">
        <f>+M343 &amp; " " &amp; S$7 &amp; " - " &amp; T$7 &amp; " " &amp; U$7</f>
        <v>Wood products industry Heat Medium Temp. Boiler - Nat. Gas Existing 1</v>
      </c>
      <c r="F340" s="142" t="s">
        <v>44</v>
      </c>
      <c r="G340" s="142" t="s">
        <v>46</v>
      </c>
      <c r="H340" s="142"/>
      <c r="I340" s="257"/>
      <c r="J340" s="142"/>
      <c r="K340" s="196"/>
      <c r="L340" s="62" t="s">
        <v>196</v>
      </c>
      <c r="M340" s="131">
        <f>+M303+1</f>
        <v>10</v>
      </c>
    </row>
    <row r="341" spans="1:13">
      <c r="B341" s="317" t="str">
        <f t="shared" ref="B341:B376" si="20">+IF(ISBLANK(D341),"*","")</f>
        <v/>
      </c>
      <c r="C341" s="136"/>
      <c r="D341" s="173" t="str">
        <f>M346 &amp; P$8 &amp; R$8 &amp; VLOOKUP(O$8, $O$50:$P$74,2,FALSE) &amp; "E1"</f>
        <v>INDWDPHBCOAE1</v>
      </c>
      <c r="E341" s="143" t="str">
        <f>+M343 &amp; " " &amp; S$8 &amp; " - " &amp; T$8 &amp; " " &amp; U$8</f>
        <v>Wood products industry Heat Medium Temp. Boiler - Coal Existing 1</v>
      </c>
      <c r="F341" s="136" t="s">
        <v>44</v>
      </c>
      <c r="G341" s="136" t="s">
        <v>46</v>
      </c>
      <c r="H341" s="136"/>
      <c r="I341" s="133"/>
      <c r="J341" s="136"/>
      <c r="K341" s="196"/>
      <c r="L341" s="25" t="s">
        <v>130</v>
      </c>
    </row>
    <row r="342" spans="1:13">
      <c r="B342" s="317" t="str">
        <f t="shared" si="20"/>
        <v/>
      </c>
      <c r="C342" s="136"/>
      <c r="D342" s="146" t="str">
        <f>M346 &amp; P$9 &amp; R$9 &amp; VLOOKUP(O$9, $O$50:$P$74,2,FALSE) &amp; "E1"</f>
        <v>INDWDPHBDSLE1</v>
      </c>
      <c r="E342" s="143" t="str">
        <f>+M343 &amp; " " &amp; S$9 &amp; " - " &amp; T$9 &amp; " " &amp; U$9</f>
        <v>Wood products industry Heat Medium Temp. Boiler - Diesel Existing 1</v>
      </c>
      <c r="F342" s="136" t="s">
        <v>44</v>
      </c>
      <c r="G342" s="136" t="s">
        <v>46</v>
      </c>
      <c r="H342" s="136"/>
      <c r="I342" s="136"/>
      <c r="J342" s="136"/>
      <c r="K342" s="196"/>
      <c r="L342" s="62" t="s">
        <v>198</v>
      </c>
      <c r="M342" s="64" t="s">
        <v>135</v>
      </c>
    </row>
    <row r="343" spans="1:13">
      <c r="B343" s="317" t="str">
        <f t="shared" si="20"/>
        <v/>
      </c>
      <c r="C343" s="136"/>
      <c r="D343" s="146" t="str">
        <f>M346 &amp; P$10 &amp; R$10 &amp; VLOOKUP(O$10, $O$50:$P$74,2,FALSE) &amp; "E1"</f>
        <v>INDWDPHBWPEE1</v>
      </c>
      <c r="E343" s="143" t="str">
        <f>+M343 &amp; " " &amp; S$10 &amp; " - " &amp; T$10 &amp; " " &amp; U$10</f>
        <v>Wood products industry Heat Medium Temp. Boiler - Wood Pellets Existing 1</v>
      </c>
      <c r="F343" s="136" t="s">
        <v>44</v>
      </c>
      <c r="G343" s="136" t="s">
        <v>46</v>
      </c>
      <c r="H343" s="136"/>
      <c r="I343" s="136"/>
      <c r="J343" s="136"/>
      <c r="K343" s="196"/>
      <c r="L343" s="62" t="s">
        <v>201</v>
      </c>
      <c r="M343" s="70" t="str">
        <f>+INDEX(Commodities!$X$6:$X$17,M340)</f>
        <v>Wood products industry</v>
      </c>
    </row>
    <row r="344" spans="1:13">
      <c r="B344" s="317" t="str">
        <f t="shared" si="20"/>
        <v>*</v>
      </c>
      <c r="C344" s="136"/>
      <c r="D344" s="146"/>
      <c r="E344" s="143"/>
      <c r="F344" s="136"/>
      <c r="G344" s="136"/>
      <c r="H344" s="136"/>
      <c r="I344" s="136"/>
      <c r="J344" s="136"/>
      <c r="K344" s="196"/>
      <c r="L344" s="62" t="s">
        <v>130</v>
      </c>
      <c r="M344" s="70" t="str">
        <f>+INDEX(Commodities!$Y$6:$Y$17,M340)</f>
        <v>010 Wood and wood products</v>
      </c>
    </row>
    <row r="345" spans="1:13">
      <c r="B345" s="317" t="str">
        <f t="shared" si="20"/>
        <v/>
      </c>
      <c r="C345" s="136"/>
      <c r="D345" s="146" t="str">
        <f>M346 &amp; P$12 &amp; R$12 &amp; VLOOKUP(O$12, $O$50:$P$74,2,FALSE) &amp; "E1"</f>
        <v>INDWDPHBBGAE1</v>
      </c>
      <c r="E345" s="143" t="str">
        <f>+M343 &amp; " " &amp; S$12 &amp; " - " &amp; T$12 &amp; " " &amp; U$12</f>
        <v>Wood products industry Heat Medium Temp. Boiler - Biogas Existing 1</v>
      </c>
      <c r="F345" s="136" t="s">
        <v>44</v>
      </c>
      <c r="G345" s="136" t="s">
        <v>46</v>
      </c>
      <c r="H345" s="136"/>
      <c r="I345" s="136"/>
      <c r="J345" s="136"/>
      <c r="K345" s="196"/>
      <c r="L345" s="62" t="s">
        <v>197</v>
      </c>
      <c r="M345" s="70" t="str">
        <f>+INDEX(Commodities!$U$6:$U$17,M340)</f>
        <v>IW</v>
      </c>
    </row>
    <row r="346" spans="1:13">
      <c r="B346" s="317" t="str">
        <f t="shared" si="20"/>
        <v/>
      </c>
      <c r="C346" s="136"/>
      <c r="D346" s="146" t="str">
        <f>M346 &amp; P$13 &amp; R$13 &amp; VLOOKUP(O$13, $O$50:$P$74,2,FALSE) &amp; "E1"</f>
        <v>INDWDPHBHFOE1</v>
      </c>
      <c r="E346" s="143" t="str">
        <f>+M343 &amp; " " &amp; S$13 &amp; " - " &amp; T$13 &amp; " " &amp; U$13</f>
        <v>Wood products industry Heat Medium Temp. Boiler - Heavy Fuel Oil Existing 1</v>
      </c>
      <c r="F346" s="136" t="s">
        <v>44</v>
      </c>
      <c r="G346" s="136" t="s">
        <v>46</v>
      </c>
      <c r="H346" s="136"/>
      <c r="I346" s="136"/>
      <c r="J346" s="136"/>
      <c r="K346" s="196"/>
      <c r="L346" s="62" t="s">
        <v>197</v>
      </c>
      <c r="M346" s="70" t="str">
        <f>+INDEX(Commodities!$W$6:$W$17,M340)</f>
        <v>INDW</v>
      </c>
    </row>
    <row r="347" spans="1:13">
      <c r="B347" s="317" t="str">
        <f t="shared" si="20"/>
        <v/>
      </c>
      <c r="C347" s="136"/>
      <c r="D347" s="146" t="str">
        <f>M346 &amp; P$14 &amp; R$14 &amp; VLOOKUP(O$14, $O$50:$P$74,2,FALSE) &amp; "E1"</f>
        <v>INDWDPHBLPGE1</v>
      </c>
      <c r="E347" s="143" t="str">
        <f>+M343 &amp; " " &amp; S$14 &amp; " - " &amp; T$14 &amp; " " &amp; U$14</f>
        <v>Wood products industry Heat Medium Temp. Boiler - Liquified Petroleum Gas Existing 1</v>
      </c>
      <c r="F347" s="136" t="s">
        <v>44</v>
      </c>
      <c r="G347" s="136" t="s">
        <v>46</v>
      </c>
      <c r="H347" s="136"/>
      <c r="I347" s="136"/>
      <c r="J347" s="136"/>
      <c r="K347" s="196"/>
    </row>
    <row r="348" spans="1:13">
      <c r="B348" s="317" t="str">
        <f t="shared" si="20"/>
        <v/>
      </c>
      <c r="C348" s="136"/>
      <c r="D348" s="146" t="str">
        <f>M346 &amp; P$15 &amp; R$15 &amp; VLOOKUP(O$15, $O$50:$P$74,2,FALSE) &amp; "E1"</f>
        <v>INDWDPHBWSTE1</v>
      </c>
      <c r="E348" s="143" t="str">
        <f>+M343 &amp; " " &amp; S$15 &amp; " - " &amp; T$15 &amp; " " &amp; U$15</f>
        <v>Wood products industry Heat Medium Temp. Boiler - Waste Existing 1</v>
      </c>
      <c r="F348" s="136" t="s">
        <v>44</v>
      </c>
      <c r="G348" s="136" t="s">
        <v>46</v>
      </c>
      <c r="H348" s="136"/>
      <c r="I348" s="136"/>
      <c r="J348" s="136"/>
      <c r="K348" s="196"/>
    </row>
    <row r="349" spans="1:13">
      <c r="B349" s="317" t="str">
        <f t="shared" si="20"/>
        <v/>
      </c>
      <c r="C349" s="136"/>
      <c r="D349" s="146" t="str">
        <f>M346 &amp; P$16 &amp; R$16 &amp; VLOOKUP(O$16, $O$50:$P$74,2,FALSE) &amp; "E1"</f>
        <v>INDWDPHBHETE1</v>
      </c>
      <c r="E349" s="143" t="str">
        <f>+M343 &amp; " " &amp; S$16 &amp; " - " &amp; T$16 &amp; " " &amp; U$16</f>
        <v>Wood products industry Heat Medium Temp. Boiler - Dist. Heat Existing 1</v>
      </c>
      <c r="F349" s="136" t="s">
        <v>44</v>
      </c>
      <c r="G349" s="136" t="s">
        <v>46</v>
      </c>
      <c r="H349" s="136"/>
      <c r="I349" s="136"/>
      <c r="J349" s="136"/>
      <c r="K349" s="196"/>
    </row>
    <row r="350" spans="1:13">
      <c r="B350" s="317" t="str">
        <f t="shared" si="20"/>
        <v/>
      </c>
      <c r="C350" s="136"/>
      <c r="D350" s="146" t="str">
        <f>M346 &amp; P$17 &amp; R$17 &amp; VLOOKUP(O$17, $O$50:$P$74,2,FALSE) &amp; "E2"</f>
        <v>INDWDPHBHETE2</v>
      </c>
      <c r="E350" s="143" t="str">
        <f>+M343 &amp; " " &amp; S$17 &amp; " - " &amp; T$17 &amp; " " &amp; U$17</f>
        <v>Wood products industry Heat Medium Temp. Boiler - Dist. Heat Existing 2</v>
      </c>
      <c r="F350" s="317" t="s">
        <v>44</v>
      </c>
      <c r="G350" s="317" t="s">
        <v>46</v>
      </c>
      <c r="H350" s="136"/>
      <c r="I350" s="136"/>
      <c r="J350" s="136"/>
      <c r="K350" s="196"/>
    </row>
    <row r="351" spans="1:13">
      <c r="B351" s="317" t="str">
        <f t="shared" si="20"/>
        <v/>
      </c>
      <c r="C351" s="136"/>
      <c r="D351" s="144" t="str">
        <f>M346 &amp; P$18 &amp; R$18 &amp; VLOOKUP(O$18, $O$50:$P$74,2,FALSE) &amp; "E1"</f>
        <v>INDWDPHBELCE1</v>
      </c>
      <c r="E351" s="144" t="str">
        <f>+M343 &amp; " " &amp; S$18 &amp; " - " &amp; T$18 &amp; " " &amp; U$18</f>
        <v>Wood products industry Heat Medium Temp. Boiler - Electricity Existing 1</v>
      </c>
      <c r="F351" s="139" t="s">
        <v>44</v>
      </c>
      <c r="G351" s="139" t="s">
        <v>46</v>
      </c>
      <c r="H351" s="139"/>
      <c r="I351" s="139"/>
      <c r="J351" s="139"/>
      <c r="K351" s="196"/>
    </row>
    <row r="352" spans="1:13">
      <c r="B352" s="317" t="str">
        <f t="shared" si="20"/>
        <v/>
      </c>
      <c r="C352" s="136"/>
      <c r="D352" s="143" t="str">
        <f>M346 &amp; P$19 &amp; R$19 &amp; VLOOKUP(O$19, $O$50:$P$74,2,FALSE) &amp; "E1"</f>
        <v>INDWDCOBNGAE1</v>
      </c>
      <c r="E352" s="143" t="str">
        <f>+M343 &amp; " " &amp; S$19 &amp; " - " &amp; T$19 &amp; " " &amp; U$19</f>
        <v>Wood products industry Heat High Temp. Boiler - Nat. Gas Existing 1</v>
      </c>
      <c r="F352" s="136" t="s">
        <v>44</v>
      </c>
      <c r="G352" s="136" t="s">
        <v>46</v>
      </c>
      <c r="H352" s="136"/>
      <c r="I352" s="136"/>
      <c r="J352" s="136"/>
      <c r="K352" s="196"/>
    </row>
    <row r="353" spans="2:11">
      <c r="B353" s="317" t="str">
        <f t="shared" si="20"/>
        <v/>
      </c>
      <c r="C353" s="136"/>
      <c r="D353" s="143" t="str">
        <f>M346 &amp; P$20 &amp; R$20 &amp; VLOOKUP(O$20, $O$50:$P$74,2,FALSE) &amp; "E1"</f>
        <v>INDWDCOBCOAE1</v>
      </c>
      <c r="E353" s="143" t="str">
        <f>+M343 &amp; " " &amp; S$20 &amp; " - " &amp; T$20 &amp; " " &amp; U$20</f>
        <v>Wood products industry Heat High Temp. Boiler - Coal Existing 1</v>
      </c>
      <c r="F353" s="136" t="s">
        <v>44</v>
      </c>
      <c r="G353" s="136" t="s">
        <v>46</v>
      </c>
      <c r="H353" s="136"/>
      <c r="I353" s="136"/>
      <c r="J353" s="136"/>
      <c r="K353" s="196"/>
    </row>
    <row r="354" spans="2:11">
      <c r="B354" s="317" t="str">
        <f t="shared" si="20"/>
        <v/>
      </c>
      <c r="C354" s="136"/>
      <c r="D354" s="143" t="str">
        <f>M346 &amp; P$21 &amp; R$21 &amp; VLOOKUP(O$21, $O$50:$P$74,2,FALSE) &amp; "E1"</f>
        <v>INDWDCOBDSLE1</v>
      </c>
      <c r="E354" s="143" t="str">
        <f>+M343 &amp; " " &amp; S$21 &amp; " - " &amp; T$21 &amp; " " &amp; U$21</f>
        <v>Wood products industry Heat High Temp. Boiler - Diesel Existing 1</v>
      </c>
      <c r="F354" s="136" t="s">
        <v>44</v>
      </c>
      <c r="G354" s="136" t="s">
        <v>46</v>
      </c>
      <c r="H354" s="136"/>
      <c r="I354" s="136"/>
      <c r="J354" s="136"/>
      <c r="K354" s="196"/>
    </row>
    <row r="355" spans="2:11">
      <c r="B355" s="317" t="str">
        <f t="shared" si="20"/>
        <v/>
      </c>
      <c r="C355" s="136"/>
      <c r="D355" s="143" t="str">
        <f>M346 &amp; P$22 &amp; R$22 &amp; VLOOKUP(O$22, $O$50:$P$74,2,FALSE) &amp; "E1"</f>
        <v>INDWDCOBWPEE1</v>
      </c>
      <c r="E355" s="143" t="str">
        <f>+M343 &amp; " " &amp; S$22 &amp; " - " &amp; T$22 &amp; " " &amp; U$22</f>
        <v>Wood products industry Heat High Temp. Boiler - Wood Pellets Existing 1</v>
      </c>
      <c r="F355" s="136" t="s">
        <v>44</v>
      </c>
      <c r="G355" s="136" t="s">
        <v>46</v>
      </c>
      <c r="H355" s="136"/>
      <c r="I355" s="136"/>
      <c r="J355" s="136"/>
      <c r="K355" s="196"/>
    </row>
    <row r="356" spans="2:11">
      <c r="B356" s="317" t="str">
        <f t="shared" si="20"/>
        <v>*</v>
      </c>
      <c r="C356" s="136"/>
      <c r="D356" s="143"/>
      <c r="E356" s="143"/>
      <c r="F356" s="136"/>
      <c r="G356" s="136"/>
      <c r="H356" s="136"/>
      <c r="I356" s="136"/>
      <c r="J356" s="136"/>
      <c r="K356" s="196"/>
    </row>
    <row r="357" spans="2:11">
      <c r="B357" s="317" t="str">
        <f t="shared" si="20"/>
        <v/>
      </c>
      <c r="C357" s="136"/>
      <c r="D357" s="143" t="str">
        <f>M346 &amp; P$24 &amp; R$24 &amp; VLOOKUP(O$24, $O$50:$P$74,2,FALSE) &amp; "E1"</f>
        <v>INDWDCOBHFOE1</v>
      </c>
      <c r="E357" s="143" t="str">
        <f>+M343 &amp; " " &amp; S$24 &amp; " - " &amp; T$24 &amp; " " &amp; U$24</f>
        <v>Wood products industry Heat High Temp. Boiler - Heavy Fuel Oil Existing 1</v>
      </c>
      <c r="F357" s="136" t="s">
        <v>44</v>
      </c>
      <c r="G357" s="136" t="s">
        <v>46</v>
      </c>
      <c r="H357" s="136"/>
      <c r="I357" s="136"/>
      <c r="J357" s="136"/>
      <c r="K357" s="196"/>
    </row>
    <row r="358" spans="2:11">
      <c r="B358" s="317" t="str">
        <f t="shared" si="20"/>
        <v/>
      </c>
      <c r="C358" s="136"/>
      <c r="D358" s="143" t="str">
        <f>M346 &amp; P$25 &amp; R$25 &amp; VLOOKUP(O$25, $O$50:$P$74,2,FALSE) &amp; "E1"</f>
        <v>INDWDCOBLPGE1</v>
      </c>
      <c r="E358" s="143" t="str">
        <f>+M343 &amp; " " &amp; S$25 &amp; " - " &amp; T$25 &amp; " " &amp; U$25</f>
        <v>Wood products industry Heat High Temp. Boiler - Liquified Petroleum Gas Existing 1</v>
      </c>
      <c r="F358" s="136" t="s">
        <v>44</v>
      </c>
      <c r="G358" s="136" t="s">
        <v>46</v>
      </c>
      <c r="H358" s="136"/>
      <c r="I358" s="136"/>
      <c r="J358" s="136"/>
      <c r="K358" s="196"/>
    </row>
    <row r="359" spans="2:11">
      <c r="B359" s="317" t="str">
        <f t="shared" si="20"/>
        <v/>
      </c>
      <c r="C359" s="136"/>
      <c r="D359" s="143" t="str">
        <f>M346 &amp; P$26 &amp; R$26 &amp; VLOOKUP(O$26, $O$50:$P$74,2,FALSE) &amp; "E1"</f>
        <v>INDWDCOBWSTE1</v>
      </c>
      <c r="E359" s="143" t="str">
        <f>+M343 &amp; " " &amp; S$26 &amp; " - " &amp; T$26 &amp; " " &amp; U$26</f>
        <v>Wood products industry Heat High Temp. Boiler - Waste Existing 1</v>
      </c>
      <c r="F359" s="136" t="s">
        <v>44</v>
      </c>
      <c r="G359" s="136" t="s">
        <v>46</v>
      </c>
      <c r="H359" s="136"/>
      <c r="I359" s="136"/>
      <c r="J359" s="136"/>
      <c r="K359" s="196"/>
    </row>
    <row r="360" spans="2:11">
      <c r="B360" s="317" t="str">
        <f t="shared" si="20"/>
        <v/>
      </c>
      <c r="C360" s="136"/>
      <c r="D360" s="144" t="str">
        <f>M346 &amp; P$27 &amp; R$27 &amp; VLOOKUP(O$27, $O$50:$P$74,2,FALSE) &amp; "E1"</f>
        <v>INDWDCOBELCE1</v>
      </c>
      <c r="E360" s="144" t="str">
        <f>+M343 &amp; " " &amp; S$27 &amp; " - " &amp; T$27 &amp; " " &amp; U$27</f>
        <v>Wood products industry Heat High Temp. Boiler - Electricity Existing 1</v>
      </c>
      <c r="F360" s="139" t="s">
        <v>44</v>
      </c>
      <c r="G360" s="139" t="s">
        <v>46</v>
      </c>
      <c r="H360" s="139"/>
      <c r="I360" s="139"/>
      <c r="J360" s="139"/>
      <c r="K360" s="196"/>
    </row>
    <row r="361" spans="2:11">
      <c r="B361" s="317" t="str">
        <f t="shared" si="20"/>
        <v/>
      </c>
      <c r="C361" s="136"/>
      <c r="D361" s="146" t="str">
        <f>M346 &amp; P$28 &amp; R$28 &amp; VLOOKUP(O$28, $O$50:$P$74,2,FALSE) &amp; "E1"</f>
        <v>INDWDSHBNGAE1</v>
      </c>
      <c r="E361" s="143" t="str">
        <f>+M343 &amp; " " &amp; S$28 &amp; " - " &amp; T$28 &amp; " " &amp; U$28</f>
        <v>Wood products industry Heat Room Boiler - Nat. Gas Existing 1</v>
      </c>
      <c r="F361" s="136" t="s">
        <v>44</v>
      </c>
      <c r="G361" s="136" t="s">
        <v>46</v>
      </c>
      <c r="H361" s="136"/>
      <c r="I361" s="136"/>
      <c r="J361" s="136"/>
      <c r="K361" s="196"/>
    </row>
    <row r="362" spans="2:11">
      <c r="B362" s="317" t="str">
        <f t="shared" si="20"/>
        <v/>
      </c>
      <c r="C362" s="136"/>
      <c r="D362" s="146" t="str">
        <f>M346 &amp; P$29 &amp; R$29 &amp; VLOOKUP(O$29, $O$50:$P$74,2,FALSE) &amp; "E1"</f>
        <v>INDWDSHBCOAE1</v>
      </c>
      <c r="E362" s="143" t="str">
        <f>+M343 &amp; " " &amp; S$29 &amp; " - " &amp; T$29 &amp; " " &amp; U$29</f>
        <v>Wood products industry Heat Room Boiler - Coal Existing 1</v>
      </c>
      <c r="F362" s="136" t="s">
        <v>44</v>
      </c>
      <c r="G362" s="136" t="s">
        <v>46</v>
      </c>
      <c r="H362" s="136"/>
      <c r="I362" s="136"/>
      <c r="J362" s="136"/>
      <c r="K362" s="196"/>
    </row>
    <row r="363" spans="2:11">
      <c r="B363" s="317" t="str">
        <f t="shared" si="20"/>
        <v/>
      </c>
      <c r="C363" s="136"/>
      <c r="D363" s="146" t="str">
        <f>M346 &amp; P$30 &amp; R$30 &amp; VLOOKUP(O$30, $O$50:$P$74,2,FALSE) &amp; "E1"</f>
        <v>INDWDSHBDSLE1</v>
      </c>
      <c r="E363" s="143" t="str">
        <f>+M343 &amp; " " &amp; S$30 &amp; " - " &amp; T$30 &amp; " " &amp; U$30</f>
        <v>Wood products industry Heat Room Boiler - Diesel Existing 1</v>
      </c>
      <c r="F363" s="136" t="s">
        <v>44</v>
      </c>
      <c r="G363" s="136" t="s">
        <v>46</v>
      </c>
      <c r="H363" s="136"/>
      <c r="I363" s="136"/>
      <c r="J363" s="136"/>
      <c r="K363" s="196"/>
    </row>
    <row r="364" spans="2:11">
      <c r="B364" s="317" t="str">
        <f t="shared" si="20"/>
        <v/>
      </c>
      <c r="C364" s="136"/>
      <c r="D364" s="146" t="str">
        <f>M346 &amp; P$31 &amp; R$31 &amp; VLOOKUP(O$31, $O$50:$P$74,2,FALSE) &amp; "E1"</f>
        <v>INDWDSHBWPEE1</v>
      </c>
      <c r="E364" s="143" t="str">
        <f>+M343 &amp; " " &amp; S$31 &amp; " - " &amp; T$31 &amp; " " &amp; U$31</f>
        <v>Wood products industry Heat Room Boiler - Wood Pellets Existing 1</v>
      </c>
      <c r="F364" s="136" t="s">
        <v>44</v>
      </c>
      <c r="G364" s="136" t="s">
        <v>46</v>
      </c>
      <c r="H364" s="136"/>
      <c r="I364" s="136"/>
      <c r="J364" s="136"/>
      <c r="K364" s="196"/>
    </row>
    <row r="365" spans="2:11">
      <c r="B365" s="317" t="str">
        <f t="shared" si="20"/>
        <v>*</v>
      </c>
      <c r="C365" s="136"/>
      <c r="D365" s="146"/>
      <c r="E365" s="143"/>
      <c r="F365" s="136"/>
      <c r="G365" s="136"/>
      <c r="H365" s="136"/>
      <c r="I365" s="136"/>
      <c r="J365" s="136"/>
      <c r="K365" s="196"/>
    </row>
    <row r="366" spans="2:11">
      <c r="B366" s="317" t="str">
        <f t="shared" si="20"/>
        <v/>
      </c>
      <c r="C366" s="136"/>
      <c r="D366" s="146" t="str">
        <f>M346 &amp; P$33 &amp; R$33 &amp; VLOOKUP(O$33, $O$50:$P$74,2,FALSE) &amp; "E1"</f>
        <v>INDWDSHBBGAE1</v>
      </c>
      <c r="E366" s="143" t="str">
        <f>+M343 &amp; " " &amp; S$33 &amp; " - " &amp; T$33 &amp; " " &amp; U$33</f>
        <v>Wood products industry Heat Room Boiler - Biogas Existing 1</v>
      </c>
      <c r="F366" s="136" t="s">
        <v>44</v>
      </c>
      <c r="G366" s="136" t="s">
        <v>46</v>
      </c>
      <c r="H366" s="136"/>
      <c r="I366" s="136"/>
      <c r="J366" s="136"/>
      <c r="K366" s="196"/>
    </row>
    <row r="367" spans="2:11">
      <c r="B367" s="317" t="str">
        <f t="shared" si="20"/>
        <v/>
      </c>
      <c r="C367" s="136"/>
      <c r="D367" s="146" t="str">
        <f>M346 &amp; P$34 &amp; R$34 &amp; VLOOKUP(O$34, $O$50:$P$74,2,FALSE) &amp; "E1"</f>
        <v>INDWDSHBHFOE1</v>
      </c>
      <c r="E367" s="143" t="str">
        <f>+M343 &amp; " " &amp; S$34 &amp; " - " &amp; T$34 &amp; " " &amp; U$34</f>
        <v>Wood products industry Heat Room Boiler - Heavy Fuel Oil Existing 1</v>
      </c>
      <c r="F367" s="136" t="s">
        <v>44</v>
      </c>
      <c r="G367" s="136" t="s">
        <v>46</v>
      </c>
      <c r="H367" s="136"/>
      <c r="I367" s="136"/>
      <c r="J367" s="136"/>
      <c r="K367" s="196"/>
    </row>
    <row r="368" spans="2:11">
      <c r="B368" s="317" t="str">
        <f t="shared" si="20"/>
        <v/>
      </c>
      <c r="C368" s="136"/>
      <c r="D368" s="146" t="str">
        <f>M346 &amp; P$35 &amp; R$35 &amp; VLOOKUP(O$35, $O$50:$P$74,2,FALSE) &amp; "E1"</f>
        <v>INDWDSHBLPGE1</v>
      </c>
      <c r="E368" s="143" t="str">
        <f>+M343 &amp; " " &amp; S$35 &amp; " - " &amp; T$35 &amp; " " &amp; U$35</f>
        <v>Wood products industry Heat Room Boiler - Liquified Petroleum Gas Existing 1</v>
      </c>
      <c r="F368" s="136" t="s">
        <v>44</v>
      </c>
      <c r="G368" s="136" t="s">
        <v>46</v>
      </c>
      <c r="H368" s="136"/>
      <c r="I368" s="136"/>
      <c r="J368" s="136"/>
      <c r="K368" s="196"/>
    </row>
    <row r="369" spans="1:13">
      <c r="B369" s="317" t="str">
        <f t="shared" si="20"/>
        <v/>
      </c>
      <c r="C369" s="136"/>
      <c r="D369" s="146" t="str">
        <f>M346 &amp; P$36 &amp; R$36 &amp; VLOOKUP(O$36, $O$50:$P$74,2,FALSE) &amp; "E1"</f>
        <v>INDWDSHBWSTE1</v>
      </c>
      <c r="E369" s="143" t="str">
        <f>+M343 &amp; " " &amp; S$36 &amp; " - " &amp; T$36 &amp; " " &amp; U$36</f>
        <v>Wood products industry Heat Room Boiler - Waste Existing 1</v>
      </c>
      <c r="F369" s="136" t="s">
        <v>44</v>
      </c>
      <c r="G369" s="136" t="s">
        <v>46</v>
      </c>
      <c r="H369" s="136"/>
      <c r="I369" s="136"/>
      <c r="J369" s="136"/>
      <c r="K369" s="196"/>
    </row>
    <row r="370" spans="1:13">
      <c r="B370" s="317" t="str">
        <f t="shared" si="20"/>
        <v/>
      </c>
      <c r="C370" s="136"/>
      <c r="D370" s="146" t="str">
        <f>M346 &amp; P$37 &amp; R$37 &amp; VLOOKUP(O$37, $O$50:$P$74,2,FALSE) &amp; "E1"</f>
        <v>INDWDSHBHETE1</v>
      </c>
      <c r="E370" s="143" t="str">
        <f>+M343 &amp; " " &amp; S$37 &amp; " - " &amp; T$37 &amp; " " &amp; U$37</f>
        <v>Wood products industry Heat Room Boiler - Dist. Heat Existing 1</v>
      </c>
      <c r="F370" s="136" t="s">
        <v>44</v>
      </c>
      <c r="G370" s="136" t="s">
        <v>46</v>
      </c>
      <c r="H370" s="136"/>
      <c r="I370" s="136"/>
      <c r="J370" s="136"/>
      <c r="K370" s="196"/>
    </row>
    <row r="371" spans="1:13">
      <c r="B371" s="317" t="str">
        <f t="shared" si="20"/>
        <v/>
      </c>
      <c r="C371" s="146"/>
      <c r="D371" s="146" t="str">
        <f>M346 &amp; P$38 &amp; R$38 &amp; VLOOKUP(O$38, $O$50:$P$74,2,FALSE) &amp; "E2"</f>
        <v>INDWDSHBHETE2</v>
      </c>
      <c r="E371" s="143" t="str">
        <f>+M343 &amp; " " &amp; S$38 &amp; " - " &amp; T$38 &amp; " " &amp; U$38</f>
        <v>Wood products industry Heat Room Boiler - Dist. Heat Existing 2</v>
      </c>
      <c r="F371" s="317" t="s">
        <v>44</v>
      </c>
      <c r="G371" s="317" t="s">
        <v>46</v>
      </c>
      <c r="H371" s="146"/>
      <c r="I371" s="146"/>
      <c r="J371" s="146"/>
      <c r="K371" s="196"/>
    </row>
    <row r="372" spans="1:13">
      <c r="B372" s="317" t="str">
        <f t="shared" si="20"/>
        <v/>
      </c>
      <c r="C372" s="146"/>
      <c r="D372" s="144" t="str">
        <f>M346 &amp; P$39 &amp; R$39 &amp; VLOOKUP(O$39, $O$50:$P$74,2,FALSE) &amp; "E1"</f>
        <v>INDWDSHBELCE1</v>
      </c>
      <c r="E372" s="144" t="str">
        <f>+M343 &amp; " " &amp; S$39 &amp; " - " &amp; T$39 &amp; " " &amp; U$39</f>
        <v>Wood products industry Heat Room Boiler - Electricity Existing 1</v>
      </c>
      <c r="F372" s="139" t="s">
        <v>44</v>
      </c>
      <c r="G372" s="139" t="s">
        <v>46</v>
      </c>
      <c r="H372" s="139"/>
      <c r="I372" s="139"/>
      <c r="J372" s="139"/>
      <c r="K372" s="196"/>
    </row>
    <row r="373" spans="1:13">
      <c r="B373" s="317" t="str">
        <f t="shared" si="20"/>
        <v/>
      </c>
      <c r="C373" s="146"/>
      <c r="D373" s="146" t="str">
        <f>M346 &amp; P$40 &amp; R$40 &amp; VLOOKUP(O$40, $O$50:$P$74,2,FALSE) &amp; "E1"</f>
        <v>INDWDLAAELCE1</v>
      </c>
      <c r="E373" s="146" t="str">
        <f>+M343 &amp; " " &amp; S$40 &amp; " - " &amp; T$40 &amp; " " &amp; U$40</f>
        <v>Wood products industry Electricity Light Appliance - Electricity Existing 1</v>
      </c>
      <c r="F373" s="149" t="s">
        <v>44</v>
      </c>
      <c r="G373" s="146" t="s">
        <v>46</v>
      </c>
      <c r="H373" s="146"/>
      <c r="I373" s="146"/>
      <c r="J373" s="146"/>
      <c r="K373" s="196"/>
    </row>
    <row r="374" spans="1:13">
      <c r="B374" s="317" t="str">
        <f t="shared" si="20"/>
        <v/>
      </c>
      <c r="C374" s="146"/>
      <c r="D374" s="144" t="str">
        <f>M346 &amp; P$41 &amp; R$41 &amp; VLOOKUP(O$41, $O$50:$P$74,2,FALSE) &amp; "E1"</f>
        <v>INDWDEMMELCE1</v>
      </c>
      <c r="E374" s="144" t="str">
        <f>+M343 &amp; " " &amp; S$41 &amp; " - " &amp; T$41 &amp; " " &amp; U$41</f>
        <v>Wood products industry Electricity Motors - Electricity Existing 1</v>
      </c>
      <c r="F374" s="139" t="s">
        <v>44</v>
      </c>
      <c r="G374" s="139" t="s">
        <v>46</v>
      </c>
      <c r="H374" s="139"/>
      <c r="I374" s="139"/>
      <c r="J374" s="139"/>
      <c r="K374" s="196"/>
    </row>
    <row r="375" spans="1:13">
      <c r="A375" s="236"/>
      <c r="B375" s="317" t="str">
        <f t="shared" si="20"/>
        <v/>
      </c>
      <c r="C375" s="146"/>
      <c r="D375" s="237" t="str">
        <f>M346 &amp; P$42 &amp; R$42 &amp; VLOOKUP(O$42, $O$50:$P$74,2,FALSE) &amp; "E1"</f>
        <v>INDWDTFTDSLE1</v>
      </c>
      <c r="E375" s="146" t="str">
        <f>+M343 &amp; " " &amp; S$42 &amp; " - " &amp; T$42 &amp; " " &amp; U$42</f>
        <v>Wood products industry Tractors, Trucks, Fishing boats, Forest machines - Diesel Existing 1</v>
      </c>
      <c r="F375" s="146" t="s">
        <v>44</v>
      </c>
      <c r="G375" s="146" t="s">
        <v>46</v>
      </c>
      <c r="H375" s="146"/>
      <c r="I375" s="146"/>
      <c r="J375" s="146"/>
      <c r="K375" s="196"/>
    </row>
    <row r="376" spans="1:13">
      <c r="A376" s="236"/>
      <c r="B376" s="317" t="str">
        <f t="shared" si="20"/>
        <v/>
      </c>
      <c r="C376" s="146"/>
      <c r="D376" s="237" t="str">
        <f>M346&amp;P$43&amp;R$43&amp;VLOOKUP(O$43,$O$50:$P$74,2,FALSE)&amp;"E1"</f>
        <v>INDWDFLTLPGE1</v>
      </c>
      <c r="E376" s="146" t="str">
        <f>+M343 &amp; " " &amp; S$43 &amp; " - " &amp; T$43 &amp; " " &amp; U$43</f>
        <v>Wood products industry Forklifts - LPG Existing 1</v>
      </c>
      <c r="F376" s="146" t="s">
        <v>44</v>
      </c>
      <c r="G376" s="146" t="s">
        <v>46</v>
      </c>
      <c r="H376" s="146"/>
      <c r="I376" s="146"/>
      <c r="J376" s="146"/>
      <c r="K376" s="196"/>
    </row>
    <row r="377" spans="1:13" ht="15">
      <c r="A377" s="34"/>
      <c r="B377" s="142" t="s">
        <v>25</v>
      </c>
      <c r="C377" s="256"/>
      <c r="D377" s="175" t="str">
        <f>M383 &amp; P$7 &amp; R$7 &amp; VLOOKUP(O$7, $O$50:$P$74,2,FALSE) &amp; "E1"</f>
        <v>INDLDPHBNGAE1</v>
      </c>
      <c r="E377" s="141" t="str">
        <f>+M380 &amp; " " &amp; S$7 &amp; " - " &amp; T$7 &amp; " " &amp; U$7</f>
        <v>Textile &amp; Leather Heat Medium Temp. Boiler - Nat. Gas Existing 1</v>
      </c>
      <c r="F377" s="142" t="s">
        <v>44</v>
      </c>
      <c r="G377" s="142" t="s">
        <v>46</v>
      </c>
      <c r="H377" s="142"/>
      <c r="I377" s="257"/>
      <c r="J377" s="142"/>
      <c r="K377" s="196"/>
      <c r="L377" s="62" t="s">
        <v>196</v>
      </c>
      <c r="M377" s="131">
        <f>+M340+1</f>
        <v>11</v>
      </c>
    </row>
    <row r="378" spans="1:13">
      <c r="B378" s="317" t="str">
        <f t="shared" ref="B378:B413" si="21">+IF(ISBLANK(D378),"*","")</f>
        <v/>
      </c>
      <c r="C378" s="136"/>
      <c r="D378" s="146" t="str">
        <f>M383 &amp; P$8 &amp; R$8 &amp; VLOOKUP(O$8, $O$50:$P$74,2,FALSE) &amp; "E1"</f>
        <v>INDLDPHBCOAE1</v>
      </c>
      <c r="E378" s="143" t="str">
        <f>+M380 &amp; " " &amp; S$8 &amp; " - " &amp; T$8 &amp; " " &amp; U$8</f>
        <v>Textile &amp; Leather Heat Medium Temp. Boiler - Coal Existing 1</v>
      </c>
      <c r="F378" s="136" t="s">
        <v>44</v>
      </c>
      <c r="G378" s="136" t="s">
        <v>46</v>
      </c>
      <c r="H378" s="136"/>
      <c r="I378" s="133"/>
      <c r="J378" s="136"/>
      <c r="K378" s="196"/>
      <c r="L378" s="25" t="s">
        <v>130</v>
      </c>
    </row>
    <row r="379" spans="1:13">
      <c r="B379" s="317" t="str">
        <f t="shared" si="21"/>
        <v/>
      </c>
      <c r="C379" s="136"/>
      <c r="D379" s="146" t="str">
        <f>M383 &amp; P$9 &amp; R$9 &amp; VLOOKUP(O$9, $O$50:$P$74,2,FALSE) &amp; "E1"</f>
        <v>INDLDPHBDSLE1</v>
      </c>
      <c r="E379" s="143" t="str">
        <f>+M380 &amp; " " &amp; S$9 &amp; " - " &amp; T$9 &amp; " " &amp; U$9</f>
        <v>Textile &amp; Leather Heat Medium Temp. Boiler - Diesel Existing 1</v>
      </c>
      <c r="F379" s="136" t="s">
        <v>44</v>
      </c>
      <c r="G379" s="136" t="s">
        <v>46</v>
      </c>
      <c r="H379" s="136"/>
      <c r="I379" s="136"/>
      <c r="J379" s="136"/>
      <c r="K379" s="196"/>
      <c r="L379" s="62" t="s">
        <v>198</v>
      </c>
      <c r="M379" s="64" t="s">
        <v>135</v>
      </c>
    </row>
    <row r="380" spans="1:13">
      <c r="B380" s="317" t="str">
        <f t="shared" si="21"/>
        <v/>
      </c>
      <c r="C380" s="136"/>
      <c r="D380" s="146" t="str">
        <f>M383 &amp; P$10 &amp; R$10 &amp; VLOOKUP(O$10, $O$50:$P$74,2,FALSE) &amp; "E1"</f>
        <v>INDLDPHBWPEE1</v>
      </c>
      <c r="E380" s="143" t="str">
        <f>+M380 &amp; " " &amp; S$10 &amp; " - " &amp; T$10 &amp; " " &amp; U$10</f>
        <v>Textile &amp; Leather Heat Medium Temp. Boiler - Wood Pellets Existing 1</v>
      </c>
      <c r="F380" s="136" t="s">
        <v>44</v>
      </c>
      <c r="G380" s="136" t="s">
        <v>46</v>
      </c>
      <c r="H380" s="136"/>
      <c r="I380" s="136"/>
      <c r="J380" s="136"/>
      <c r="K380" s="196"/>
      <c r="L380" s="62" t="s">
        <v>201</v>
      </c>
      <c r="M380" s="70" t="str">
        <f>+INDEX(Commodities!$X$6:$X$17,M377)</f>
        <v>Textile &amp; Leather</v>
      </c>
    </row>
    <row r="381" spans="1:13">
      <c r="B381" s="317" t="str">
        <f t="shared" si="21"/>
        <v>*</v>
      </c>
      <c r="C381" s="136"/>
      <c r="D381" s="146"/>
      <c r="E381" s="143"/>
      <c r="F381" s="136"/>
      <c r="G381" s="136"/>
      <c r="H381" s="136"/>
      <c r="I381" s="136"/>
      <c r="J381" s="136"/>
      <c r="K381" s="196"/>
      <c r="L381" s="62" t="s">
        <v>130</v>
      </c>
      <c r="M381" s="70" t="str">
        <f>+INDEX(Commodities!$Y$6:$Y$17,M377)</f>
        <v>011 Textile and leather</v>
      </c>
    </row>
    <row r="382" spans="1:13">
      <c r="B382" s="317" t="str">
        <f t="shared" si="21"/>
        <v/>
      </c>
      <c r="C382" s="136"/>
      <c r="D382" s="146" t="str">
        <f>M383 &amp; P$12 &amp; R$12 &amp; VLOOKUP(O$12, $O$50:$P$74,2,FALSE) &amp; "E1"</f>
        <v>INDLDPHBBGAE1</v>
      </c>
      <c r="E382" s="143" t="str">
        <f>+M380 &amp; " " &amp; S$12 &amp; " - " &amp; T$12 &amp; " " &amp; U$12</f>
        <v>Textile &amp; Leather Heat Medium Temp. Boiler - Biogas Existing 1</v>
      </c>
      <c r="F382" s="136" t="s">
        <v>44</v>
      </c>
      <c r="G382" s="136" t="s">
        <v>46</v>
      </c>
      <c r="H382" s="136"/>
      <c r="I382" s="136"/>
      <c r="J382" s="136"/>
      <c r="K382" s="196"/>
      <c r="L382" s="62" t="s">
        <v>197</v>
      </c>
      <c r="M382" s="70" t="str">
        <f>+INDEX(Commodities!$U$6:$U$17,M377)</f>
        <v>IL</v>
      </c>
    </row>
    <row r="383" spans="1:13">
      <c r="B383" s="317" t="str">
        <f t="shared" si="21"/>
        <v/>
      </c>
      <c r="C383" s="136"/>
      <c r="D383" s="146" t="str">
        <f>M383 &amp; P$13 &amp; R$13 &amp; VLOOKUP(O$13, $O$50:$P$74,2,FALSE) &amp; "E1"</f>
        <v>INDLDPHBHFOE1</v>
      </c>
      <c r="E383" s="143" t="str">
        <f>+M380 &amp; " " &amp; S$13 &amp; " - " &amp; T$13 &amp; " " &amp; U$13</f>
        <v>Textile &amp; Leather Heat Medium Temp. Boiler - Heavy Fuel Oil Existing 1</v>
      </c>
      <c r="F383" s="136" t="s">
        <v>44</v>
      </c>
      <c r="G383" s="136" t="s">
        <v>46</v>
      </c>
      <c r="H383" s="136"/>
      <c r="I383" s="136"/>
      <c r="J383" s="136"/>
      <c r="K383" s="196"/>
      <c r="L383" s="62" t="s">
        <v>197</v>
      </c>
      <c r="M383" s="70" t="str">
        <f>+INDEX(Commodities!$W$6:$W$17,M377)</f>
        <v>INDL</v>
      </c>
    </row>
    <row r="384" spans="1:13">
      <c r="B384" s="317" t="str">
        <f t="shared" si="21"/>
        <v/>
      </c>
      <c r="C384" s="136"/>
      <c r="D384" s="146" t="str">
        <f>M383 &amp; P$14 &amp; R$14 &amp; VLOOKUP(O$14, $O$50:$P$74,2,FALSE) &amp; "E1"</f>
        <v>INDLDPHBLPGE1</v>
      </c>
      <c r="E384" s="143" t="str">
        <f>+M380 &amp; " " &amp; S$14 &amp; " - " &amp; T$14 &amp; " " &amp; U$14</f>
        <v>Textile &amp; Leather Heat Medium Temp. Boiler - Liquified Petroleum Gas Existing 1</v>
      </c>
      <c r="F384" s="136" t="s">
        <v>44</v>
      </c>
      <c r="G384" s="136" t="s">
        <v>46</v>
      </c>
      <c r="H384" s="136"/>
      <c r="I384" s="136"/>
      <c r="J384" s="136"/>
      <c r="K384" s="196"/>
    </row>
    <row r="385" spans="2:11">
      <c r="B385" s="317" t="str">
        <f t="shared" si="21"/>
        <v/>
      </c>
      <c r="C385" s="136"/>
      <c r="D385" s="146" t="str">
        <f>M383 &amp; P$15 &amp; R$15 &amp; VLOOKUP(O$15, $O$50:$P$74,2,FALSE) &amp; "E1"</f>
        <v>INDLDPHBWSTE1</v>
      </c>
      <c r="E385" s="143" t="str">
        <f>+M380 &amp; " " &amp; S$15 &amp; " - " &amp; T$15 &amp; " " &amp; U$15</f>
        <v>Textile &amp; Leather Heat Medium Temp. Boiler - Waste Existing 1</v>
      </c>
      <c r="F385" s="136" t="s">
        <v>44</v>
      </c>
      <c r="G385" s="136" t="s">
        <v>46</v>
      </c>
      <c r="H385" s="136"/>
      <c r="I385" s="136"/>
      <c r="J385" s="136"/>
      <c r="K385" s="196"/>
    </row>
    <row r="386" spans="2:11">
      <c r="B386" s="317" t="str">
        <f t="shared" si="21"/>
        <v/>
      </c>
      <c r="C386" s="136"/>
      <c r="D386" s="146" t="str">
        <f>M383 &amp; P$16 &amp; R$16 &amp; VLOOKUP(O$16, $O$50:$P$74,2,FALSE) &amp; "E1"</f>
        <v>INDLDPHBHETE1</v>
      </c>
      <c r="E386" s="143" t="str">
        <f>+M380 &amp; " " &amp; S$16 &amp; " - " &amp; T$16 &amp; " " &amp; U$16</f>
        <v>Textile &amp; Leather Heat Medium Temp. Boiler - Dist. Heat Existing 1</v>
      </c>
      <c r="F386" s="136" t="s">
        <v>44</v>
      </c>
      <c r="G386" s="136" t="s">
        <v>46</v>
      </c>
      <c r="H386" s="136"/>
      <c r="I386" s="136"/>
      <c r="J386" s="136"/>
      <c r="K386" s="196"/>
    </row>
    <row r="387" spans="2:11">
      <c r="B387" s="317" t="str">
        <f t="shared" si="21"/>
        <v/>
      </c>
      <c r="C387" s="136"/>
      <c r="D387" s="146" t="str">
        <f>M383 &amp; P$17 &amp; R$17 &amp; VLOOKUP(O$17, $O$50:$P$74,2,FALSE) &amp; "E2"</f>
        <v>INDLDPHBHETE2</v>
      </c>
      <c r="E387" s="143" t="str">
        <f>+M380 &amp; " " &amp; S$17 &amp; " - " &amp; T$17 &amp; " " &amp; U$17</f>
        <v>Textile &amp; Leather Heat Medium Temp. Boiler - Dist. Heat Existing 2</v>
      </c>
      <c r="F387" s="317" t="s">
        <v>44</v>
      </c>
      <c r="G387" s="317" t="s">
        <v>46</v>
      </c>
      <c r="H387" s="136"/>
      <c r="I387" s="136"/>
      <c r="J387" s="136"/>
      <c r="K387" s="196"/>
    </row>
    <row r="388" spans="2:11">
      <c r="B388" s="317" t="str">
        <f t="shared" si="21"/>
        <v/>
      </c>
      <c r="C388" s="136"/>
      <c r="D388" s="144" t="str">
        <f>M383 &amp; P$18 &amp; R$18 &amp; VLOOKUP(O$18, $O$50:$P$74,2,FALSE) &amp; "E1"</f>
        <v>INDLDPHBELCE1</v>
      </c>
      <c r="E388" s="144" t="str">
        <f>+M380 &amp; " " &amp; S$18 &amp; " - " &amp; T$18 &amp; " " &amp; U$18</f>
        <v>Textile &amp; Leather Heat Medium Temp. Boiler - Electricity Existing 1</v>
      </c>
      <c r="F388" s="139" t="s">
        <v>44</v>
      </c>
      <c r="G388" s="139" t="s">
        <v>46</v>
      </c>
      <c r="H388" s="139"/>
      <c r="I388" s="139"/>
      <c r="J388" s="139"/>
      <c r="K388" s="196"/>
    </row>
    <row r="389" spans="2:11">
      <c r="B389" s="317" t="str">
        <f t="shared" si="21"/>
        <v/>
      </c>
      <c r="C389" s="136"/>
      <c r="D389" s="143" t="str">
        <f>M383 &amp; P$19 &amp; R$19 &amp; VLOOKUP(O$19, $O$50:$P$74,2,FALSE) &amp; "E1"</f>
        <v>INDLDCOBNGAE1</v>
      </c>
      <c r="E389" s="143" t="str">
        <f>+M380 &amp; " " &amp; S$19 &amp; " - " &amp; T$19 &amp; " " &amp; U$19</f>
        <v>Textile &amp; Leather Heat High Temp. Boiler - Nat. Gas Existing 1</v>
      </c>
      <c r="F389" s="136" t="s">
        <v>44</v>
      </c>
      <c r="G389" s="136" t="s">
        <v>46</v>
      </c>
      <c r="H389" s="136"/>
      <c r="I389" s="136"/>
      <c r="J389" s="136"/>
      <c r="K389" s="196"/>
    </row>
    <row r="390" spans="2:11">
      <c r="B390" s="317" t="str">
        <f t="shared" si="21"/>
        <v/>
      </c>
      <c r="C390" s="136"/>
      <c r="D390" s="143" t="str">
        <f>M383 &amp; P$20 &amp; R$20 &amp; VLOOKUP(O$20, $O$50:$P$74,2,FALSE) &amp; "E1"</f>
        <v>INDLDCOBCOAE1</v>
      </c>
      <c r="E390" s="143" t="str">
        <f>+M380 &amp; " " &amp; S$20 &amp; " - " &amp; T$20 &amp; " " &amp; U$20</f>
        <v>Textile &amp; Leather Heat High Temp. Boiler - Coal Existing 1</v>
      </c>
      <c r="F390" s="136" t="s">
        <v>44</v>
      </c>
      <c r="G390" s="136" t="s">
        <v>46</v>
      </c>
      <c r="H390" s="136"/>
      <c r="I390" s="136"/>
      <c r="J390" s="136"/>
      <c r="K390" s="196"/>
    </row>
    <row r="391" spans="2:11">
      <c r="B391" s="317" t="str">
        <f t="shared" si="21"/>
        <v/>
      </c>
      <c r="C391" s="136"/>
      <c r="D391" s="143" t="str">
        <f>M383 &amp; P$21 &amp; R$21 &amp; VLOOKUP(O$21, $O$50:$P$74,2,FALSE) &amp; "E1"</f>
        <v>INDLDCOBDSLE1</v>
      </c>
      <c r="E391" s="143" t="str">
        <f>+M380 &amp; " " &amp; S$21 &amp; " - " &amp; T$21 &amp; " " &amp; U$21</f>
        <v>Textile &amp; Leather Heat High Temp. Boiler - Diesel Existing 1</v>
      </c>
      <c r="F391" s="136" t="s">
        <v>44</v>
      </c>
      <c r="G391" s="136" t="s">
        <v>46</v>
      </c>
      <c r="H391" s="136"/>
      <c r="I391" s="136"/>
      <c r="J391" s="136"/>
      <c r="K391" s="196"/>
    </row>
    <row r="392" spans="2:11">
      <c r="B392" s="317" t="str">
        <f t="shared" si="21"/>
        <v/>
      </c>
      <c r="C392" s="136"/>
      <c r="D392" s="143" t="str">
        <f>M383 &amp; P$22 &amp; R$22 &amp; VLOOKUP(O$22, $O$50:$P$74,2,FALSE) &amp; "E1"</f>
        <v>INDLDCOBWPEE1</v>
      </c>
      <c r="E392" s="143" t="str">
        <f>+M380 &amp; " " &amp; S$22 &amp; " - " &amp; T$22 &amp; " " &amp; U$22</f>
        <v>Textile &amp; Leather Heat High Temp. Boiler - Wood Pellets Existing 1</v>
      </c>
      <c r="F392" s="136" t="s">
        <v>44</v>
      </c>
      <c r="G392" s="136" t="s">
        <v>46</v>
      </c>
      <c r="H392" s="136"/>
      <c r="I392" s="136"/>
      <c r="J392" s="136"/>
      <c r="K392" s="196"/>
    </row>
    <row r="393" spans="2:11">
      <c r="B393" s="317" t="str">
        <f t="shared" si="21"/>
        <v>*</v>
      </c>
      <c r="C393" s="136"/>
      <c r="D393" s="143"/>
      <c r="E393" s="143"/>
      <c r="F393" s="136"/>
      <c r="G393" s="136"/>
      <c r="H393" s="136"/>
      <c r="I393" s="136"/>
      <c r="J393" s="136"/>
      <c r="K393" s="196"/>
    </row>
    <row r="394" spans="2:11">
      <c r="B394" s="317" t="str">
        <f t="shared" si="21"/>
        <v/>
      </c>
      <c r="C394" s="136"/>
      <c r="D394" s="143" t="str">
        <f>M383 &amp; P$24 &amp; R$24 &amp; VLOOKUP(O$24, $O$50:$P$74,2,FALSE) &amp; "E1"</f>
        <v>INDLDCOBHFOE1</v>
      </c>
      <c r="E394" s="143" t="str">
        <f>+M380 &amp; " " &amp; S$24 &amp; " - " &amp; T$24 &amp; " " &amp; U$24</f>
        <v>Textile &amp; Leather Heat High Temp. Boiler - Heavy Fuel Oil Existing 1</v>
      </c>
      <c r="F394" s="136" t="s">
        <v>44</v>
      </c>
      <c r="G394" s="136" t="s">
        <v>46</v>
      </c>
      <c r="H394" s="136"/>
      <c r="I394" s="136"/>
      <c r="J394" s="136"/>
      <c r="K394" s="196"/>
    </row>
    <row r="395" spans="2:11">
      <c r="B395" s="317" t="str">
        <f t="shared" si="21"/>
        <v/>
      </c>
      <c r="C395" s="136"/>
      <c r="D395" s="143" t="str">
        <f>M383 &amp; P$25 &amp; R$25 &amp; VLOOKUP(O$25, $O$50:$P$74,2,FALSE) &amp; "E1"</f>
        <v>INDLDCOBLPGE1</v>
      </c>
      <c r="E395" s="143" t="str">
        <f>+M380 &amp; " " &amp; S$25 &amp; " - " &amp; T$25 &amp; " " &amp; U$25</f>
        <v>Textile &amp; Leather Heat High Temp. Boiler - Liquified Petroleum Gas Existing 1</v>
      </c>
      <c r="F395" s="136" t="s">
        <v>44</v>
      </c>
      <c r="G395" s="136" t="s">
        <v>46</v>
      </c>
      <c r="H395" s="136"/>
      <c r="I395" s="136"/>
      <c r="J395" s="136"/>
      <c r="K395" s="196"/>
    </row>
    <row r="396" spans="2:11">
      <c r="B396" s="317" t="str">
        <f t="shared" si="21"/>
        <v/>
      </c>
      <c r="C396" s="136"/>
      <c r="D396" s="143" t="str">
        <f>M383 &amp; P$26 &amp; R$26 &amp; VLOOKUP(O$26, $O$50:$P$74,2,FALSE) &amp; "E1"</f>
        <v>INDLDCOBWSTE1</v>
      </c>
      <c r="E396" s="143" t="str">
        <f>+M380 &amp; " " &amp; S$26 &amp; " - " &amp; T$26 &amp; " " &amp; U$26</f>
        <v>Textile &amp; Leather Heat High Temp. Boiler - Waste Existing 1</v>
      </c>
      <c r="F396" s="136" t="s">
        <v>44</v>
      </c>
      <c r="G396" s="136" t="s">
        <v>46</v>
      </c>
      <c r="H396" s="136"/>
      <c r="I396" s="136"/>
      <c r="J396" s="136"/>
      <c r="K396" s="196"/>
    </row>
    <row r="397" spans="2:11">
      <c r="B397" s="317" t="str">
        <f t="shared" si="21"/>
        <v/>
      </c>
      <c r="C397" s="136"/>
      <c r="D397" s="144" t="str">
        <f>M383 &amp; P$27 &amp; R$27 &amp; VLOOKUP(O$27, $O$50:$P$74,2,FALSE) &amp; "E1"</f>
        <v>INDLDCOBELCE1</v>
      </c>
      <c r="E397" s="144" t="str">
        <f>+M380 &amp; " " &amp; S$27 &amp; " - " &amp; T$27 &amp; " " &amp; U$27</f>
        <v>Textile &amp; Leather Heat High Temp. Boiler - Electricity Existing 1</v>
      </c>
      <c r="F397" s="139" t="s">
        <v>44</v>
      </c>
      <c r="G397" s="139" t="s">
        <v>46</v>
      </c>
      <c r="H397" s="139"/>
      <c r="I397" s="139"/>
      <c r="J397" s="139"/>
      <c r="K397" s="196"/>
    </row>
    <row r="398" spans="2:11">
      <c r="B398" s="317" t="str">
        <f t="shared" si="21"/>
        <v/>
      </c>
      <c r="C398" s="136"/>
      <c r="D398" s="146" t="str">
        <f>M383 &amp; P$28 &amp; R$28 &amp; VLOOKUP(O$28, $O$50:$P$74,2,FALSE) &amp; "E1"</f>
        <v>INDLDSHBNGAE1</v>
      </c>
      <c r="E398" s="143" t="str">
        <f>+M380 &amp; " " &amp; S$28 &amp; " - " &amp; T$28 &amp; " " &amp; U$28</f>
        <v>Textile &amp; Leather Heat Room Boiler - Nat. Gas Existing 1</v>
      </c>
      <c r="F398" s="136" t="s">
        <v>44</v>
      </c>
      <c r="G398" s="136" t="s">
        <v>46</v>
      </c>
      <c r="H398" s="136"/>
      <c r="I398" s="136"/>
      <c r="J398" s="136"/>
      <c r="K398" s="196"/>
    </row>
    <row r="399" spans="2:11">
      <c r="B399" s="317" t="str">
        <f t="shared" si="21"/>
        <v/>
      </c>
      <c r="C399" s="136"/>
      <c r="D399" s="146" t="str">
        <f>M383 &amp; P$29 &amp; R$29 &amp; VLOOKUP(O$29, $O$50:$P$74,2,FALSE) &amp; "E1"</f>
        <v>INDLDSHBCOAE1</v>
      </c>
      <c r="E399" s="143" t="str">
        <f>+M380 &amp; " " &amp; S$29 &amp; " - " &amp; T$29 &amp; " " &amp; U$29</f>
        <v>Textile &amp; Leather Heat Room Boiler - Coal Existing 1</v>
      </c>
      <c r="F399" s="136" t="s">
        <v>44</v>
      </c>
      <c r="G399" s="136" t="s">
        <v>46</v>
      </c>
      <c r="H399" s="136"/>
      <c r="I399" s="136"/>
      <c r="J399" s="136"/>
      <c r="K399" s="196"/>
    </row>
    <row r="400" spans="2:11">
      <c r="B400" s="317" t="str">
        <f t="shared" si="21"/>
        <v/>
      </c>
      <c r="C400" s="136"/>
      <c r="D400" s="146" t="str">
        <f>M383 &amp; P$30 &amp; R$30 &amp; VLOOKUP(O$30, $O$50:$P$74,2,FALSE) &amp; "E1"</f>
        <v>INDLDSHBDSLE1</v>
      </c>
      <c r="E400" s="143" t="str">
        <f>+M380 &amp; " " &amp; S$30 &amp; " - " &amp; T$30 &amp; " " &amp; U$30</f>
        <v>Textile &amp; Leather Heat Room Boiler - Diesel Existing 1</v>
      </c>
      <c r="F400" s="136" t="s">
        <v>44</v>
      </c>
      <c r="G400" s="136" t="s">
        <v>46</v>
      </c>
      <c r="H400" s="136"/>
      <c r="I400" s="136"/>
      <c r="J400" s="136"/>
      <c r="K400" s="196"/>
    </row>
    <row r="401" spans="1:13">
      <c r="B401" s="317" t="str">
        <f t="shared" si="21"/>
        <v/>
      </c>
      <c r="C401" s="136"/>
      <c r="D401" s="146" t="str">
        <f>M383 &amp; P$31 &amp; R$31 &amp; VLOOKUP(O$31, $O$50:$P$74,2,FALSE) &amp; "E1"</f>
        <v>INDLDSHBWPEE1</v>
      </c>
      <c r="E401" s="143" t="str">
        <f>+M380 &amp; " " &amp; S$31 &amp; " - " &amp; T$31 &amp; " " &amp; U$31</f>
        <v>Textile &amp; Leather Heat Room Boiler - Wood Pellets Existing 1</v>
      </c>
      <c r="F401" s="136" t="s">
        <v>44</v>
      </c>
      <c r="G401" s="136" t="s">
        <v>46</v>
      </c>
      <c r="H401" s="136"/>
      <c r="I401" s="136"/>
      <c r="J401" s="136"/>
      <c r="K401" s="196"/>
    </row>
    <row r="402" spans="1:13">
      <c r="B402" s="317" t="str">
        <f t="shared" si="21"/>
        <v>*</v>
      </c>
      <c r="C402" s="136"/>
      <c r="D402" s="146"/>
      <c r="E402" s="143"/>
      <c r="F402" s="136"/>
      <c r="G402" s="136"/>
      <c r="H402" s="136"/>
      <c r="I402" s="136"/>
      <c r="J402" s="136"/>
      <c r="K402" s="196"/>
    </row>
    <row r="403" spans="1:13">
      <c r="B403" s="317" t="str">
        <f t="shared" si="21"/>
        <v/>
      </c>
      <c r="C403" s="136"/>
      <c r="D403" s="146" t="str">
        <f>M383 &amp; P$33 &amp; R$33 &amp; VLOOKUP(O$33, $O$50:$P$74,2,FALSE) &amp; "E1"</f>
        <v>INDLDSHBBGAE1</v>
      </c>
      <c r="E403" s="143" t="str">
        <f>+M380 &amp; " " &amp; S$33 &amp; " - " &amp; T$33 &amp; " " &amp; U$33</f>
        <v>Textile &amp; Leather Heat Room Boiler - Biogas Existing 1</v>
      </c>
      <c r="F403" s="136" t="s">
        <v>44</v>
      </c>
      <c r="G403" s="136" t="s">
        <v>46</v>
      </c>
      <c r="H403" s="136"/>
      <c r="I403" s="136"/>
      <c r="J403" s="136"/>
      <c r="K403" s="196"/>
    </row>
    <row r="404" spans="1:13">
      <c r="B404" s="317" t="str">
        <f t="shared" si="21"/>
        <v/>
      </c>
      <c r="C404" s="136"/>
      <c r="D404" s="146" t="str">
        <f>M383 &amp; P$34 &amp; R$34 &amp; VLOOKUP(O$34, $O$50:$P$74,2,FALSE) &amp; "E1"</f>
        <v>INDLDSHBHFOE1</v>
      </c>
      <c r="E404" s="143" t="str">
        <f>+M380 &amp; " " &amp; S$34 &amp; " - " &amp; T$34 &amp; " " &amp; U$34</f>
        <v>Textile &amp; Leather Heat Room Boiler - Heavy Fuel Oil Existing 1</v>
      </c>
      <c r="F404" s="136" t="s">
        <v>44</v>
      </c>
      <c r="G404" s="136" t="s">
        <v>46</v>
      </c>
      <c r="H404" s="136"/>
      <c r="I404" s="136"/>
      <c r="J404" s="136"/>
      <c r="K404" s="196"/>
    </row>
    <row r="405" spans="1:13">
      <c r="B405" s="317" t="str">
        <f t="shared" si="21"/>
        <v/>
      </c>
      <c r="C405" s="136"/>
      <c r="D405" s="146" t="str">
        <f>M383 &amp; P$35 &amp; R$35 &amp; VLOOKUP(O$35, $O$50:$P$74,2,FALSE) &amp; "E1"</f>
        <v>INDLDSHBLPGE1</v>
      </c>
      <c r="E405" s="143" t="str">
        <f>+M380 &amp; " " &amp; S$35 &amp; " - " &amp; T$35 &amp; " " &amp; U$35</f>
        <v>Textile &amp; Leather Heat Room Boiler - Liquified Petroleum Gas Existing 1</v>
      </c>
      <c r="F405" s="136" t="s">
        <v>44</v>
      </c>
      <c r="G405" s="136" t="s">
        <v>46</v>
      </c>
      <c r="H405" s="136"/>
      <c r="I405" s="136"/>
      <c r="J405" s="136"/>
      <c r="K405" s="196"/>
    </row>
    <row r="406" spans="1:13">
      <c r="B406" s="317" t="str">
        <f t="shared" si="21"/>
        <v/>
      </c>
      <c r="C406" s="136"/>
      <c r="D406" s="146" t="str">
        <f>M383 &amp; P$36 &amp; R$36 &amp; VLOOKUP(O$36, $O$50:$P$74,2,FALSE) &amp; "E1"</f>
        <v>INDLDSHBWSTE1</v>
      </c>
      <c r="E406" s="143" t="str">
        <f>+M380 &amp; " " &amp; S$36 &amp; " - " &amp; T$36 &amp; " " &amp; U$36</f>
        <v>Textile &amp; Leather Heat Room Boiler - Waste Existing 1</v>
      </c>
      <c r="F406" s="136" t="s">
        <v>44</v>
      </c>
      <c r="G406" s="136" t="s">
        <v>46</v>
      </c>
      <c r="H406" s="136"/>
      <c r="I406" s="136"/>
      <c r="J406" s="136"/>
      <c r="K406" s="196"/>
    </row>
    <row r="407" spans="1:13">
      <c r="B407" s="317" t="str">
        <f t="shared" si="21"/>
        <v/>
      </c>
      <c r="C407" s="136"/>
      <c r="D407" s="146" t="str">
        <f>M383 &amp; P$37 &amp; R$37 &amp; VLOOKUP(O$37, $O$50:$P$74,2,FALSE) &amp; "E1"</f>
        <v>INDLDSHBHETE1</v>
      </c>
      <c r="E407" s="143" t="str">
        <f>+M380 &amp; " " &amp; S$37 &amp; " - " &amp; T$37 &amp; " " &amp; U$37</f>
        <v>Textile &amp; Leather Heat Room Boiler - Dist. Heat Existing 1</v>
      </c>
      <c r="F407" s="136" t="s">
        <v>44</v>
      </c>
      <c r="G407" s="136" t="s">
        <v>46</v>
      </c>
      <c r="H407" s="136"/>
      <c r="I407" s="136"/>
      <c r="J407" s="136"/>
      <c r="K407" s="196"/>
    </row>
    <row r="408" spans="1:13">
      <c r="B408" s="317" t="str">
        <f t="shared" si="21"/>
        <v/>
      </c>
      <c r="C408" s="146"/>
      <c r="D408" s="146" t="str">
        <f>M383 &amp; P$38 &amp; R$38 &amp; VLOOKUP(O$38, $O$50:$P$74,2,FALSE) &amp; "E2"</f>
        <v>INDLDSHBHETE2</v>
      </c>
      <c r="E408" s="143" t="str">
        <f>+M380 &amp; " " &amp; S$38 &amp; " - " &amp; T$38 &amp; " " &amp; U$38</f>
        <v>Textile &amp; Leather Heat Room Boiler - Dist. Heat Existing 2</v>
      </c>
      <c r="F408" s="317" t="s">
        <v>44</v>
      </c>
      <c r="G408" s="317" t="s">
        <v>46</v>
      </c>
      <c r="H408" s="146"/>
      <c r="I408" s="146"/>
      <c r="J408" s="146"/>
      <c r="K408" s="196"/>
    </row>
    <row r="409" spans="1:13">
      <c r="B409" s="317" t="str">
        <f t="shared" si="21"/>
        <v/>
      </c>
      <c r="C409" s="146"/>
      <c r="D409" s="144" t="str">
        <f>M383 &amp; P$39 &amp; R$39 &amp; VLOOKUP(O$39, $O$50:$P$74,2,FALSE) &amp; "E1"</f>
        <v>INDLDSHBELCE1</v>
      </c>
      <c r="E409" s="144" t="str">
        <f>+M380 &amp; " " &amp; S$39 &amp; " - " &amp; T$39 &amp; " " &amp; U$39</f>
        <v>Textile &amp; Leather Heat Room Boiler - Electricity Existing 1</v>
      </c>
      <c r="F409" s="139" t="s">
        <v>44</v>
      </c>
      <c r="G409" s="139" t="s">
        <v>46</v>
      </c>
      <c r="H409" s="139"/>
      <c r="I409" s="139"/>
      <c r="J409" s="139"/>
      <c r="K409" s="196"/>
    </row>
    <row r="410" spans="1:13">
      <c r="B410" s="317" t="str">
        <f t="shared" si="21"/>
        <v/>
      </c>
      <c r="C410" s="146"/>
      <c r="D410" s="146" t="str">
        <f>M383 &amp; P$40 &amp; R$40 &amp; VLOOKUP(O$40, $O$50:$P$74,2,FALSE) &amp; "E1"</f>
        <v>INDLDLAAELCE1</v>
      </c>
      <c r="E410" s="146" t="str">
        <f>+M380 &amp; " " &amp; S$40 &amp; " - " &amp; T$40 &amp; " " &amp; U$40</f>
        <v>Textile &amp; Leather Electricity Light Appliance - Electricity Existing 1</v>
      </c>
      <c r="F410" s="149" t="s">
        <v>44</v>
      </c>
      <c r="G410" s="146" t="s">
        <v>46</v>
      </c>
      <c r="H410" s="146"/>
      <c r="I410" s="146"/>
      <c r="J410" s="146"/>
      <c r="K410" s="196"/>
    </row>
    <row r="411" spans="1:13">
      <c r="B411" s="317" t="str">
        <f t="shared" si="21"/>
        <v/>
      </c>
      <c r="C411" s="146"/>
      <c r="D411" s="144" t="str">
        <f>M383 &amp; P$41 &amp; R$41 &amp; VLOOKUP(O$41, $O$50:$P$74,2,FALSE) &amp; "E1"</f>
        <v>INDLDEMMELCE1</v>
      </c>
      <c r="E411" s="144" t="str">
        <f>+M380 &amp; " " &amp; S$41 &amp; " - " &amp; T$41 &amp; " " &amp; U$41</f>
        <v>Textile &amp; Leather Electricity Motors - Electricity Existing 1</v>
      </c>
      <c r="F411" s="139" t="s">
        <v>44</v>
      </c>
      <c r="G411" s="139" t="s">
        <v>46</v>
      </c>
      <c r="H411" s="139"/>
      <c r="I411" s="139"/>
      <c r="J411" s="139"/>
      <c r="K411" s="196"/>
    </row>
    <row r="412" spans="1:13">
      <c r="A412" s="236"/>
      <c r="B412" s="317" t="str">
        <f t="shared" si="21"/>
        <v/>
      </c>
      <c r="C412" s="146"/>
      <c r="D412" s="237" t="str">
        <f>M383 &amp; P$42 &amp; R$42 &amp; VLOOKUP(O$42, $O$50:$P$74,2,FALSE) &amp; "E1"</f>
        <v>INDLDTFTDSLE1</v>
      </c>
      <c r="E412" s="146" t="str">
        <f>+M380 &amp; " " &amp; S$42 &amp; " - " &amp; T$42 &amp; " " &amp; U$42</f>
        <v>Textile &amp; Leather Tractors, Trucks, Fishing boats, Forest machines - Diesel Existing 1</v>
      </c>
      <c r="F412" s="146" t="s">
        <v>44</v>
      </c>
      <c r="G412" s="146" t="s">
        <v>46</v>
      </c>
      <c r="H412" s="146"/>
      <c r="I412" s="146"/>
      <c r="J412" s="146"/>
      <c r="K412" s="196"/>
    </row>
    <row r="413" spans="1:13">
      <c r="A413" s="236"/>
      <c r="B413" s="317" t="str">
        <f t="shared" si="21"/>
        <v/>
      </c>
      <c r="C413" s="146"/>
      <c r="D413" s="237" t="str">
        <f>M383&amp;P$43&amp;R$43&amp;VLOOKUP(O$43,$O$50:$P$74,2,FALSE)&amp;"E1"</f>
        <v>INDLDFLTLPGE1</v>
      </c>
      <c r="E413" s="146" t="str">
        <f>+M380 &amp; " " &amp; S$43 &amp; " - " &amp; T$43 &amp; " " &amp; U$43</f>
        <v>Textile &amp; Leather Forklifts - LPG Existing 1</v>
      </c>
      <c r="F413" s="146" t="s">
        <v>44</v>
      </c>
      <c r="G413" s="146" t="s">
        <v>46</v>
      </c>
      <c r="H413" s="146"/>
      <c r="I413" s="146"/>
      <c r="J413" s="146"/>
      <c r="K413" s="196"/>
    </row>
    <row r="414" spans="1:13" ht="15">
      <c r="A414" s="34"/>
      <c r="B414" s="142" t="s">
        <v>25</v>
      </c>
      <c r="C414" s="256"/>
      <c r="D414" s="175" t="str">
        <f>M420 &amp; P$7 &amp; R$7 &amp; VLOOKUP(O$7, $O$50:$P$74,2,FALSE) &amp; "E1"</f>
        <v>INDNDPHBNGAE1</v>
      </c>
      <c r="E414" s="141" t="str">
        <f>+M417 &amp; " " &amp; S$7 &amp; " - " &amp; T$7 &amp; " " &amp; U$7</f>
        <v>Construction Heat Medium Temp. Boiler - Nat. Gas Existing 1</v>
      </c>
      <c r="F414" s="142" t="s">
        <v>44</v>
      </c>
      <c r="G414" s="142" t="s">
        <v>46</v>
      </c>
      <c r="H414" s="142"/>
      <c r="I414" s="257"/>
      <c r="J414" s="142"/>
      <c r="K414" s="196"/>
      <c r="L414" s="62" t="s">
        <v>196</v>
      </c>
      <c r="M414" s="131">
        <f>+M377+1</f>
        <v>12</v>
      </c>
    </row>
    <row r="415" spans="1:13">
      <c r="B415" s="317" t="str">
        <f t="shared" ref="B415:B450" si="22">+IF(ISBLANK(D415),"*","")</f>
        <v/>
      </c>
      <c r="C415" s="136"/>
      <c r="D415" s="146" t="str">
        <f>M420 &amp; P$8 &amp; R$8 &amp; VLOOKUP(O$8, $O$50:$P$74,2,FALSE) &amp; "E1"</f>
        <v>INDNDPHBCOAE1</v>
      </c>
      <c r="E415" s="143" t="str">
        <f>+M417 &amp; " " &amp; S$8 &amp; " - " &amp; T$8 &amp; " " &amp; U$8</f>
        <v>Construction Heat Medium Temp. Boiler - Coal Existing 1</v>
      </c>
      <c r="F415" s="136" t="s">
        <v>44</v>
      </c>
      <c r="G415" s="136" t="s">
        <v>46</v>
      </c>
      <c r="H415" s="136"/>
      <c r="I415" s="133"/>
      <c r="J415" s="136"/>
      <c r="K415" s="196"/>
      <c r="L415" s="25" t="s">
        <v>130</v>
      </c>
    </row>
    <row r="416" spans="1:13">
      <c r="B416" s="317" t="str">
        <f t="shared" si="22"/>
        <v/>
      </c>
      <c r="C416" s="136"/>
      <c r="D416" s="146" t="str">
        <f>M420 &amp; P$9 &amp; R$9 &amp; VLOOKUP(O$9, $O$50:$P$74,2,FALSE) &amp; "E1"</f>
        <v>INDNDPHBDSLE1</v>
      </c>
      <c r="E416" s="143" t="str">
        <f>+M417 &amp; " " &amp; S$9 &amp; " - " &amp; T$9 &amp; " " &amp; U$9</f>
        <v>Construction Heat Medium Temp. Boiler - Diesel Existing 1</v>
      </c>
      <c r="F416" s="136" t="s">
        <v>44</v>
      </c>
      <c r="G416" s="136" t="s">
        <v>46</v>
      </c>
      <c r="H416" s="136"/>
      <c r="I416" s="136"/>
      <c r="J416" s="136"/>
      <c r="K416" s="196"/>
      <c r="L416" s="62" t="s">
        <v>198</v>
      </c>
      <c r="M416" s="64" t="s">
        <v>135</v>
      </c>
    </row>
    <row r="417" spans="2:13">
      <c r="B417" s="317" t="str">
        <f t="shared" si="22"/>
        <v/>
      </c>
      <c r="C417" s="136"/>
      <c r="D417" s="146" t="str">
        <f>M420 &amp; P$10 &amp; R$10 &amp; VLOOKUP(O$10, $O$50:$P$74,2,FALSE) &amp; "E1"</f>
        <v>INDNDPHBWPEE1</v>
      </c>
      <c r="E417" s="143" t="str">
        <f>+M417 &amp; " " &amp; S$10 &amp; " - " &amp; T$10 &amp; " " &amp; U$10</f>
        <v>Construction Heat Medium Temp. Boiler - Wood Pellets Existing 1</v>
      </c>
      <c r="F417" s="136" t="s">
        <v>44</v>
      </c>
      <c r="G417" s="136" t="s">
        <v>46</v>
      </c>
      <c r="H417" s="136"/>
      <c r="I417" s="136"/>
      <c r="J417" s="136"/>
      <c r="K417" s="196"/>
      <c r="L417" s="62" t="s">
        <v>201</v>
      </c>
      <c r="M417" s="70" t="str">
        <f>+INDEX(Commodities!$X$6:$X$17,M414)</f>
        <v>Construction</v>
      </c>
    </row>
    <row r="418" spans="2:13">
      <c r="B418" s="317" t="str">
        <f t="shared" si="22"/>
        <v>*</v>
      </c>
      <c r="C418" s="136"/>
      <c r="D418" s="146"/>
      <c r="E418" s="143"/>
      <c r="F418" s="136"/>
      <c r="G418" s="136"/>
      <c r="H418" s="136"/>
      <c r="I418" s="136"/>
      <c r="J418" s="136"/>
      <c r="K418" s="196"/>
      <c r="L418" s="62" t="s">
        <v>130</v>
      </c>
      <c r="M418" s="70" t="str">
        <f>+INDEX(Commodities!$Y$6:$Y$17,M414)</f>
        <v>012 Construction</v>
      </c>
    </row>
    <row r="419" spans="2:13">
      <c r="B419" s="317" t="str">
        <f t="shared" si="22"/>
        <v/>
      </c>
      <c r="C419" s="136"/>
      <c r="D419" s="146" t="str">
        <f>M420 &amp; P$12 &amp; R$12 &amp; VLOOKUP(O$12, $O$50:$P$74,2,FALSE) &amp; "E1"</f>
        <v>INDNDPHBBGAE1</v>
      </c>
      <c r="E419" s="143" t="str">
        <f>+M417 &amp; " " &amp; S$12 &amp; " - " &amp; T$12 &amp; " " &amp; U$12</f>
        <v>Construction Heat Medium Temp. Boiler - Biogas Existing 1</v>
      </c>
      <c r="F419" s="136" t="s">
        <v>44</v>
      </c>
      <c r="G419" s="136" t="s">
        <v>46</v>
      </c>
      <c r="H419" s="136"/>
      <c r="I419" s="136"/>
      <c r="J419" s="136"/>
      <c r="K419" s="196"/>
      <c r="L419" s="62" t="s">
        <v>197</v>
      </c>
      <c r="M419" s="70" t="str">
        <f>+INDEX(Commodities!$U$6:$U$17,M414)</f>
        <v>IN</v>
      </c>
    </row>
    <row r="420" spans="2:13">
      <c r="B420" s="317" t="str">
        <f t="shared" si="22"/>
        <v/>
      </c>
      <c r="C420" s="136"/>
      <c r="D420" s="146" t="str">
        <f>M420 &amp; P$13 &amp; R$13 &amp; VLOOKUP(O$13, $O$50:$P$74,2,FALSE) &amp; "E1"</f>
        <v>INDNDPHBHFOE1</v>
      </c>
      <c r="E420" s="143" t="str">
        <f>+M417 &amp; " " &amp; S$13 &amp; " - " &amp; T$13 &amp; " " &amp; U$13</f>
        <v>Construction Heat Medium Temp. Boiler - Heavy Fuel Oil Existing 1</v>
      </c>
      <c r="F420" s="136" t="s">
        <v>44</v>
      </c>
      <c r="G420" s="136" t="s">
        <v>46</v>
      </c>
      <c r="H420" s="136"/>
      <c r="I420" s="136"/>
      <c r="J420" s="136"/>
      <c r="K420" s="196"/>
      <c r="L420" s="62" t="s">
        <v>197</v>
      </c>
      <c r="M420" s="70" t="str">
        <f>+INDEX(Commodities!$W$6:$W$17,M414)</f>
        <v>INDN</v>
      </c>
    </row>
    <row r="421" spans="2:13">
      <c r="B421" s="317" t="str">
        <f t="shared" si="22"/>
        <v/>
      </c>
      <c r="C421" s="136"/>
      <c r="D421" s="146" t="str">
        <f>M420 &amp; P$14 &amp; R$14 &amp; VLOOKUP(O$14, $O$50:$P$74,2,FALSE) &amp; "E1"</f>
        <v>INDNDPHBLPGE1</v>
      </c>
      <c r="E421" s="143" t="str">
        <f>+M417 &amp; " " &amp; S$14 &amp; " - " &amp; T$14 &amp; " " &amp; U$14</f>
        <v>Construction Heat Medium Temp. Boiler - Liquified Petroleum Gas Existing 1</v>
      </c>
      <c r="F421" s="136" t="s">
        <v>44</v>
      </c>
      <c r="G421" s="136" t="s">
        <v>46</v>
      </c>
      <c r="H421" s="136"/>
      <c r="I421" s="136"/>
      <c r="J421" s="136"/>
      <c r="K421" s="196"/>
    </row>
    <row r="422" spans="2:13">
      <c r="B422" s="317" t="str">
        <f t="shared" si="22"/>
        <v/>
      </c>
      <c r="C422" s="136"/>
      <c r="D422" s="146" t="str">
        <f>M420 &amp; P$15 &amp; R$15 &amp; VLOOKUP(O$15, $O$50:$P$74,2,FALSE) &amp; "E1"</f>
        <v>INDNDPHBWSTE1</v>
      </c>
      <c r="E422" s="143" t="str">
        <f>+M417 &amp; " " &amp; S$15 &amp; " - " &amp; T$15 &amp; " " &amp; U$15</f>
        <v>Construction Heat Medium Temp. Boiler - Waste Existing 1</v>
      </c>
      <c r="F422" s="136" t="s">
        <v>44</v>
      </c>
      <c r="G422" s="136" t="s">
        <v>46</v>
      </c>
      <c r="H422" s="136"/>
      <c r="I422" s="136"/>
      <c r="J422" s="136"/>
      <c r="K422" s="196"/>
    </row>
    <row r="423" spans="2:13">
      <c r="B423" s="317" t="str">
        <f t="shared" si="22"/>
        <v/>
      </c>
      <c r="C423" s="136"/>
      <c r="D423" s="146" t="str">
        <f>M420 &amp; P$16 &amp; R$16 &amp; VLOOKUP(O$16, $O$50:$P$74,2,FALSE) &amp; "E1"</f>
        <v>INDNDPHBHETE1</v>
      </c>
      <c r="E423" s="143" t="str">
        <f>+M417 &amp; " " &amp; S$16 &amp; " - " &amp; T$16 &amp; " " &amp; U$16</f>
        <v>Construction Heat Medium Temp. Boiler - Dist. Heat Existing 1</v>
      </c>
      <c r="F423" s="136" t="s">
        <v>44</v>
      </c>
      <c r="G423" s="136" t="s">
        <v>46</v>
      </c>
      <c r="H423" s="136"/>
      <c r="I423" s="136"/>
      <c r="J423" s="136"/>
      <c r="K423" s="196"/>
    </row>
    <row r="424" spans="2:13">
      <c r="B424" s="317" t="str">
        <f t="shared" si="22"/>
        <v/>
      </c>
      <c r="C424" s="136"/>
      <c r="D424" s="146" t="str">
        <f>M420 &amp; P$17 &amp; R$17 &amp; VLOOKUP(O$17, $O$50:$P$74,2,FALSE) &amp; "E2"</f>
        <v>INDNDPHBHETE2</v>
      </c>
      <c r="E424" s="143" t="str">
        <f>+M417 &amp; " " &amp; S$17 &amp; " - " &amp; T$17 &amp; " " &amp; U$17</f>
        <v>Construction Heat Medium Temp. Boiler - Dist. Heat Existing 2</v>
      </c>
      <c r="F424" s="317" t="s">
        <v>44</v>
      </c>
      <c r="G424" s="317" t="s">
        <v>46</v>
      </c>
      <c r="H424" s="136"/>
      <c r="I424" s="136"/>
      <c r="J424" s="136"/>
      <c r="K424" s="196"/>
    </row>
    <row r="425" spans="2:13">
      <c r="B425" s="317" t="str">
        <f t="shared" si="22"/>
        <v/>
      </c>
      <c r="C425" s="136"/>
      <c r="D425" s="144" t="str">
        <f>M420 &amp; P$18 &amp; R$18 &amp; VLOOKUP(O$18, $O$50:$P$74,2,FALSE) &amp; "E1"</f>
        <v>INDNDPHBELCE1</v>
      </c>
      <c r="E425" s="144" t="str">
        <f>+M417 &amp; " " &amp; S$18 &amp; " - " &amp; T$18 &amp; " " &amp; U$18</f>
        <v>Construction Heat Medium Temp. Boiler - Electricity Existing 1</v>
      </c>
      <c r="F425" s="139" t="s">
        <v>44</v>
      </c>
      <c r="G425" s="139" t="s">
        <v>46</v>
      </c>
      <c r="H425" s="139"/>
      <c r="I425" s="139"/>
      <c r="J425" s="139"/>
      <c r="K425" s="196"/>
    </row>
    <row r="426" spans="2:13">
      <c r="B426" s="317" t="str">
        <f t="shared" si="22"/>
        <v/>
      </c>
      <c r="C426" s="136"/>
      <c r="D426" s="143" t="str">
        <f>M420 &amp; P$19 &amp; R$19 &amp; VLOOKUP(O$19, $O$50:$P$74,2,FALSE) &amp; "E1"</f>
        <v>INDNDCOBNGAE1</v>
      </c>
      <c r="E426" s="143" t="str">
        <f>+M417 &amp; " " &amp; S$19 &amp; " - " &amp; T$19 &amp; " " &amp; U$19</f>
        <v>Construction Heat High Temp. Boiler - Nat. Gas Existing 1</v>
      </c>
      <c r="F426" s="136" t="s">
        <v>44</v>
      </c>
      <c r="G426" s="136" t="s">
        <v>46</v>
      </c>
      <c r="H426" s="136"/>
      <c r="I426" s="136"/>
      <c r="J426" s="136"/>
      <c r="K426" s="196"/>
    </row>
    <row r="427" spans="2:13">
      <c r="B427" s="317" t="str">
        <f t="shared" si="22"/>
        <v/>
      </c>
      <c r="C427" s="136"/>
      <c r="D427" s="143" t="str">
        <f>M420 &amp; P$20 &amp; R$20 &amp; VLOOKUP(O$20, $O$50:$P$74,2,FALSE) &amp; "E1"</f>
        <v>INDNDCOBCOAE1</v>
      </c>
      <c r="E427" s="143" t="str">
        <f>+M417 &amp; " " &amp; S$20 &amp; " - " &amp; T$20 &amp; " " &amp; U$20</f>
        <v>Construction Heat High Temp. Boiler - Coal Existing 1</v>
      </c>
      <c r="F427" s="136" t="s">
        <v>44</v>
      </c>
      <c r="G427" s="136" t="s">
        <v>46</v>
      </c>
      <c r="H427" s="136"/>
      <c r="I427" s="136"/>
      <c r="J427" s="136"/>
      <c r="K427" s="196"/>
    </row>
    <row r="428" spans="2:13">
      <c r="B428" s="317" t="str">
        <f t="shared" si="22"/>
        <v/>
      </c>
      <c r="C428" s="136"/>
      <c r="D428" s="143" t="str">
        <f>M420 &amp; P$21 &amp; R$21 &amp; VLOOKUP(O$21, $O$50:$P$74,2,FALSE) &amp; "E1"</f>
        <v>INDNDCOBDSLE1</v>
      </c>
      <c r="E428" s="143" t="str">
        <f>+M417 &amp; " " &amp; S$21 &amp; " - " &amp; T$21 &amp; " " &amp; U$21</f>
        <v>Construction Heat High Temp. Boiler - Diesel Existing 1</v>
      </c>
      <c r="F428" s="136" t="s">
        <v>44</v>
      </c>
      <c r="G428" s="136" t="s">
        <v>46</v>
      </c>
      <c r="H428" s="136"/>
      <c r="I428" s="136"/>
      <c r="J428" s="136"/>
      <c r="K428" s="196"/>
    </row>
    <row r="429" spans="2:13">
      <c r="B429" s="317" t="str">
        <f t="shared" si="22"/>
        <v/>
      </c>
      <c r="C429" s="136"/>
      <c r="D429" s="143" t="str">
        <f>M420 &amp; P$22 &amp; R$22 &amp; VLOOKUP(O$22, $O$50:$P$74,2,FALSE) &amp; "E1"</f>
        <v>INDNDCOBWPEE1</v>
      </c>
      <c r="E429" s="143" t="str">
        <f>+M417 &amp; " " &amp; S$22 &amp; " - " &amp; T$22 &amp; " " &amp; U$22</f>
        <v>Construction Heat High Temp. Boiler - Wood Pellets Existing 1</v>
      </c>
      <c r="F429" s="136" t="s">
        <v>44</v>
      </c>
      <c r="G429" s="136" t="s">
        <v>46</v>
      </c>
      <c r="H429" s="136"/>
      <c r="I429" s="136"/>
      <c r="J429" s="136"/>
      <c r="K429" s="196"/>
    </row>
    <row r="430" spans="2:13">
      <c r="B430" s="317" t="str">
        <f t="shared" si="22"/>
        <v>*</v>
      </c>
      <c r="C430" s="136"/>
      <c r="D430" s="143"/>
      <c r="E430" s="143"/>
      <c r="F430" s="136"/>
      <c r="G430" s="136"/>
      <c r="H430" s="136"/>
      <c r="I430" s="136"/>
      <c r="J430" s="136"/>
      <c r="K430" s="196"/>
    </row>
    <row r="431" spans="2:13">
      <c r="B431" s="317" t="str">
        <f t="shared" si="22"/>
        <v/>
      </c>
      <c r="C431" s="136"/>
      <c r="D431" s="143" t="str">
        <f>M420 &amp; P$24 &amp; R$24 &amp; VLOOKUP(O$24, $O$50:$P$74,2,FALSE) &amp; "E1"</f>
        <v>INDNDCOBHFOE1</v>
      </c>
      <c r="E431" s="143" t="str">
        <f>+M417 &amp; " " &amp; S$24 &amp; " - " &amp; T$24 &amp; " " &amp; U$24</f>
        <v>Construction Heat High Temp. Boiler - Heavy Fuel Oil Existing 1</v>
      </c>
      <c r="F431" s="136" t="s">
        <v>44</v>
      </c>
      <c r="G431" s="136" t="s">
        <v>46</v>
      </c>
      <c r="H431" s="136"/>
      <c r="I431" s="136"/>
      <c r="J431" s="136"/>
      <c r="K431" s="196"/>
    </row>
    <row r="432" spans="2:13">
      <c r="B432" s="317" t="str">
        <f t="shared" si="22"/>
        <v/>
      </c>
      <c r="C432" s="136"/>
      <c r="D432" s="143" t="str">
        <f>M420 &amp; P$25 &amp; R$25 &amp; VLOOKUP(O$25, $O$50:$P$74,2,FALSE) &amp; "E1"</f>
        <v>INDNDCOBLPGE1</v>
      </c>
      <c r="E432" s="143" t="str">
        <f>+M417 &amp; " " &amp; S$25 &amp; " - " &amp; T$25 &amp; " " &amp; U$25</f>
        <v>Construction Heat High Temp. Boiler - Liquified Petroleum Gas Existing 1</v>
      </c>
      <c r="F432" s="136" t="s">
        <v>44</v>
      </c>
      <c r="G432" s="136" t="s">
        <v>46</v>
      </c>
      <c r="H432" s="136"/>
      <c r="I432" s="136"/>
      <c r="J432" s="136"/>
      <c r="K432" s="196"/>
    </row>
    <row r="433" spans="2:11">
      <c r="B433" s="317" t="str">
        <f t="shared" si="22"/>
        <v/>
      </c>
      <c r="C433" s="136"/>
      <c r="D433" s="143" t="str">
        <f>M420 &amp; P$26 &amp; R$26 &amp; VLOOKUP(O$26, $O$50:$P$74,2,FALSE) &amp; "E1"</f>
        <v>INDNDCOBWSTE1</v>
      </c>
      <c r="E433" s="143" t="str">
        <f>+M417 &amp; " " &amp; S$26 &amp; " - " &amp; T$26 &amp; " " &amp; U$26</f>
        <v>Construction Heat High Temp. Boiler - Waste Existing 1</v>
      </c>
      <c r="F433" s="136" t="s">
        <v>44</v>
      </c>
      <c r="G433" s="136" t="s">
        <v>46</v>
      </c>
      <c r="H433" s="136"/>
      <c r="I433" s="136"/>
      <c r="J433" s="136"/>
      <c r="K433" s="196"/>
    </row>
    <row r="434" spans="2:11">
      <c r="B434" s="317" t="str">
        <f t="shared" si="22"/>
        <v/>
      </c>
      <c r="C434" s="136"/>
      <c r="D434" s="144" t="str">
        <f>M420 &amp; P$27 &amp; R$27 &amp; VLOOKUP(O$27, $O$50:$P$74,2,FALSE) &amp; "E1"</f>
        <v>INDNDCOBELCE1</v>
      </c>
      <c r="E434" s="144" t="str">
        <f>+M417 &amp; " " &amp; S$27 &amp; " - " &amp; T$27 &amp; " " &amp; U$27</f>
        <v>Construction Heat High Temp. Boiler - Electricity Existing 1</v>
      </c>
      <c r="F434" s="139" t="s">
        <v>44</v>
      </c>
      <c r="G434" s="139" t="s">
        <v>46</v>
      </c>
      <c r="H434" s="139"/>
      <c r="I434" s="139"/>
      <c r="J434" s="139"/>
      <c r="K434" s="196"/>
    </row>
    <row r="435" spans="2:11">
      <c r="B435" s="317" t="str">
        <f t="shared" si="22"/>
        <v/>
      </c>
      <c r="C435" s="136"/>
      <c r="D435" s="146" t="str">
        <f>M420 &amp; P$28 &amp; R$28 &amp; VLOOKUP(O$28, $O$50:$P$74,2,FALSE) &amp; "E1"</f>
        <v>INDNDSHBNGAE1</v>
      </c>
      <c r="E435" s="143" t="str">
        <f>+M417 &amp; " " &amp; S$28 &amp; " - " &amp; T$28 &amp; " " &amp; U$28</f>
        <v>Construction Heat Room Boiler - Nat. Gas Existing 1</v>
      </c>
      <c r="F435" s="136" t="s">
        <v>44</v>
      </c>
      <c r="G435" s="136" t="s">
        <v>46</v>
      </c>
      <c r="H435" s="136"/>
      <c r="I435" s="136"/>
      <c r="J435" s="136"/>
      <c r="K435" s="196"/>
    </row>
    <row r="436" spans="2:11">
      <c r="B436" s="317" t="str">
        <f t="shared" si="22"/>
        <v/>
      </c>
      <c r="C436" s="136"/>
      <c r="D436" s="146" t="str">
        <f>M420 &amp; P$29 &amp; R$29 &amp; VLOOKUP(O$29, $O$50:$P$74,2,FALSE) &amp; "E1"</f>
        <v>INDNDSHBCOAE1</v>
      </c>
      <c r="E436" s="143" t="str">
        <f>+M417 &amp; " " &amp; S$29 &amp; " - " &amp; T$29 &amp; " " &amp; U$29</f>
        <v>Construction Heat Room Boiler - Coal Existing 1</v>
      </c>
      <c r="F436" s="136" t="s">
        <v>44</v>
      </c>
      <c r="G436" s="136" t="s">
        <v>46</v>
      </c>
      <c r="H436" s="136"/>
      <c r="I436" s="136"/>
      <c r="J436" s="136"/>
      <c r="K436" s="196"/>
    </row>
    <row r="437" spans="2:11">
      <c r="B437" s="317" t="str">
        <f t="shared" si="22"/>
        <v/>
      </c>
      <c r="C437" s="136"/>
      <c r="D437" s="146" t="str">
        <f>M420 &amp; P$30 &amp; R$30 &amp; VLOOKUP(O$30, $O$50:$P$74,2,FALSE) &amp; "E1"</f>
        <v>INDNDSHBDSLE1</v>
      </c>
      <c r="E437" s="143" t="str">
        <f>+M417 &amp; " " &amp; S$30 &amp; " - " &amp; T$30 &amp; " " &amp; U$30</f>
        <v>Construction Heat Room Boiler - Diesel Existing 1</v>
      </c>
      <c r="F437" s="136" t="s">
        <v>44</v>
      </c>
      <c r="G437" s="136" t="s">
        <v>46</v>
      </c>
      <c r="H437" s="136"/>
      <c r="I437" s="136"/>
      <c r="J437" s="136"/>
      <c r="K437" s="196"/>
    </row>
    <row r="438" spans="2:11">
      <c r="B438" s="317" t="str">
        <f t="shared" si="22"/>
        <v/>
      </c>
      <c r="C438" s="136"/>
      <c r="D438" s="146" t="str">
        <f>M420 &amp; P$31 &amp; R$31 &amp; VLOOKUP(O$31, $O$50:$P$74,2,FALSE) &amp; "E1"</f>
        <v>INDNDSHBWPEE1</v>
      </c>
      <c r="E438" s="143" t="str">
        <f>+M417 &amp; " " &amp; S$31 &amp; " - " &amp; T$31 &amp; " " &amp; U$31</f>
        <v>Construction Heat Room Boiler - Wood Pellets Existing 1</v>
      </c>
      <c r="F438" s="136" t="s">
        <v>44</v>
      </c>
      <c r="G438" s="136" t="s">
        <v>46</v>
      </c>
      <c r="H438" s="136"/>
      <c r="I438" s="136"/>
      <c r="J438" s="136"/>
      <c r="K438" s="196"/>
    </row>
    <row r="439" spans="2:11">
      <c r="B439" s="317" t="str">
        <f t="shared" si="22"/>
        <v>*</v>
      </c>
      <c r="C439" s="136"/>
      <c r="D439" s="146"/>
      <c r="E439" s="143"/>
      <c r="F439" s="136"/>
      <c r="G439" s="136"/>
      <c r="H439" s="136"/>
      <c r="I439" s="136"/>
      <c r="J439" s="136"/>
      <c r="K439" s="196"/>
    </row>
    <row r="440" spans="2:11">
      <c r="B440" s="317" t="str">
        <f t="shared" si="22"/>
        <v/>
      </c>
      <c r="C440" s="136"/>
      <c r="D440" s="146" t="str">
        <f>M420 &amp; P$33 &amp; R$33 &amp; VLOOKUP(O$33, $O$50:$P$74,2,FALSE) &amp; "E1"</f>
        <v>INDNDSHBBGAE1</v>
      </c>
      <c r="E440" s="143" t="str">
        <f>+M417 &amp; " " &amp; S$33 &amp; " - " &amp; T$33 &amp; " " &amp; U$33</f>
        <v>Construction Heat Room Boiler - Biogas Existing 1</v>
      </c>
      <c r="F440" s="136" t="s">
        <v>44</v>
      </c>
      <c r="G440" s="136" t="s">
        <v>46</v>
      </c>
      <c r="H440" s="136"/>
      <c r="I440" s="136"/>
      <c r="J440" s="136"/>
      <c r="K440" s="196"/>
    </row>
    <row r="441" spans="2:11">
      <c r="B441" s="317" t="str">
        <f t="shared" si="22"/>
        <v/>
      </c>
      <c r="C441" s="136"/>
      <c r="D441" s="146" t="str">
        <f>M420 &amp; P$34 &amp; R$34 &amp; VLOOKUP(O$34, $O$50:$P$74,2,FALSE) &amp; "E1"</f>
        <v>INDNDSHBHFOE1</v>
      </c>
      <c r="E441" s="143" t="str">
        <f>+M417 &amp; " " &amp; S$34 &amp; " - " &amp; T$34 &amp; " " &amp; U$34</f>
        <v>Construction Heat Room Boiler - Heavy Fuel Oil Existing 1</v>
      </c>
      <c r="F441" s="136" t="s">
        <v>44</v>
      </c>
      <c r="G441" s="136" t="s">
        <v>46</v>
      </c>
      <c r="H441" s="136"/>
      <c r="I441" s="136"/>
      <c r="J441" s="136"/>
      <c r="K441" s="196"/>
    </row>
    <row r="442" spans="2:11">
      <c r="B442" s="317" t="str">
        <f t="shared" si="22"/>
        <v/>
      </c>
      <c r="C442" s="136"/>
      <c r="D442" s="146" t="str">
        <f>M420 &amp; P$35 &amp; R$35 &amp; VLOOKUP(O$35, $O$50:$P$74,2,FALSE) &amp; "E1"</f>
        <v>INDNDSHBLPGE1</v>
      </c>
      <c r="E442" s="143" t="str">
        <f>+M417 &amp; " " &amp; S$35 &amp; " - " &amp; T$35 &amp; " " &amp; U$35</f>
        <v>Construction Heat Room Boiler - Liquified Petroleum Gas Existing 1</v>
      </c>
      <c r="F442" s="136" t="s">
        <v>44</v>
      </c>
      <c r="G442" s="136" t="s">
        <v>46</v>
      </c>
      <c r="H442" s="136"/>
      <c r="I442" s="136"/>
      <c r="J442" s="136"/>
      <c r="K442" s="196"/>
    </row>
    <row r="443" spans="2:11">
      <c r="B443" s="317" t="str">
        <f t="shared" si="22"/>
        <v/>
      </c>
      <c r="C443" s="136"/>
      <c r="D443" s="146" t="str">
        <f>M420 &amp; P$36 &amp; R$36 &amp; VLOOKUP(O$36, $O$50:$P$74,2,FALSE) &amp; "E1"</f>
        <v>INDNDSHBWSTE1</v>
      </c>
      <c r="E443" s="143" t="str">
        <f>+M417 &amp; " " &amp; S$36 &amp; " - " &amp; T$36 &amp; " " &amp; U$36</f>
        <v>Construction Heat Room Boiler - Waste Existing 1</v>
      </c>
      <c r="F443" s="136" t="s">
        <v>44</v>
      </c>
      <c r="G443" s="136" t="s">
        <v>46</v>
      </c>
      <c r="H443" s="136"/>
      <c r="I443" s="136"/>
      <c r="J443" s="136"/>
      <c r="K443" s="196"/>
    </row>
    <row r="444" spans="2:11">
      <c r="B444" s="317" t="str">
        <f t="shared" si="22"/>
        <v/>
      </c>
      <c r="C444" s="136"/>
      <c r="D444" s="146" t="str">
        <f>M420 &amp; P$37 &amp; R$37 &amp; VLOOKUP(O$37, $O$50:$P$74,2,FALSE) &amp; "E1"</f>
        <v>INDNDSHBHETE1</v>
      </c>
      <c r="E444" s="143" t="str">
        <f>+M417 &amp; " " &amp; S$37 &amp; " - " &amp; T$37 &amp; " " &amp; U$37</f>
        <v>Construction Heat Room Boiler - Dist. Heat Existing 1</v>
      </c>
      <c r="F444" s="136" t="s">
        <v>44</v>
      </c>
      <c r="G444" s="136" t="s">
        <v>46</v>
      </c>
      <c r="H444" s="136"/>
      <c r="I444" s="136"/>
      <c r="J444" s="136"/>
      <c r="K444" s="196"/>
    </row>
    <row r="445" spans="2:11">
      <c r="B445" s="317" t="str">
        <f t="shared" si="22"/>
        <v/>
      </c>
      <c r="C445" s="146"/>
      <c r="D445" s="146" t="str">
        <f>M420 &amp; P$38 &amp; R$38 &amp; VLOOKUP(O$38, $O$50:$P$74,2,FALSE) &amp; "E2"</f>
        <v>INDNDSHBHETE2</v>
      </c>
      <c r="E445" s="143" t="str">
        <f>+M417 &amp; " " &amp; S$38 &amp; " - " &amp; T$38 &amp; " " &amp; U$38</f>
        <v>Construction Heat Room Boiler - Dist. Heat Existing 2</v>
      </c>
      <c r="F445" s="317" t="s">
        <v>44</v>
      </c>
      <c r="G445" s="317" t="s">
        <v>46</v>
      </c>
      <c r="H445" s="146"/>
      <c r="I445" s="146"/>
      <c r="J445" s="146"/>
      <c r="K445" s="196"/>
    </row>
    <row r="446" spans="2:11">
      <c r="B446" s="317" t="str">
        <f t="shared" si="22"/>
        <v/>
      </c>
      <c r="C446" s="146"/>
      <c r="D446" s="144" t="str">
        <f>M420 &amp; P$39 &amp; R$39 &amp; VLOOKUP(O$39, $O$50:$P$74,2,FALSE) &amp; "E1"</f>
        <v>INDNDSHBELCE1</v>
      </c>
      <c r="E446" s="144" t="str">
        <f>+M417 &amp; " " &amp; S$39 &amp; " - " &amp; T$39 &amp; " " &amp; U$39</f>
        <v>Construction Heat Room Boiler - Electricity Existing 1</v>
      </c>
      <c r="F446" s="139" t="s">
        <v>44</v>
      </c>
      <c r="G446" s="139" t="s">
        <v>46</v>
      </c>
      <c r="H446" s="139"/>
      <c r="I446" s="139"/>
      <c r="J446" s="139"/>
      <c r="K446" s="196"/>
    </row>
    <row r="447" spans="2:11">
      <c r="B447" s="317" t="str">
        <f t="shared" si="22"/>
        <v/>
      </c>
      <c r="C447" s="146"/>
      <c r="D447" s="146" t="str">
        <f>M420 &amp; P$40 &amp; R$40 &amp; VLOOKUP(O$40, $O$50:$P$74,2,FALSE) &amp; "E1"</f>
        <v>INDNDLAAELCE1</v>
      </c>
      <c r="E447" s="146" t="str">
        <f>+M417 &amp; " " &amp; S$40 &amp; " - " &amp; T$40 &amp; " " &amp; U$40</f>
        <v>Construction Electricity Light Appliance - Electricity Existing 1</v>
      </c>
      <c r="F447" s="149" t="s">
        <v>44</v>
      </c>
      <c r="G447" s="146" t="s">
        <v>46</v>
      </c>
      <c r="H447" s="146"/>
      <c r="I447" s="146"/>
      <c r="J447" s="146"/>
      <c r="K447" s="196"/>
    </row>
    <row r="448" spans="2:11">
      <c r="B448" s="317" t="str">
        <f t="shared" si="22"/>
        <v/>
      </c>
      <c r="C448" s="146"/>
      <c r="D448" s="144" t="str">
        <f>M420 &amp; P$41 &amp; R$41 &amp; VLOOKUP(O$41, $O$50:$P$74,2,FALSE) &amp; "E1"</f>
        <v>INDNDEMMELCE1</v>
      </c>
      <c r="E448" s="144" t="str">
        <f>+M417 &amp; " " &amp; S$41 &amp; " - " &amp; T$41 &amp; " " &amp; U$41</f>
        <v>Construction Electricity Motors - Electricity Existing 1</v>
      </c>
      <c r="F448" s="139" t="s">
        <v>44</v>
      </c>
      <c r="G448" s="139" t="s">
        <v>46</v>
      </c>
      <c r="H448" s="139"/>
      <c r="I448" s="139"/>
      <c r="J448" s="139"/>
      <c r="K448" s="196"/>
    </row>
    <row r="449" spans="1:13">
      <c r="A449" s="236"/>
      <c r="B449" s="317" t="str">
        <f t="shared" si="22"/>
        <v/>
      </c>
      <c r="C449" s="146"/>
      <c r="D449" s="237" t="str">
        <f>M420 &amp; P$42 &amp; R$42 &amp; VLOOKUP(O$42, $O$50:$P$74,2,FALSE) &amp; "E1"</f>
        <v>INDNDTFTDSLE1</v>
      </c>
      <c r="E449" s="146" t="str">
        <f>+M417 &amp; " " &amp; S$42 &amp; " - " &amp; T$42 &amp; " " &amp; U$42</f>
        <v>Construction Tractors, Trucks, Fishing boats, Forest machines - Diesel Existing 1</v>
      </c>
      <c r="F449" s="146" t="s">
        <v>44</v>
      </c>
      <c r="G449" s="146" t="s">
        <v>46</v>
      </c>
      <c r="H449" s="146"/>
      <c r="I449" s="146"/>
      <c r="J449" s="146"/>
      <c r="K449" s="196"/>
    </row>
    <row r="450" spans="1:13">
      <c r="A450" s="236"/>
      <c r="B450" s="317" t="str">
        <f t="shared" si="22"/>
        <v/>
      </c>
      <c r="C450" s="146"/>
      <c r="D450" s="237" t="str">
        <f>M420&amp;P$43&amp;R$43&amp;VLOOKUP(O$43,$O$50:$P$74,2,FALSE)&amp;"E1"</f>
        <v>INDNDFLTLPGE1</v>
      </c>
      <c r="E450" s="146" t="str">
        <f>+M417 &amp; " " &amp; S$43 &amp; " - " &amp; T$43 &amp; " " &amp; U$43</f>
        <v>Construction Forklifts - LPG Existing 1</v>
      </c>
      <c r="F450" s="146" t="s">
        <v>44</v>
      </c>
      <c r="G450" s="146" t="s">
        <v>46</v>
      </c>
      <c r="H450" s="146"/>
      <c r="I450" s="146"/>
      <c r="J450" s="146"/>
      <c r="K450" s="196"/>
    </row>
    <row r="451" spans="1:13" ht="15">
      <c r="B451" s="142" t="s">
        <v>25</v>
      </c>
      <c r="C451" s="256"/>
      <c r="D451" s="175" t="str">
        <f>M457 &amp; P$7 &amp; R$7 &amp; VLOOKUP(O$7, $O$50:$P$74,2,FALSE) &amp; "E1"</f>
        <v>INDODPHBNGAE1</v>
      </c>
      <c r="E451" s="141" t="str">
        <f>+M454 &amp; " " &amp; S$7 &amp; " - " &amp; T$7 &amp; " " &amp; U$7</f>
        <v>Other comm Heat Medium Temp. Boiler - Nat. Gas Existing 1</v>
      </c>
      <c r="F451" s="142" t="s">
        <v>44</v>
      </c>
      <c r="G451" s="142" t="s">
        <v>46</v>
      </c>
      <c r="H451" s="142"/>
      <c r="I451" s="257"/>
      <c r="J451" s="142"/>
      <c r="K451" s="196"/>
      <c r="L451" s="62" t="s">
        <v>196</v>
      </c>
      <c r="M451" s="131">
        <f>+M414+1</f>
        <v>13</v>
      </c>
    </row>
    <row r="452" spans="1:13">
      <c r="B452" s="317" t="str">
        <f t="shared" ref="B452:B487" si="23">+IF(ISBLANK(D452),"*","")</f>
        <v/>
      </c>
      <c r="C452" s="317"/>
      <c r="D452" s="146" t="str">
        <f>M457 &amp; P$8 &amp; R$8 &amp; VLOOKUP(O$8, $O$50:$P$74,2,FALSE) &amp; "E1"</f>
        <v>INDODPHBCOAE1</v>
      </c>
      <c r="E452" s="143" t="str">
        <f>+M454 &amp; " " &amp; S$8 &amp; " - " &amp; T$8 &amp; " " &amp; U$8</f>
        <v>Other comm Heat Medium Temp. Boiler - Coal Existing 1</v>
      </c>
      <c r="F452" s="317" t="s">
        <v>44</v>
      </c>
      <c r="G452" s="317" t="s">
        <v>46</v>
      </c>
      <c r="H452" s="317"/>
      <c r="I452" s="133"/>
      <c r="J452" s="317"/>
      <c r="K452" s="196"/>
      <c r="L452" s="285" t="s">
        <v>130</v>
      </c>
      <c r="M452" s="285"/>
    </row>
    <row r="453" spans="1:13">
      <c r="B453" s="317" t="str">
        <f t="shared" si="23"/>
        <v/>
      </c>
      <c r="C453" s="317"/>
      <c r="D453" s="146" t="str">
        <f>M457 &amp; P$9 &amp; R$9 &amp; VLOOKUP(O$9, $O$50:$P$74,2,FALSE) &amp; "E1"</f>
        <v>INDODPHBDSLE1</v>
      </c>
      <c r="E453" s="143" t="str">
        <f>+M454 &amp; " " &amp; S$9 &amp; " - " &amp; T$9 &amp; " " &amp; U$9</f>
        <v>Other comm Heat Medium Temp. Boiler - Diesel Existing 1</v>
      </c>
      <c r="F453" s="317" t="s">
        <v>44</v>
      </c>
      <c r="G453" s="317" t="s">
        <v>46</v>
      </c>
      <c r="H453" s="317"/>
      <c r="I453" s="317"/>
      <c r="J453" s="317"/>
      <c r="K453" s="196"/>
      <c r="L453" s="62" t="s">
        <v>198</v>
      </c>
      <c r="M453" s="64" t="s">
        <v>135</v>
      </c>
    </row>
    <row r="454" spans="1:13">
      <c r="B454" s="317" t="str">
        <f t="shared" si="23"/>
        <v/>
      </c>
      <c r="C454" s="317"/>
      <c r="D454" s="146" t="str">
        <f>M457 &amp; P$10 &amp; R$10 &amp; VLOOKUP(O$10, $O$50:$P$74,2,FALSE) &amp; "E1"</f>
        <v>INDODPHBWPEE1</v>
      </c>
      <c r="E454" s="143" t="str">
        <f>+M454 &amp; " " &amp; S$10 &amp; " - " &amp; T$10 &amp; " " &amp; U$10</f>
        <v>Other comm Heat Medium Temp. Boiler - Wood Pellets Existing 1</v>
      </c>
      <c r="F454" s="317" t="s">
        <v>44</v>
      </c>
      <c r="G454" s="317" t="s">
        <v>46</v>
      </c>
      <c r="H454" s="317"/>
      <c r="I454" s="317"/>
      <c r="J454" s="317"/>
      <c r="K454" s="196"/>
      <c r="L454" s="62" t="s">
        <v>201</v>
      </c>
      <c r="M454" s="70" t="str">
        <f>+INDEX(Commodities!$X$6:$X$18,M451)</f>
        <v>Other comm</v>
      </c>
    </row>
    <row r="455" spans="1:13">
      <c r="B455" s="317" t="str">
        <f t="shared" si="23"/>
        <v>*</v>
      </c>
      <c r="C455" s="317"/>
      <c r="D455" s="146"/>
      <c r="E455" s="143"/>
      <c r="F455" s="317"/>
      <c r="G455" s="317"/>
      <c r="H455" s="317"/>
      <c r="I455" s="317"/>
      <c r="J455" s="317"/>
      <c r="K455" s="196"/>
      <c r="L455" s="62" t="s">
        <v>130</v>
      </c>
      <c r="M455" s="70" t="str">
        <f>+INDEX(Commodities!$Y$6:$Y$18,M451)</f>
        <v>013 Non-specified</v>
      </c>
    </row>
    <row r="456" spans="1:13">
      <c r="B456" s="317" t="str">
        <f t="shared" si="23"/>
        <v/>
      </c>
      <c r="C456" s="317"/>
      <c r="D456" s="146" t="str">
        <f>M457 &amp; P$12 &amp; R$12 &amp; VLOOKUP(O$12, $O$50:$P$74,2,FALSE) &amp; "E1"</f>
        <v>INDODPHBBGAE1</v>
      </c>
      <c r="E456" s="143" t="str">
        <f>+M454 &amp; " " &amp; S$12 &amp; " - " &amp; T$12 &amp; " " &amp; U$12</f>
        <v>Other comm Heat Medium Temp. Boiler - Biogas Existing 1</v>
      </c>
      <c r="F456" s="317" t="s">
        <v>44</v>
      </c>
      <c r="G456" s="317" t="s">
        <v>46</v>
      </c>
      <c r="H456" s="317"/>
      <c r="I456" s="317"/>
      <c r="J456" s="317"/>
      <c r="K456" s="196"/>
      <c r="L456" s="62" t="s">
        <v>197</v>
      </c>
      <c r="M456" s="70" t="str">
        <f>+INDEX(Commodities!$U$6:$U$18,M451)</f>
        <v>IO</v>
      </c>
    </row>
    <row r="457" spans="1:13">
      <c r="B457" s="317" t="str">
        <f t="shared" si="23"/>
        <v/>
      </c>
      <c r="C457" s="317"/>
      <c r="D457" s="146" t="str">
        <f>M457 &amp; P$13 &amp; R$13 &amp; VLOOKUP(O$13, $O$50:$P$74,2,FALSE) &amp; "E1"</f>
        <v>INDODPHBHFOE1</v>
      </c>
      <c r="E457" s="143" t="str">
        <f>+M454 &amp; " " &amp; S$13 &amp; " - " &amp; T$13 &amp; " " &amp; U$13</f>
        <v>Other comm Heat Medium Temp. Boiler - Heavy Fuel Oil Existing 1</v>
      </c>
      <c r="F457" s="317" t="s">
        <v>44</v>
      </c>
      <c r="G457" s="317" t="s">
        <v>46</v>
      </c>
      <c r="H457" s="317"/>
      <c r="I457" s="317"/>
      <c r="J457" s="317"/>
      <c r="K457" s="196"/>
      <c r="L457" s="62" t="s">
        <v>197</v>
      </c>
      <c r="M457" s="70" t="str">
        <f>+INDEX(Commodities!$W$6:$W$191,M451)</f>
        <v>INDO</v>
      </c>
    </row>
    <row r="458" spans="1:13">
      <c r="B458" s="317" t="str">
        <f t="shared" si="23"/>
        <v/>
      </c>
      <c r="C458" s="317"/>
      <c r="D458" s="146" t="str">
        <f>M457 &amp; P$14 &amp; R$14 &amp; VLOOKUP(O$14, $O$50:$P$74,2,FALSE) &amp; "E1"</f>
        <v>INDODPHBLPGE1</v>
      </c>
      <c r="E458" s="143" t="str">
        <f>+M454 &amp; " " &amp; S$14 &amp; " - " &amp; T$14 &amp; " " &amp; U$14</f>
        <v>Other comm Heat Medium Temp. Boiler - Liquified Petroleum Gas Existing 1</v>
      </c>
      <c r="F458" s="317" t="s">
        <v>44</v>
      </c>
      <c r="G458" s="317" t="s">
        <v>46</v>
      </c>
      <c r="H458" s="317"/>
      <c r="I458" s="317"/>
      <c r="J458" s="317"/>
      <c r="K458" s="196"/>
      <c r="L458" s="285"/>
      <c r="M458" s="285"/>
    </row>
    <row r="459" spans="1:13">
      <c r="B459" s="317" t="str">
        <f t="shared" si="23"/>
        <v/>
      </c>
      <c r="C459" s="317"/>
      <c r="D459" s="146" t="str">
        <f>M457 &amp; P$15 &amp; R$15 &amp; VLOOKUP(O$15, $O$50:$P$74,2,FALSE) &amp; "E1"</f>
        <v>INDODPHBWSTE1</v>
      </c>
      <c r="E459" s="143" t="str">
        <f>+M454 &amp; " " &amp; S$15 &amp; " - " &amp; T$15 &amp; " " &amp; U$15</f>
        <v>Other comm Heat Medium Temp. Boiler - Waste Existing 1</v>
      </c>
      <c r="F459" s="317" t="s">
        <v>44</v>
      </c>
      <c r="G459" s="317" t="s">
        <v>46</v>
      </c>
      <c r="H459" s="317"/>
      <c r="I459" s="317"/>
      <c r="J459" s="317"/>
      <c r="K459" s="196"/>
      <c r="L459" s="285"/>
      <c r="M459" s="285"/>
    </row>
    <row r="460" spans="1:13">
      <c r="B460" s="317" t="str">
        <f t="shared" si="23"/>
        <v/>
      </c>
      <c r="C460" s="317"/>
      <c r="D460" s="146" t="str">
        <f>M457 &amp; P$16 &amp; R$16 &amp; VLOOKUP(O$16, $O$50:$P$74,2,FALSE) &amp; "E1"</f>
        <v>INDODPHBHETE1</v>
      </c>
      <c r="E460" s="143" t="str">
        <f>+M454 &amp; " " &amp; S$16 &amp; " - " &amp; T$16 &amp; " " &amp; U$16</f>
        <v>Other comm Heat Medium Temp. Boiler - Dist. Heat Existing 1</v>
      </c>
      <c r="F460" s="317" t="s">
        <v>44</v>
      </c>
      <c r="G460" s="317" t="s">
        <v>46</v>
      </c>
      <c r="H460" s="317"/>
      <c r="I460" s="317"/>
      <c r="J460" s="317"/>
      <c r="K460" s="196"/>
      <c r="L460" s="285"/>
      <c r="M460" s="285"/>
    </row>
    <row r="461" spans="1:13">
      <c r="B461" s="317" t="str">
        <f t="shared" si="23"/>
        <v/>
      </c>
      <c r="C461" s="317"/>
      <c r="D461" s="146" t="str">
        <f>M457 &amp; P$17 &amp; R$17 &amp; VLOOKUP(O$17, $O$50:$P$74,2,FALSE) &amp; "E2"</f>
        <v>INDODPHBHETE2</v>
      </c>
      <c r="E461" s="143" t="str">
        <f>+M454 &amp; " " &amp; S$17 &amp; " - " &amp; T$17 &amp; " " &amp; U$17</f>
        <v>Other comm Heat Medium Temp. Boiler - Dist. Heat Existing 2</v>
      </c>
      <c r="F461" s="317" t="s">
        <v>44</v>
      </c>
      <c r="G461" s="317" t="s">
        <v>46</v>
      </c>
      <c r="H461" s="317"/>
      <c r="I461" s="317"/>
      <c r="J461" s="317"/>
      <c r="K461" s="196"/>
      <c r="L461" s="285"/>
      <c r="M461" s="285"/>
    </row>
    <row r="462" spans="1:13">
      <c r="B462" s="317" t="str">
        <f t="shared" si="23"/>
        <v/>
      </c>
      <c r="C462" s="317"/>
      <c r="D462" s="144" t="str">
        <f>M457 &amp; P$18 &amp; R$18 &amp; VLOOKUP(O$18, $O$50:$P$74,2,FALSE) &amp; "E1"</f>
        <v>INDODPHBELCE1</v>
      </c>
      <c r="E462" s="144" t="str">
        <f>+M454 &amp; " " &amp; S$18 &amp; " - " &amp; T$18 &amp; " " &amp; U$18</f>
        <v>Other comm Heat Medium Temp. Boiler - Electricity Existing 1</v>
      </c>
      <c r="F462" s="139" t="s">
        <v>44</v>
      </c>
      <c r="G462" s="139" t="s">
        <v>46</v>
      </c>
      <c r="H462" s="139"/>
      <c r="I462" s="139"/>
      <c r="J462" s="139"/>
      <c r="K462" s="196"/>
      <c r="L462" s="285"/>
      <c r="M462" s="285"/>
    </row>
    <row r="463" spans="1:13">
      <c r="B463" s="317" t="str">
        <f t="shared" si="23"/>
        <v/>
      </c>
      <c r="C463" s="317"/>
      <c r="D463" s="143" t="str">
        <f>M457 &amp; P$19 &amp; R$19 &amp; VLOOKUP(O$19, $O$50:$P$74,2,FALSE) &amp; "E1"</f>
        <v>INDODCOBNGAE1</v>
      </c>
      <c r="E463" s="143" t="str">
        <f>+M454 &amp; " " &amp; S$19 &amp; " - " &amp; T$19 &amp; " " &amp; U$19</f>
        <v>Other comm Heat High Temp. Boiler - Nat. Gas Existing 1</v>
      </c>
      <c r="F463" s="317" t="s">
        <v>44</v>
      </c>
      <c r="G463" s="317" t="s">
        <v>46</v>
      </c>
      <c r="H463" s="317"/>
      <c r="I463" s="317"/>
      <c r="J463" s="317"/>
      <c r="K463" s="196"/>
      <c r="L463" s="285"/>
      <c r="M463" s="285"/>
    </row>
    <row r="464" spans="1:13">
      <c r="B464" s="317" t="str">
        <f t="shared" si="23"/>
        <v/>
      </c>
      <c r="C464" s="317"/>
      <c r="D464" s="143" t="str">
        <f>M457 &amp; P$20 &amp; R$20 &amp; VLOOKUP(O$20, $O$50:$P$74,2,FALSE) &amp; "E1"</f>
        <v>INDODCOBCOAE1</v>
      </c>
      <c r="E464" s="143" t="str">
        <f>+M454 &amp; " " &amp; S$20 &amp; " - " &amp; T$20 &amp; " " &amp; U$20</f>
        <v>Other comm Heat High Temp. Boiler - Coal Existing 1</v>
      </c>
      <c r="F464" s="317" t="s">
        <v>44</v>
      </c>
      <c r="G464" s="317" t="s">
        <v>46</v>
      </c>
      <c r="H464" s="317"/>
      <c r="I464" s="317"/>
      <c r="J464" s="317"/>
      <c r="K464" s="196"/>
      <c r="L464" s="285"/>
      <c r="M464" s="285"/>
    </row>
    <row r="465" spans="2:13">
      <c r="B465" s="317" t="str">
        <f t="shared" si="23"/>
        <v/>
      </c>
      <c r="C465" s="317"/>
      <c r="D465" s="143" t="str">
        <f>M457 &amp; P$21 &amp; R$21 &amp; VLOOKUP(O$21, $O$50:$P$74,2,FALSE) &amp; "E1"</f>
        <v>INDODCOBDSLE1</v>
      </c>
      <c r="E465" s="143" t="str">
        <f>+M454 &amp; " " &amp; S$21 &amp; " - " &amp; T$21 &amp; " " &amp; U$21</f>
        <v>Other comm Heat High Temp. Boiler - Diesel Existing 1</v>
      </c>
      <c r="F465" s="317" t="s">
        <v>44</v>
      </c>
      <c r="G465" s="317" t="s">
        <v>46</v>
      </c>
      <c r="H465" s="317"/>
      <c r="I465" s="317"/>
      <c r="J465" s="317"/>
      <c r="K465" s="196"/>
      <c r="L465" s="285"/>
      <c r="M465" s="285"/>
    </row>
    <row r="466" spans="2:13">
      <c r="B466" s="317" t="str">
        <f t="shared" si="23"/>
        <v/>
      </c>
      <c r="C466" s="317"/>
      <c r="D466" s="143" t="str">
        <f>M457 &amp; P$22 &amp; R$22 &amp; VLOOKUP(O$22, $O$50:$P$74,2,FALSE) &amp; "E1"</f>
        <v>INDODCOBWPEE1</v>
      </c>
      <c r="E466" s="143" t="str">
        <f>+M454 &amp; " " &amp; S$22 &amp; " - " &amp; T$22 &amp; " " &amp; U$22</f>
        <v>Other comm Heat High Temp. Boiler - Wood Pellets Existing 1</v>
      </c>
      <c r="F466" s="317" t="s">
        <v>44</v>
      </c>
      <c r="G466" s="317" t="s">
        <v>46</v>
      </c>
      <c r="H466" s="317"/>
      <c r="I466" s="317"/>
      <c r="J466" s="317"/>
      <c r="K466" s="196"/>
      <c r="L466" s="285"/>
      <c r="M466" s="285"/>
    </row>
    <row r="467" spans="2:13">
      <c r="B467" s="317" t="str">
        <f t="shared" si="23"/>
        <v>*</v>
      </c>
      <c r="C467" s="317"/>
      <c r="D467" s="143"/>
      <c r="E467" s="143"/>
      <c r="F467" s="317"/>
      <c r="G467" s="317"/>
      <c r="H467" s="317"/>
      <c r="I467" s="317"/>
      <c r="J467" s="317"/>
      <c r="K467" s="196"/>
      <c r="L467" s="285"/>
      <c r="M467" s="285"/>
    </row>
    <row r="468" spans="2:13">
      <c r="B468" s="317" t="str">
        <f t="shared" si="23"/>
        <v/>
      </c>
      <c r="C468" s="317"/>
      <c r="D468" s="143" t="str">
        <f>M457 &amp; P$24 &amp; R$24 &amp; VLOOKUP(O$24, $O$50:$P$74,2,FALSE) &amp; "E1"</f>
        <v>INDODCOBHFOE1</v>
      </c>
      <c r="E468" s="143" t="str">
        <f>+M454 &amp; " " &amp; S$24 &amp; " - " &amp; T$24 &amp; " " &amp; U$24</f>
        <v>Other comm Heat High Temp. Boiler - Heavy Fuel Oil Existing 1</v>
      </c>
      <c r="F468" s="317" t="s">
        <v>44</v>
      </c>
      <c r="G468" s="317" t="s">
        <v>46</v>
      </c>
      <c r="H468" s="317"/>
      <c r="I468" s="317"/>
      <c r="J468" s="317"/>
      <c r="K468" s="196"/>
      <c r="L468" s="285"/>
      <c r="M468" s="285"/>
    </row>
    <row r="469" spans="2:13">
      <c r="B469" s="317" t="str">
        <f t="shared" si="23"/>
        <v/>
      </c>
      <c r="C469" s="317"/>
      <c r="D469" s="143" t="str">
        <f>M457 &amp; P$25 &amp; R$25 &amp; VLOOKUP(O$25, $O$50:$P$74,2,FALSE) &amp; "E1"</f>
        <v>INDODCOBLPGE1</v>
      </c>
      <c r="E469" s="143" t="str">
        <f>+M454 &amp; " " &amp; S$25 &amp; " - " &amp; T$25 &amp; " " &amp; U$25</f>
        <v>Other comm Heat High Temp. Boiler - Liquified Petroleum Gas Existing 1</v>
      </c>
      <c r="F469" s="317" t="s">
        <v>44</v>
      </c>
      <c r="G469" s="317" t="s">
        <v>46</v>
      </c>
      <c r="H469" s="317"/>
      <c r="I469" s="317"/>
      <c r="J469" s="317"/>
      <c r="K469" s="196"/>
      <c r="L469" s="285"/>
      <c r="M469" s="285"/>
    </row>
    <row r="470" spans="2:13">
      <c r="B470" s="317" t="str">
        <f t="shared" si="23"/>
        <v/>
      </c>
      <c r="C470" s="317"/>
      <c r="D470" s="143" t="str">
        <f>M457 &amp; P$26 &amp; R$26 &amp; VLOOKUP(O$26, $O$50:$P$74,2,FALSE) &amp; "E1"</f>
        <v>INDODCOBWSTE1</v>
      </c>
      <c r="E470" s="143" t="str">
        <f>+M454 &amp; " " &amp; S$26 &amp; " - " &amp; T$26 &amp; " " &amp; U$26</f>
        <v>Other comm Heat High Temp. Boiler - Waste Existing 1</v>
      </c>
      <c r="F470" s="317" t="s">
        <v>44</v>
      </c>
      <c r="G470" s="317" t="s">
        <v>46</v>
      </c>
      <c r="H470" s="317"/>
      <c r="I470" s="317"/>
      <c r="J470" s="317"/>
      <c r="K470" s="196"/>
      <c r="L470" s="285"/>
      <c r="M470" s="285"/>
    </row>
    <row r="471" spans="2:13">
      <c r="B471" s="317" t="str">
        <f t="shared" si="23"/>
        <v/>
      </c>
      <c r="C471" s="317"/>
      <c r="D471" s="144" t="str">
        <f>M457 &amp; P$27 &amp; R$27 &amp; VLOOKUP(O$27, $O$50:$P$74,2,FALSE) &amp; "E1"</f>
        <v>INDODCOBELCE1</v>
      </c>
      <c r="E471" s="144" t="str">
        <f>+M454 &amp; " " &amp; S$27 &amp; " - " &amp; T$27 &amp; " " &amp; U$27</f>
        <v>Other comm Heat High Temp. Boiler - Electricity Existing 1</v>
      </c>
      <c r="F471" s="139" t="s">
        <v>44</v>
      </c>
      <c r="G471" s="139" t="s">
        <v>46</v>
      </c>
      <c r="H471" s="139"/>
      <c r="I471" s="139"/>
      <c r="J471" s="139"/>
      <c r="K471" s="196"/>
      <c r="L471" s="285"/>
      <c r="M471" s="285"/>
    </row>
    <row r="472" spans="2:13">
      <c r="B472" s="317" t="str">
        <f t="shared" si="23"/>
        <v/>
      </c>
      <c r="C472" s="317"/>
      <c r="D472" s="146" t="str">
        <f>M457 &amp; P$28 &amp; R$28 &amp; VLOOKUP(O$28, $O$50:$P$74,2,FALSE) &amp; "E1"</f>
        <v>INDODSHBNGAE1</v>
      </c>
      <c r="E472" s="143" t="str">
        <f>+M454 &amp; " " &amp; S$28 &amp; " - " &amp; T$28 &amp; " " &amp; U$28</f>
        <v>Other comm Heat Room Boiler - Nat. Gas Existing 1</v>
      </c>
      <c r="F472" s="317" t="s">
        <v>44</v>
      </c>
      <c r="G472" s="317" t="s">
        <v>46</v>
      </c>
      <c r="H472" s="317"/>
      <c r="I472" s="317"/>
      <c r="J472" s="317"/>
      <c r="K472" s="196"/>
      <c r="L472" s="285"/>
      <c r="M472" s="285"/>
    </row>
    <row r="473" spans="2:13">
      <c r="B473" s="317" t="str">
        <f t="shared" si="23"/>
        <v/>
      </c>
      <c r="C473" s="317"/>
      <c r="D473" s="146" t="str">
        <f>M457 &amp; P$29 &amp; R$29 &amp; VLOOKUP(O$29, $O$50:$P$74,2,FALSE) &amp; "E1"</f>
        <v>INDODSHBCOAE1</v>
      </c>
      <c r="E473" s="143" t="str">
        <f>+M454 &amp; " " &amp; S$29 &amp; " - " &amp; T$29 &amp; " " &amp; U$29</f>
        <v>Other comm Heat Room Boiler - Coal Existing 1</v>
      </c>
      <c r="F473" s="317" t="s">
        <v>44</v>
      </c>
      <c r="G473" s="317" t="s">
        <v>46</v>
      </c>
      <c r="H473" s="317"/>
      <c r="I473" s="317"/>
      <c r="J473" s="317"/>
      <c r="K473" s="196"/>
      <c r="L473" s="285"/>
      <c r="M473" s="285"/>
    </row>
    <row r="474" spans="2:13">
      <c r="B474" s="317" t="str">
        <f t="shared" si="23"/>
        <v/>
      </c>
      <c r="C474" s="317"/>
      <c r="D474" s="146" t="str">
        <f>M457 &amp; P$30 &amp; R$30 &amp; VLOOKUP(O$30, $O$50:$P$74,2,FALSE) &amp; "E1"</f>
        <v>INDODSHBDSLE1</v>
      </c>
      <c r="E474" s="143" t="str">
        <f>+M454 &amp; " " &amp; S$30 &amp; " - " &amp; T$30 &amp; " " &amp; U$30</f>
        <v>Other comm Heat Room Boiler - Diesel Existing 1</v>
      </c>
      <c r="F474" s="317" t="s">
        <v>44</v>
      </c>
      <c r="G474" s="317" t="s">
        <v>46</v>
      </c>
      <c r="H474" s="317"/>
      <c r="I474" s="317"/>
      <c r="J474" s="317"/>
      <c r="K474" s="196"/>
      <c r="L474" s="285"/>
      <c r="M474" s="285"/>
    </row>
    <row r="475" spans="2:13">
      <c r="B475" s="317" t="str">
        <f t="shared" si="23"/>
        <v/>
      </c>
      <c r="C475" s="317"/>
      <c r="D475" s="146" t="str">
        <f>M457 &amp; P$31 &amp; R$31 &amp; VLOOKUP(O$31, $O$50:$P$74,2,FALSE) &amp; "E1"</f>
        <v>INDODSHBWPEE1</v>
      </c>
      <c r="E475" s="143" t="str">
        <f>+M454 &amp; " " &amp; S$31 &amp; " - " &amp; T$31 &amp; " " &amp; U$31</f>
        <v>Other comm Heat Room Boiler - Wood Pellets Existing 1</v>
      </c>
      <c r="F475" s="317" t="s">
        <v>44</v>
      </c>
      <c r="G475" s="317" t="s">
        <v>46</v>
      </c>
      <c r="H475" s="317"/>
      <c r="I475" s="317"/>
      <c r="J475" s="317"/>
      <c r="K475" s="196"/>
      <c r="L475" s="285"/>
      <c r="M475" s="285"/>
    </row>
    <row r="476" spans="2:13">
      <c r="B476" s="317" t="str">
        <f t="shared" si="23"/>
        <v>*</v>
      </c>
      <c r="C476" s="317"/>
      <c r="D476" s="146"/>
      <c r="E476" s="143"/>
      <c r="F476" s="317"/>
      <c r="G476" s="317"/>
      <c r="H476" s="317"/>
      <c r="I476" s="317"/>
      <c r="J476" s="317"/>
      <c r="K476" s="196"/>
      <c r="L476" s="285"/>
      <c r="M476" s="285"/>
    </row>
    <row r="477" spans="2:13">
      <c r="B477" s="317" t="str">
        <f t="shared" si="23"/>
        <v/>
      </c>
      <c r="C477" s="317"/>
      <c r="D477" s="146" t="str">
        <f>M457 &amp; P$33 &amp; R$33 &amp; VLOOKUP(O$33, $O$50:$P$74,2,FALSE) &amp; "E1"</f>
        <v>INDODSHBBGAE1</v>
      </c>
      <c r="E477" s="143" t="str">
        <f>+M454 &amp; " " &amp; S$33 &amp; " - " &amp; T$33 &amp; " " &amp; U$33</f>
        <v>Other comm Heat Room Boiler - Biogas Existing 1</v>
      </c>
      <c r="F477" s="317" t="s">
        <v>44</v>
      </c>
      <c r="G477" s="317" t="s">
        <v>46</v>
      </c>
      <c r="H477" s="317"/>
      <c r="I477" s="317"/>
      <c r="J477" s="317"/>
      <c r="K477" s="196"/>
      <c r="L477" s="285"/>
      <c r="M477" s="285"/>
    </row>
    <row r="478" spans="2:13">
      <c r="B478" s="317" t="str">
        <f t="shared" si="23"/>
        <v/>
      </c>
      <c r="C478" s="317"/>
      <c r="D478" s="146" t="str">
        <f>M457 &amp; P$34 &amp; R$34 &amp; VLOOKUP(O$34, $O$50:$P$74,2,FALSE) &amp; "E1"</f>
        <v>INDODSHBHFOE1</v>
      </c>
      <c r="E478" s="143" t="str">
        <f>+M454 &amp; " " &amp; S$34 &amp; " - " &amp; T$34 &amp; " " &amp; U$34</f>
        <v>Other comm Heat Room Boiler - Heavy Fuel Oil Existing 1</v>
      </c>
      <c r="F478" s="317" t="s">
        <v>44</v>
      </c>
      <c r="G478" s="317" t="s">
        <v>46</v>
      </c>
      <c r="H478" s="317"/>
      <c r="I478" s="317"/>
      <c r="J478" s="317"/>
      <c r="K478" s="196"/>
      <c r="L478" s="285"/>
      <c r="M478" s="285"/>
    </row>
    <row r="479" spans="2:13">
      <c r="B479" s="317" t="str">
        <f t="shared" si="23"/>
        <v/>
      </c>
      <c r="C479" s="317"/>
      <c r="D479" s="146" t="str">
        <f>M457 &amp; P$35 &amp; R$35 &amp; VLOOKUP(O$35, $O$50:$P$74,2,FALSE) &amp; "E1"</f>
        <v>INDODSHBLPGE1</v>
      </c>
      <c r="E479" s="143" t="str">
        <f>+M454 &amp; " " &amp; S$35 &amp; " - " &amp; T$35 &amp; " " &amp; U$35</f>
        <v>Other comm Heat Room Boiler - Liquified Petroleum Gas Existing 1</v>
      </c>
      <c r="F479" s="317" t="s">
        <v>44</v>
      </c>
      <c r="G479" s="317" t="s">
        <v>46</v>
      </c>
      <c r="H479" s="317"/>
      <c r="I479" s="317"/>
      <c r="J479" s="317"/>
      <c r="K479" s="196"/>
      <c r="L479" s="285"/>
      <c r="M479" s="285"/>
    </row>
    <row r="480" spans="2:13">
      <c r="B480" s="317" t="str">
        <f t="shared" si="23"/>
        <v/>
      </c>
      <c r="C480" s="317"/>
      <c r="D480" s="146" t="str">
        <f>M457 &amp; P$36 &amp; R$36 &amp; VLOOKUP(O$36, $O$50:$P$74,2,FALSE) &amp; "E1"</f>
        <v>INDODSHBWSTE1</v>
      </c>
      <c r="E480" s="143" t="str">
        <f>+M454 &amp; " " &amp; S$36 &amp; " - " &amp; T$36 &amp; " " &amp; U$36</f>
        <v>Other comm Heat Room Boiler - Waste Existing 1</v>
      </c>
      <c r="F480" s="317" t="s">
        <v>44</v>
      </c>
      <c r="G480" s="317" t="s">
        <v>46</v>
      </c>
      <c r="H480" s="317"/>
      <c r="I480" s="317"/>
      <c r="J480" s="317"/>
      <c r="K480" s="196"/>
      <c r="L480" s="285"/>
      <c r="M480" s="285"/>
    </row>
    <row r="481" spans="2:13">
      <c r="B481" s="317" t="str">
        <f t="shared" si="23"/>
        <v/>
      </c>
      <c r="C481" s="317"/>
      <c r="D481" s="146" t="str">
        <f>M457 &amp; P$37 &amp; R$37 &amp; VLOOKUP(O$37, $O$50:$P$74,2,FALSE) &amp; "E1"</f>
        <v>INDODSHBHETE1</v>
      </c>
      <c r="E481" s="143" t="str">
        <f>+M454 &amp; " " &amp; S$37 &amp; " - " &amp; T$37 &amp; " " &amp; U$37</f>
        <v>Other comm Heat Room Boiler - Dist. Heat Existing 1</v>
      </c>
      <c r="F481" s="317" t="s">
        <v>44</v>
      </c>
      <c r="G481" s="317" t="s">
        <v>46</v>
      </c>
      <c r="H481" s="317"/>
      <c r="I481" s="317"/>
      <c r="J481" s="317"/>
      <c r="K481" s="196"/>
      <c r="L481" s="285"/>
      <c r="M481" s="285"/>
    </row>
    <row r="482" spans="2:13">
      <c r="B482" s="317" t="str">
        <f t="shared" si="23"/>
        <v/>
      </c>
      <c r="C482" s="146"/>
      <c r="D482" s="146" t="str">
        <f>M457 &amp; P$38 &amp; R$38 &amp; VLOOKUP(O$38, $O$50:$P$74,2,FALSE) &amp; "E2"</f>
        <v>INDODSHBHETE2</v>
      </c>
      <c r="E482" s="143" t="str">
        <f>+M454 &amp; " " &amp; S$38 &amp; " - " &amp; T$38 &amp; " " &amp; U$38</f>
        <v>Other comm Heat Room Boiler - Dist. Heat Existing 2</v>
      </c>
      <c r="F482" s="317" t="s">
        <v>44</v>
      </c>
      <c r="G482" s="317" t="s">
        <v>46</v>
      </c>
      <c r="H482" s="146"/>
      <c r="I482" s="146"/>
      <c r="J482" s="146"/>
      <c r="K482" s="196"/>
      <c r="L482" s="285"/>
      <c r="M482" s="285"/>
    </row>
    <row r="483" spans="2:13">
      <c r="B483" s="317" t="str">
        <f t="shared" si="23"/>
        <v/>
      </c>
      <c r="C483" s="146"/>
      <c r="D483" s="144" t="str">
        <f>M457 &amp; P$39 &amp; R$39 &amp; VLOOKUP(O$39, $O$50:$P$74,2,FALSE) &amp; "E1"</f>
        <v>INDODSHBELCE1</v>
      </c>
      <c r="E483" s="144" t="str">
        <f>+M454 &amp; " " &amp; S$39 &amp; " - " &amp; T$39 &amp; " " &amp; U$39</f>
        <v>Other comm Heat Room Boiler - Electricity Existing 1</v>
      </c>
      <c r="F483" s="139" t="s">
        <v>44</v>
      </c>
      <c r="G483" s="139" t="s">
        <v>46</v>
      </c>
      <c r="H483" s="139"/>
      <c r="I483" s="139"/>
      <c r="J483" s="139"/>
      <c r="K483" s="196"/>
      <c r="L483" s="285"/>
      <c r="M483" s="285"/>
    </row>
    <row r="484" spans="2:13">
      <c r="B484" s="317" t="str">
        <f t="shared" si="23"/>
        <v/>
      </c>
      <c r="C484" s="146"/>
      <c r="D484" s="146" t="str">
        <f>M457 &amp; P$40 &amp; R$40 &amp; VLOOKUP(O$40, $O$50:$P$74,2,FALSE) &amp; "E1"</f>
        <v>INDODLAAELCE1</v>
      </c>
      <c r="E484" s="146" t="str">
        <f>+M454 &amp; " " &amp; S$40 &amp; " - " &amp; T$40 &amp; " " &amp; U$40</f>
        <v>Other comm Electricity Light Appliance - Electricity Existing 1</v>
      </c>
      <c r="F484" s="149" t="s">
        <v>44</v>
      </c>
      <c r="G484" s="146" t="s">
        <v>46</v>
      </c>
      <c r="H484" s="146"/>
      <c r="I484" s="146"/>
      <c r="J484" s="146"/>
      <c r="K484" s="196"/>
      <c r="L484" s="285"/>
      <c r="M484" s="285"/>
    </row>
    <row r="485" spans="2:13">
      <c r="B485" s="317" t="str">
        <f t="shared" si="23"/>
        <v/>
      </c>
      <c r="C485" s="146"/>
      <c r="D485" s="144" t="str">
        <f>M457 &amp; P$41 &amp; R$41 &amp; VLOOKUP(O$41, $O$50:$P$74,2,FALSE) &amp; "E1"</f>
        <v>INDODEMMELCE1</v>
      </c>
      <c r="E485" s="144" t="str">
        <f>+M454 &amp; " " &amp; S$41 &amp; " - " &amp; T$41 &amp; " " &amp; U$41</f>
        <v>Other comm Electricity Motors - Electricity Existing 1</v>
      </c>
      <c r="F485" s="139" t="s">
        <v>44</v>
      </c>
      <c r="G485" s="139" t="s">
        <v>46</v>
      </c>
      <c r="H485" s="139"/>
      <c r="I485" s="139"/>
      <c r="J485" s="139"/>
      <c r="K485" s="196"/>
      <c r="L485" s="285"/>
      <c r="M485" s="285"/>
    </row>
    <row r="486" spans="2:13">
      <c r="B486" s="317" t="str">
        <f t="shared" si="23"/>
        <v/>
      </c>
      <c r="C486" s="146"/>
      <c r="D486" s="237" t="str">
        <f>M457 &amp; P$42 &amp; R$42 &amp; VLOOKUP(O$42, $O$50:$P$74,2,FALSE) &amp; "E1"</f>
        <v>INDODTFTDSLE1</v>
      </c>
      <c r="E486" s="146" t="str">
        <f>+M454 &amp; " " &amp; S$42 &amp; " - " &amp; T$42 &amp; " " &amp; U$42</f>
        <v>Other comm Tractors, Trucks, Fishing boats, Forest machines - Diesel Existing 1</v>
      </c>
      <c r="F486" s="146" t="s">
        <v>44</v>
      </c>
      <c r="G486" s="146" t="s">
        <v>46</v>
      </c>
      <c r="H486" s="146"/>
      <c r="I486" s="146"/>
      <c r="J486" s="146"/>
      <c r="K486" s="196"/>
      <c r="L486" s="285"/>
      <c r="M486" s="285"/>
    </row>
    <row r="487" spans="2:13" ht="15" thickBot="1">
      <c r="B487" s="317" t="str">
        <f t="shared" si="23"/>
        <v/>
      </c>
      <c r="C487" s="146"/>
      <c r="D487" s="237" t="str">
        <f>M457&amp;P$43&amp;R$43&amp;VLOOKUP(O$43,$O$50:$P$74,2,FALSE)&amp;"E1"</f>
        <v>INDODFLTLPGE1</v>
      </c>
      <c r="E487" s="146" t="str">
        <f>+M454 &amp; " " &amp; S$43 &amp; " - " &amp; T$43 &amp; " " &amp; U$43</f>
        <v>Other comm Forklifts - LPG Existing 1</v>
      </c>
      <c r="F487" s="146" t="s">
        <v>44</v>
      </c>
      <c r="G487" s="146" t="s">
        <v>46</v>
      </c>
      <c r="H487" s="146"/>
      <c r="I487" s="146"/>
      <c r="J487" s="146"/>
      <c r="K487" s="196"/>
      <c r="L487" s="285"/>
      <c r="M487" s="285"/>
    </row>
    <row r="488" spans="2:13">
      <c r="B488" s="152" t="s">
        <v>258</v>
      </c>
      <c r="C488" s="152"/>
      <c r="D488" s="153" t="s">
        <v>303</v>
      </c>
      <c r="E488" s="153" t="str">
        <f>"FT-IND"&amp;RIGHT(Commodities!E97,3)</f>
        <v>FT-INDIND</v>
      </c>
      <c r="F488" s="152" t="s">
        <v>44</v>
      </c>
      <c r="G488" s="152" t="s">
        <v>110</v>
      </c>
      <c r="H488" s="152"/>
      <c r="I488" s="154"/>
      <c r="J488" s="152"/>
    </row>
    <row r="489" spans="2:13">
      <c r="B489" s="136" t="str">
        <f t="shared" ref="B489:B496" si="24">+IF(ISBLANK(D489),"*","")</f>
        <v/>
      </c>
      <c r="C489" s="136"/>
      <c r="D489" s="155" t="s">
        <v>304</v>
      </c>
      <c r="E489" s="155" t="str">
        <f>"FT-IND"&amp;RIGHT(Commodities!E98,3)</f>
        <v>FT-INDIND</v>
      </c>
      <c r="F489" s="136" t="s">
        <v>44</v>
      </c>
      <c r="G489" s="136" t="s">
        <v>110</v>
      </c>
      <c r="H489" s="136"/>
      <c r="I489" s="133"/>
      <c r="J489" s="136"/>
    </row>
    <row r="490" spans="2:13">
      <c r="B490" s="136" t="str">
        <f t="shared" si="24"/>
        <v/>
      </c>
      <c r="C490" s="136"/>
      <c r="D490" s="155" t="s">
        <v>305</v>
      </c>
      <c r="E490" s="155" t="str">
        <f>"FT-IND"&amp;RIGHT(Commodities!E99,3)</f>
        <v>FT-INDIND</v>
      </c>
      <c r="F490" s="136" t="s">
        <v>44</v>
      </c>
      <c r="G490" s="136" t="s">
        <v>110</v>
      </c>
      <c r="H490" s="136"/>
      <c r="I490" s="133"/>
      <c r="J490" s="136"/>
    </row>
    <row r="491" spans="2:13">
      <c r="B491" s="136" t="str">
        <f t="shared" si="24"/>
        <v/>
      </c>
      <c r="C491" s="136"/>
      <c r="D491" s="155" t="s">
        <v>306</v>
      </c>
      <c r="E491" s="155" t="str">
        <f>"FT-IND"&amp;RIGHT(Commodities!E100,3)</f>
        <v>FT-INDIND</v>
      </c>
      <c r="F491" s="136" t="s">
        <v>44</v>
      </c>
      <c r="G491" s="136" t="s">
        <v>110</v>
      </c>
      <c r="H491" s="136"/>
      <c r="I491" s="133"/>
      <c r="J491" s="136"/>
    </row>
    <row r="492" spans="2:13">
      <c r="B492" s="136" t="str">
        <f t="shared" si="24"/>
        <v/>
      </c>
      <c r="C492" s="136"/>
      <c r="D492" s="155" t="s">
        <v>307</v>
      </c>
      <c r="E492" s="155" t="str">
        <f>"FT-IND"&amp;RIGHT(Commodities!E101,3)</f>
        <v>FT-INDIND</v>
      </c>
      <c r="F492" s="136" t="s">
        <v>44</v>
      </c>
      <c r="G492" s="136" t="s">
        <v>110</v>
      </c>
      <c r="H492" s="136"/>
      <c r="I492" s="133"/>
      <c r="J492" s="136"/>
    </row>
    <row r="493" spans="2:13">
      <c r="B493" s="136" t="str">
        <f t="shared" si="24"/>
        <v/>
      </c>
      <c r="C493" s="136"/>
      <c r="D493" s="155" t="s">
        <v>308</v>
      </c>
      <c r="E493" s="155" t="str">
        <f>"FT-IND"&amp;RIGHT(Commodities!E102,3)</f>
        <v>FT-INDIND</v>
      </c>
      <c r="F493" s="136" t="s">
        <v>44</v>
      </c>
      <c r="G493" s="136" t="s">
        <v>110</v>
      </c>
      <c r="H493" s="136"/>
      <c r="I493" s="133"/>
      <c r="J493" s="136"/>
    </row>
    <row r="494" spans="2:13">
      <c r="B494" s="136" t="str">
        <f t="shared" si="24"/>
        <v/>
      </c>
      <c r="C494" s="136"/>
      <c r="D494" s="155" t="s">
        <v>309</v>
      </c>
      <c r="E494" s="155" t="str">
        <f>"FT-IND"&amp;RIGHT(Commodities!E103,3)</f>
        <v>FT-INDIND</v>
      </c>
      <c r="F494" s="136" t="s">
        <v>44</v>
      </c>
      <c r="G494" s="136" t="s">
        <v>110</v>
      </c>
      <c r="H494" s="136"/>
      <c r="I494" s="133"/>
      <c r="J494" s="136"/>
    </row>
    <row r="495" spans="2:13">
      <c r="B495" s="136" t="str">
        <f t="shared" si="24"/>
        <v/>
      </c>
      <c r="C495" s="136"/>
      <c r="D495" s="155" t="s">
        <v>310</v>
      </c>
      <c r="E495" s="155" t="str">
        <f>"FT-IND"&amp;RIGHT(Commodities!E104,3)</f>
        <v>FT-INDIND</v>
      </c>
      <c r="F495" s="136" t="s">
        <v>44</v>
      </c>
      <c r="G495" s="136" t="s">
        <v>110</v>
      </c>
      <c r="H495" s="136"/>
      <c r="I495" s="133"/>
      <c r="J495" s="136"/>
    </row>
    <row r="496" spans="2:13">
      <c r="B496" s="136" t="str">
        <f t="shared" si="24"/>
        <v/>
      </c>
      <c r="C496" s="136"/>
      <c r="D496" s="155" t="s">
        <v>311</v>
      </c>
      <c r="E496" s="155" t="str">
        <f>"FT-IND"&amp;RIGHT(Commodities!E105,3)</f>
        <v>FT-INDIND</v>
      </c>
      <c r="F496" s="136" t="s">
        <v>44</v>
      </c>
      <c r="G496" s="136" t="s">
        <v>110</v>
      </c>
      <c r="H496" s="136"/>
      <c r="I496" s="133"/>
      <c r="J496" s="136"/>
    </row>
    <row r="497" spans="2:10">
      <c r="B497" s="136" t="str">
        <f>+IF(ISBLANK(D500),"*","")</f>
        <v/>
      </c>
      <c r="C497" s="136"/>
      <c r="D497" s="155" t="s">
        <v>312</v>
      </c>
      <c r="E497" s="155" t="str">
        <f>"FT-IND"&amp;RIGHT(Commodities!E106,3)</f>
        <v>FT-INDIND</v>
      </c>
      <c r="F497" s="136" t="s">
        <v>44</v>
      </c>
      <c r="G497" s="136" t="s">
        <v>110</v>
      </c>
      <c r="H497" s="136" t="s">
        <v>60</v>
      </c>
      <c r="I497" s="133"/>
      <c r="J497" s="136"/>
    </row>
    <row r="498" spans="2:10" s="285" customFormat="1">
      <c r="B498" s="317" t="str">
        <f>+IF(ISBLANK(D501),"*","")</f>
        <v/>
      </c>
      <c r="C498" s="317"/>
      <c r="D498" s="155" t="s">
        <v>583</v>
      </c>
      <c r="E498" s="155" t="str">
        <f>"FT-IND"&amp;RIGHT(Commodities!E107,3)</f>
        <v>FT-INDIND</v>
      </c>
      <c r="F498" s="317" t="s">
        <v>44</v>
      </c>
      <c r="G498" s="317" t="s">
        <v>110</v>
      </c>
      <c r="H498" s="317" t="s">
        <v>60</v>
      </c>
      <c r="I498" s="133"/>
      <c r="J498" s="317"/>
    </row>
    <row r="499" spans="2:10">
      <c r="B499" s="136" t="str">
        <f>+IF(ISBLANK(D497),"*","")</f>
        <v/>
      </c>
      <c r="C499" s="136"/>
      <c r="D499" s="155" t="s">
        <v>313</v>
      </c>
      <c r="E499" s="155" t="str">
        <f>"FT-IND"&amp;RIGHT(Commodities!E108,3)</f>
        <v>FT-INDIND</v>
      </c>
      <c r="F499" s="136" t="s">
        <v>44</v>
      </c>
      <c r="G499" s="136" t="s">
        <v>110</v>
      </c>
      <c r="H499" s="136" t="s">
        <v>60</v>
      </c>
      <c r="I499" s="133"/>
      <c r="J499" s="136"/>
    </row>
    <row r="500" spans="2:10">
      <c r="B500" s="136" t="str">
        <f>+IF(ISBLANK(D499),"*","")</f>
        <v/>
      </c>
      <c r="C500" s="136"/>
      <c r="D500" s="155" t="s">
        <v>314</v>
      </c>
      <c r="E500" s="155" t="str">
        <f>"FT-IND"&amp;RIGHT(Commodities!E109,3)</f>
        <v>FT-INDIND</v>
      </c>
      <c r="F500" s="136" t="s">
        <v>44</v>
      </c>
      <c r="G500" s="136" t="s">
        <v>110</v>
      </c>
      <c r="H500" s="136" t="s">
        <v>60</v>
      </c>
      <c r="I500" s="133"/>
      <c r="J500" s="136"/>
    </row>
    <row r="501" spans="2:10">
      <c r="B501" s="136" t="str">
        <f>+IF(ISBLANK(D501),"*","")</f>
        <v/>
      </c>
      <c r="C501" s="136"/>
      <c r="D501" s="155" t="s">
        <v>315</v>
      </c>
      <c r="E501" s="155" t="str">
        <f>"FT-IND"&amp;RIGHT(Commodities!E110,3)</f>
        <v>FT-INDIND</v>
      </c>
      <c r="F501" s="136" t="s">
        <v>44</v>
      </c>
      <c r="G501" s="136" t="s">
        <v>110</v>
      </c>
      <c r="H501" s="136"/>
      <c r="I501" s="133"/>
      <c r="J501" s="136"/>
    </row>
    <row r="502" spans="2:10">
      <c r="B502" s="136" t="str">
        <f>+IF(ISBLANK(D502),"*","")</f>
        <v/>
      </c>
      <c r="C502" s="136"/>
      <c r="D502" s="155" t="s">
        <v>316</v>
      </c>
      <c r="E502" s="155" t="str">
        <f>"FT-IND"&amp;RIGHT(Commodities!E111,3)</f>
        <v>FT-INDIND</v>
      </c>
      <c r="F502" s="136" t="s">
        <v>44</v>
      </c>
      <c r="G502" s="136" t="s">
        <v>110</v>
      </c>
      <c r="H502" s="136"/>
      <c r="I502" s="133"/>
      <c r="J502" s="136"/>
    </row>
    <row r="503" spans="2:10">
      <c r="B503" s="136" t="str">
        <f>+IF(ISBLANK(D503),"*","")</f>
        <v/>
      </c>
      <c r="C503" s="136"/>
      <c r="D503" s="155" t="s">
        <v>317</v>
      </c>
      <c r="E503" s="155" t="str">
        <f>"FT-IND"&amp;RIGHT(Commodities!E112,3)</f>
        <v>FT-INDIND</v>
      </c>
      <c r="F503" s="136" t="s">
        <v>44</v>
      </c>
      <c r="G503" s="136" t="s">
        <v>110</v>
      </c>
      <c r="H503" s="136"/>
      <c r="I503" s="133"/>
      <c r="J503" s="136"/>
    </row>
    <row r="504" spans="2:10">
      <c r="B504" s="136" t="str">
        <f>+IF(ISBLANK(D504),"*","")</f>
        <v/>
      </c>
      <c r="C504" s="136"/>
      <c r="D504" s="155" t="s">
        <v>318</v>
      </c>
      <c r="E504" s="155" t="str">
        <f>"FT-IND"&amp;RIGHT(Commodities!E113,3)</f>
        <v>FT-INDIND</v>
      </c>
      <c r="F504" s="136" t="s">
        <v>44</v>
      </c>
      <c r="G504" s="136" t="s">
        <v>110</v>
      </c>
      <c r="H504" s="136"/>
      <c r="I504" s="133"/>
      <c r="J504" s="136"/>
    </row>
    <row r="505" spans="2:10">
      <c r="B505" s="136" t="str">
        <f>+IF(ISBLANK(D505),"*","")</f>
        <v/>
      </c>
      <c r="C505" s="136"/>
      <c r="D505" s="155" t="s">
        <v>319</v>
      </c>
      <c r="E505" s="155" t="str">
        <f>"FT-IND"&amp;RIGHT(Commodities!E114,3)</f>
        <v>FT-INDIND</v>
      </c>
      <c r="F505" s="136" t="s">
        <v>44</v>
      </c>
      <c r="G505" s="136" t="s">
        <v>110</v>
      </c>
      <c r="H505" s="136"/>
      <c r="I505" s="133"/>
      <c r="J505" s="136"/>
    </row>
    <row r="506" spans="2:10">
      <c r="B506" s="136"/>
      <c r="C506" s="136"/>
      <c r="D506" s="155" t="s">
        <v>320</v>
      </c>
      <c r="E506" s="155" t="str">
        <f>"FT-IND"&amp;RIGHT(Commodities!E115,3)</f>
        <v>FT-INDIND</v>
      </c>
      <c r="F506" s="136" t="s">
        <v>44</v>
      </c>
      <c r="G506" s="136" t="s">
        <v>110</v>
      </c>
      <c r="H506" s="136"/>
      <c r="I506" s="133"/>
      <c r="J506" s="136"/>
    </row>
    <row r="507" spans="2:10">
      <c r="B507" s="136"/>
      <c r="C507" s="136"/>
      <c r="D507" s="155" t="s">
        <v>321</v>
      </c>
      <c r="E507" s="155" t="str">
        <f>"FT-IND"&amp;RIGHT(Commodities!E116,3)</f>
        <v>FT-INDIND</v>
      </c>
      <c r="F507" s="136" t="s">
        <v>44</v>
      </c>
      <c r="G507" s="136" t="s">
        <v>110</v>
      </c>
      <c r="H507" s="136"/>
      <c r="I507" s="133"/>
      <c r="J507" s="136"/>
    </row>
    <row r="508" spans="2:10" ht="15" thickBot="1">
      <c r="B508" s="151"/>
      <c r="C508" s="151"/>
      <c r="D508" s="150" t="s">
        <v>322</v>
      </c>
      <c r="E508" s="150" t="str">
        <f>"FT-IND"&amp;RIGHT(Commodities!E117,3)</f>
        <v>FT-INDIND</v>
      </c>
      <c r="F508" s="151" t="s">
        <v>44</v>
      </c>
      <c r="G508" s="151" t="s">
        <v>110</v>
      </c>
      <c r="H508" s="151"/>
      <c r="I508" s="156"/>
      <c r="J508" s="151"/>
    </row>
    <row r="509" spans="2:10" ht="15" thickBot="1">
      <c r="D509" s="150" t="s">
        <v>417</v>
      </c>
      <c r="E509" s="150" t="str">
        <f>"FT-IND"&amp;RIGHT(Commodities!E118,3)</f>
        <v>FT-INDIND</v>
      </c>
      <c r="F509" s="151" t="s">
        <v>44</v>
      </c>
      <c r="G509" s="151" t="s">
        <v>110</v>
      </c>
    </row>
    <row r="510" spans="2:10" ht="15" thickBot="1">
      <c r="D510" s="150" t="s">
        <v>575</v>
      </c>
      <c r="E510" s="150" t="str">
        <f>"FT-IND"&amp;RIGHT(Commodities!E119,3)</f>
        <v>FT-INDIND</v>
      </c>
      <c r="F510" s="151" t="s">
        <v>44</v>
      </c>
      <c r="G510" s="151" t="s">
        <v>110</v>
      </c>
    </row>
    <row r="511" spans="2:10" ht="15" thickBot="1">
      <c r="D511" s="150" t="s">
        <v>573</v>
      </c>
      <c r="E511" s="150" t="str">
        <f>"FT-IND"&amp;RIGHT(Commodities!E120,3)</f>
        <v>FT-INDIND</v>
      </c>
      <c r="F511" s="151" t="s">
        <v>44</v>
      </c>
      <c r="G511" s="151"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9" zoomScaleNormal="100" workbookViewId="0">
      <selection activeCell="E22" sqref="E22"/>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6"/>
    <col min="14" max="23" width="9.1640625" style="25"/>
    <col min="24" max="24" width="23.5" style="25" bestFit="1" customWidth="1"/>
    <col min="25" max="28" width="9.1640625" style="25"/>
    <col min="29" max="29" width="44.33203125" style="25" bestFit="1" customWidth="1"/>
    <col min="30" max="30" width="39.6640625" style="285" bestFit="1" customWidth="1"/>
    <col min="31" max="31" width="12" style="285" bestFit="1" customWidth="1"/>
    <col min="32" max="32" width="21.83203125" style="285" bestFit="1" customWidth="1"/>
    <col min="33" max="35" width="9.1640625" style="285"/>
    <col min="36" max="38" width="9.1640625" style="25"/>
    <col min="39" max="39" width="10.6640625" style="25" customWidth="1"/>
    <col min="40" max="16384" width="9.1640625" style="25"/>
  </cols>
  <sheetData>
    <row r="1" spans="2:42">
      <c r="B1" s="72"/>
      <c r="C1" s="72"/>
    </row>
    <row r="2" spans="2:42">
      <c r="B2" s="72"/>
      <c r="C2" s="72"/>
      <c r="E2" s="228"/>
    </row>
    <row r="3" spans="2:42">
      <c r="B3" s="53" t="s">
        <v>9</v>
      </c>
      <c r="C3" s="53"/>
      <c r="D3" s="54"/>
      <c r="E3" s="54"/>
      <c r="F3" s="54"/>
      <c r="G3" s="54"/>
      <c r="H3" s="54"/>
      <c r="I3" s="54"/>
      <c r="J3" s="54"/>
    </row>
    <row r="4" spans="2:42" ht="15">
      <c r="B4" s="55" t="s">
        <v>6</v>
      </c>
      <c r="C4" s="55" t="s">
        <v>1</v>
      </c>
      <c r="D4" s="55" t="s">
        <v>4</v>
      </c>
      <c r="E4" s="55" t="s">
        <v>5</v>
      </c>
      <c r="F4" s="55" t="s">
        <v>7</v>
      </c>
      <c r="G4" s="55" t="s">
        <v>10</v>
      </c>
      <c r="H4" s="55" t="s">
        <v>11</v>
      </c>
      <c r="I4" s="55" t="s">
        <v>12</v>
      </c>
      <c r="J4" s="55" t="s">
        <v>13</v>
      </c>
    </row>
    <row r="5" spans="2:42" ht="25" thickBot="1">
      <c r="B5" s="97" t="s">
        <v>37</v>
      </c>
      <c r="C5" s="56" t="s">
        <v>29</v>
      </c>
      <c r="D5" s="56" t="s">
        <v>38</v>
      </c>
      <c r="E5" s="56" t="s">
        <v>39</v>
      </c>
      <c r="F5" s="56" t="s">
        <v>7</v>
      </c>
      <c r="G5" s="56" t="s">
        <v>40</v>
      </c>
      <c r="H5" s="56" t="s">
        <v>41</v>
      </c>
      <c r="I5" s="56" t="s">
        <v>42</v>
      </c>
      <c r="J5" s="56" t="s">
        <v>43</v>
      </c>
      <c r="L5" s="98"/>
      <c r="M5" s="98"/>
      <c r="N5" s="98"/>
      <c r="O5" s="48"/>
      <c r="P5" s="48"/>
      <c r="Q5" s="48"/>
      <c r="R5" s="48"/>
      <c r="T5" s="99" t="s">
        <v>155</v>
      </c>
      <c r="U5" s="99" t="s">
        <v>157</v>
      </c>
      <c r="V5" s="99" t="s">
        <v>157</v>
      </c>
      <c r="W5" s="99" t="s">
        <v>157</v>
      </c>
      <c r="X5" s="100" t="s">
        <v>200</v>
      </c>
      <c r="Y5" s="100" t="s">
        <v>156</v>
      </c>
      <c r="Z5" s="100"/>
      <c r="AA5" s="100"/>
      <c r="AB5" s="100"/>
      <c r="AC5" s="100" t="s">
        <v>363</v>
      </c>
      <c r="AD5" s="403" t="s">
        <v>364</v>
      </c>
      <c r="AE5" s="403" t="s">
        <v>88</v>
      </c>
      <c r="AF5" s="403"/>
      <c r="AJ5" s="99" t="s">
        <v>155</v>
      </c>
      <c r="AK5" s="100" t="s">
        <v>163</v>
      </c>
      <c r="AL5" s="100" t="s">
        <v>157</v>
      </c>
      <c r="AM5" s="100" t="s">
        <v>164</v>
      </c>
      <c r="AN5" s="99"/>
      <c r="AO5" s="99"/>
      <c r="AP5" s="99"/>
    </row>
    <row r="6" spans="2:42" s="34" customFormat="1">
      <c r="B6" s="133" t="s">
        <v>17</v>
      </c>
      <c r="C6" s="134"/>
      <c r="D6" s="186" t="str">
        <f t="shared" ref="D6:D37" si="0">+INDEX($U$6:$U$18,M6) &amp; INDEX($AL$6:$AL$13,L6)</f>
        <v>ISDPH</v>
      </c>
      <c r="E6" s="135" t="str">
        <f>INDEX($X$6:$X$17,M6) &amp; " " &amp; INDEX($AM$6:$AM$13,L6)</f>
        <v>Iron &amp; Steel  Demand Process heat</v>
      </c>
      <c r="F6" s="136" t="s">
        <v>44</v>
      </c>
      <c r="G6" s="137"/>
      <c r="H6" s="137"/>
      <c r="I6" s="137"/>
      <c r="J6" s="137"/>
      <c r="K6" s="25"/>
      <c r="L6" s="37">
        <v>1</v>
      </c>
      <c r="M6" s="37">
        <v>1</v>
      </c>
      <c r="N6" s="34" t="str">
        <f>VLOOKUP(M6, $T$6:$Y$18, 6, FALSE)</f>
        <v>01 Iron and steel</v>
      </c>
      <c r="P6" s="25"/>
      <c r="T6" s="101">
        <v>1</v>
      </c>
      <c r="U6" s="104" t="s">
        <v>343</v>
      </c>
      <c r="V6" s="102" t="s">
        <v>526</v>
      </c>
      <c r="W6" s="101" t="s">
        <v>344</v>
      </c>
      <c r="X6" s="104" t="s">
        <v>345</v>
      </c>
      <c r="Y6" s="102" t="str">
        <f>"0"&amp;T6&amp;" "&amp;AC6</f>
        <v>01 Iron and steel</v>
      </c>
      <c r="Z6" s="101"/>
      <c r="AA6" s="104"/>
      <c r="AB6" s="102"/>
      <c r="AC6" s="401" t="s">
        <v>474</v>
      </c>
      <c r="AD6" s="401" t="str">
        <f>AC6</f>
        <v>Iron and steel</v>
      </c>
      <c r="AE6" s="401" t="s">
        <v>346</v>
      </c>
      <c r="AF6" s="401"/>
      <c r="AG6" s="287"/>
      <c r="AH6" s="287"/>
      <c r="AI6" s="287"/>
      <c r="AJ6" s="101">
        <v>1</v>
      </c>
      <c r="AK6" s="102" t="s">
        <v>160</v>
      </c>
      <c r="AL6" s="102" t="s">
        <v>527</v>
      </c>
      <c r="AM6" s="102" t="s">
        <v>528</v>
      </c>
      <c r="AN6" s="102"/>
      <c r="AO6" s="102"/>
      <c r="AP6" s="102"/>
    </row>
    <row r="7" spans="2:42">
      <c r="B7" s="137"/>
      <c r="C7" s="137"/>
      <c r="D7" s="186" t="str">
        <f t="shared" si="0"/>
        <v>ISDCO</v>
      </c>
      <c r="E7" s="135" t="str">
        <f t="shared" ref="E7:E11" si="1">INDEX($X$6:$X$17,M7) &amp; " " &amp; INDEX($AM$6:$AM$13,L7)</f>
        <v>Iron &amp; Steel  Demand Cooling</v>
      </c>
      <c r="F7" s="136" t="s">
        <v>44</v>
      </c>
      <c r="G7" s="137"/>
      <c r="H7" s="137"/>
      <c r="I7" s="137"/>
      <c r="J7" s="137"/>
      <c r="L7" s="37">
        <f>+L6+1</f>
        <v>2</v>
      </c>
      <c r="M7" s="36">
        <f t="shared" ref="M7:M63" si="2">+M6</f>
        <v>1</v>
      </c>
      <c r="P7" s="52"/>
      <c r="T7" s="101">
        <v>2</v>
      </c>
      <c r="U7" s="104" t="s">
        <v>166</v>
      </c>
      <c r="V7" s="102" t="s">
        <v>170</v>
      </c>
      <c r="W7" s="101" t="s">
        <v>217</v>
      </c>
      <c r="X7" s="104" t="s">
        <v>177</v>
      </c>
      <c r="Y7" s="102" t="str">
        <f t="shared" ref="Y7:Y18" si="3">"0"&amp;T7&amp;" "&amp;AC7</f>
        <v>02 Chemical and petrochemical</v>
      </c>
      <c r="Z7" s="588"/>
      <c r="AA7" s="589"/>
      <c r="AB7" s="590"/>
      <c r="AC7" s="600" t="s">
        <v>475</v>
      </c>
      <c r="AD7" s="401" t="str">
        <f t="shared" ref="AD7:AD18" si="4">AC7</f>
        <v>Chemical and petrochemical</v>
      </c>
      <c r="AE7" s="400" t="s">
        <v>239</v>
      </c>
      <c r="AF7" s="591"/>
      <c r="AJ7" s="101">
        <v>2</v>
      </c>
      <c r="AK7" s="102" t="s">
        <v>160</v>
      </c>
      <c r="AL7" s="102" t="s">
        <v>532</v>
      </c>
      <c r="AM7" s="102" t="s">
        <v>529</v>
      </c>
      <c r="AN7" s="102"/>
      <c r="AO7" s="102"/>
      <c r="AP7" s="102"/>
    </row>
    <row r="8" spans="2:42">
      <c r="B8" s="137"/>
      <c r="C8" s="137"/>
      <c r="D8" s="186" t="str">
        <f t="shared" si="0"/>
        <v>ISDSH</v>
      </c>
      <c r="E8" s="135" t="str">
        <f t="shared" si="1"/>
        <v>Iron &amp; Steel  Demand Spatial Heat</v>
      </c>
      <c r="F8" s="136" t="s">
        <v>44</v>
      </c>
      <c r="G8" s="137"/>
      <c r="H8" s="137"/>
      <c r="I8" s="137"/>
      <c r="J8" s="137"/>
      <c r="L8" s="37">
        <f>+L7+1</f>
        <v>3</v>
      </c>
      <c r="M8" s="36">
        <f t="shared" si="2"/>
        <v>1</v>
      </c>
      <c r="P8" s="52"/>
      <c r="T8" s="101">
        <v>3</v>
      </c>
      <c r="U8" s="104" t="s">
        <v>165</v>
      </c>
      <c r="V8" s="102" t="s">
        <v>365</v>
      </c>
      <c r="W8" s="101" t="s">
        <v>215</v>
      </c>
      <c r="X8" s="104" t="s">
        <v>356</v>
      </c>
      <c r="Y8" s="102" t="str">
        <f t="shared" si="3"/>
        <v>03 Non-ferrous metal</v>
      </c>
      <c r="Z8" s="588"/>
      <c r="AA8" s="589"/>
      <c r="AB8" s="590"/>
      <c r="AC8" s="600" t="s">
        <v>476</v>
      </c>
      <c r="AD8" s="401" t="str">
        <f t="shared" si="4"/>
        <v>Non-ferrous metal</v>
      </c>
      <c r="AE8" s="400" t="s">
        <v>357</v>
      </c>
      <c r="AF8" s="591"/>
      <c r="AJ8" s="101">
        <v>3</v>
      </c>
      <c r="AK8" s="102" t="s">
        <v>160</v>
      </c>
      <c r="AL8" s="102" t="s">
        <v>530</v>
      </c>
      <c r="AM8" s="102" t="s">
        <v>531</v>
      </c>
      <c r="AN8" s="102"/>
      <c r="AO8" s="102"/>
      <c r="AP8" s="102"/>
    </row>
    <row r="9" spans="2:42">
      <c r="B9" s="137"/>
      <c r="C9" s="137"/>
      <c r="D9" s="186" t="str">
        <f t="shared" si="0"/>
        <v>ISDLA</v>
      </c>
      <c r="E9" s="135" t="str">
        <f t="shared" si="1"/>
        <v>Iron &amp; Steel  Demand Light</v>
      </c>
      <c r="F9" s="136" t="s">
        <v>44</v>
      </c>
      <c r="G9" s="137"/>
      <c r="H9" s="137"/>
      <c r="I9" s="137"/>
      <c r="J9" s="137"/>
      <c r="L9" s="37">
        <f>+L8+1</f>
        <v>4</v>
      </c>
      <c r="M9" s="36">
        <f t="shared" si="2"/>
        <v>1</v>
      </c>
      <c r="P9" s="52"/>
      <c r="T9" s="101">
        <v>4</v>
      </c>
      <c r="U9" s="104" t="s">
        <v>168</v>
      </c>
      <c r="V9" s="102" t="s">
        <v>171</v>
      </c>
      <c r="W9" s="101" t="s">
        <v>218</v>
      </c>
      <c r="X9" s="104" t="s">
        <v>250</v>
      </c>
      <c r="Y9" s="102" t="str">
        <f t="shared" si="3"/>
        <v>04 Non-metallic minerals</v>
      </c>
      <c r="Z9" s="588"/>
      <c r="AA9" s="589"/>
      <c r="AB9" s="590"/>
      <c r="AC9" s="600" t="s">
        <v>477</v>
      </c>
      <c r="AD9" s="401" t="str">
        <f t="shared" si="4"/>
        <v>Non-metallic minerals</v>
      </c>
      <c r="AE9" s="400" t="s">
        <v>299</v>
      </c>
      <c r="AF9" s="591"/>
      <c r="AJ9" s="101">
        <v>4</v>
      </c>
      <c r="AK9" s="102" t="s">
        <v>160</v>
      </c>
      <c r="AL9" s="102" t="s">
        <v>251</v>
      </c>
      <c r="AM9" s="102" t="s">
        <v>162</v>
      </c>
      <c r="AN9" s="102"/>
      <c r="AO9" s="102"/>
      <c r="AP9" s="102"/>
    </row>
    <row r="10" spans="2:42">
      <c r="B10" s="137"/>
      <c r="C10" s="137"/>
      <c r="D10" s="186" t="str">
        <f t="shared" si="0"/>
        <v>ISDEM</v>
      </c>
      <c r="E10" s="135" t="str">
        <f t="shared" si="1"/>
        <v>Iron &amp; Steel  Demand Electric Motors</v>
      </c>
      <c r="F10" s="136" t="s">
        <v>44</v>
      </c>
      <c r="G10" s="137"/>
      <c r="H10" s="137"/>
      <c r="I10" s="137"/>
      <c r="J10" s="137"/>
      <c r="L10" s="37">
        <f t="shared" ref="L10:L11" si="5">+L9+1</f>
        <v>5</v>
      </c>
      <c r="M10" s="36">
        <f t="shared" si="2"/>
        <v>1</v>
      </c>
      <c r="P10" s="52"/>
      <c r="T10" s="101">
        <v>5</v>
      </c>
      <c r="U10" s="104" t="s">
        <v>401</v>
      </c>
      <c r="V10" s="102" t="s">
        <v>402</v>
      </c>
      <c r="W10" s="101" t="s">
        <v>403</v>
      </c>
      <c r="X10" s="104" t="s">
        <v>540</v>
      </c>
      <c r="Y10" s="102" t="str">
        <f t="shared" si="3"/>
        <v>05 Transport equipment</v>
      </c>
      <c r="Z10" s="588"/>
      <c r="AA10" s="589"/>
      <c r="AB10" s="590"/>
      <c r="AC10" s="600" t="s">
        <v>478</v>
      </c>
      <c r="AD10" s="401" t="str">
        <f t="shared" si="4"/>
        <v>Transport equipment</v>
      </c>
      <c r="AE10" s="400" t="s">
        <v>485</v>
      </c>
      <c r="AF10" s="591"/>
      <c r="AJ10" s="101">
        <v>5</v>
      </c>
      <c r="AK10" s="102" t="s">
        <v>160</v>
      </c>
      <c r="AL10" s="102" t="s">
        <v>17</v>
      </c>
      <c r="AM10" s="102" t="s">
        <v>161</v>
      </c>
      <c r="AN10" s="102"/>
      <c r="AO10" s="102"/>
      <c r="AP10" s="102"/>
    </row>
    <row r="11" spans="2:42">
      <c r="B11" s="136"/>
      <c r="C11" s="136"/>
      <c r="D11" s="186" t="str">
        <f t="shared" si="0"/>
        <v>ISDTF</v>
      </c>
      <c r="E11" s="135" t="str">
        <f t="shared" si="1"/>
        <v>Iron &amp; Steel  Demand Haulage Tractors, Trucks, Fishing boats, Forest machines</v>
      </c>
      <c r="F11" s="136" t="s">
        <v>44</v>
      </c>
      <c r="G11" s="137"/>
      <c r="H11" s="137"/>
      <c r="I11" s="137"/>
      <c r="J11" s="137"/>
      <c r="L11" s="37">
        <f t="shared" si="5"/>
        <v>6</v>
      </c>
      <c r="M11" s="36">
        <f t="shared" si="2"/>
        <v>1</v>
      </c>
      <c r="P11" s="52"/>
      <c r="T11" s="101">
        <v>6</v>
      </c>
      <c r="U11" s="104" t="s">
        <v>159</v>
      </c>
      <c r="V11" s="102" t="s">
        <v>400</v>
      </c>
      <c r="W11" s="101" t="s">
        <v>219</v>
      </c>
      <c r="X11" s="104" t="s">
        <v>358</v>
      </c>
      <c r="Y11" s="102" t="str">
        <f t="shared" si="3"/>
        <v>06 Machinery</v>
      </c>
      <c r="Z11" s="588"/>
      <c r="AA11" s="589"/>
      <c r="AB11" s="590"/>
      <c r="AC11" s="402" t="s">
        <v>342</v>
      </c>
      <c r="AD11" s="401" t="str">
        <f t="shared" si="4"/>
        <v>Machinery</v>
      </c>
      <c r="AE11" s="402" t="s">
        <v>342</v>
      </c>
      <c r="AF11" s="591"/>
      <c r="AG11" s="63"/>
      <c r="AH11" s="63"/>
      <c r="AI11" s="63"/>
      <c r="AJ11" s="101">
        <v>6</v>
      </c>
      <c r="AK11" s="102" t="s">
        <v>160</v>
      </c>
      <c r="AL11" s="102" t="s">
        <v>248</v>
      </c>
      <c r="AM11" s="102" t="s">
        <v>292</v>
      </c>
      <c r="AN11" s="102"/>
      <c r="AO11" s="102"/>
      <c r="AP11" s="102"/>
    </row>
    <row r="12" spans="2:42">
      <c r="B12" s="136"/>
      <c r="C12" s="136"/>
      <c r="D12" s="186" t="str">
        <f t="shared" si="0"/>
        <v>ISDFL</v>
      </c>
      <c r="E12" s="135" t="str">
        <f>INDEX($X$6:$X$17,M12) &amp; " " &amp; INDEX($AM$6:$AM$13,L12)</f>
        <v>Iron &amp; Steel  Demand Haulage Forklifts</v>
      </c>
      <c r="F12" s="136" t="s">
        <v>44</v>
      </c>
      <c r="G12" s="137"/>
      <c r="H12" s="137"/>
      <c r="I12" s="137"/>
      <c r="J12" s="137"/>
      <c r="L12" s="37">
        <f>+L11+1</f>
        <v>7</v>
      </c>
      <c r="M12" s="36">
        <f t="shared" si="2"/>
        <v>1</v>
      </c>
      <c r="P12" s="52"/>
      <c r="T12" s="101">
        <v>7</v>
      </c>
      <c r="U12" s="104" t="s">
        <v>360</v>
      </c>
      <c r="V12" s="102" t="s">
        <v>361</v>
      </c>
      <c r="W12" s="101" t="s">
        <v>362</v>
      </c>
      <c r="X12" s="104" t="s">
        <v>359</v>
      </c>
      <c r="Y12" s="102" t="str">
        <f t="shared" si="3"/>
        <v>07 Mining and quarrying</v>
      </c>
      <c r="Z12" s="588"/>
      <c r="AA12" s="589"/>
      <c r="AB12" s="590"/>
      <c r="AC12" s="600" t="s">
        <v>479</v>
      </c>
      <c r="AD12" s="401" t="str">
        <f t="shared" si="4"/>
        <v>Mining and quarrying</v>
      </c>
      <c r="AE12" s="400" t="s">
        <v>359</v>
      </c>
      <c r="AF12" s="591"/>
      <c r="AJ12" s="101">
        <v>7</v>
      </c>
      <c r="AK12" s="102" t="s">
        <v>160</v>
      </c>
      <c r="AL12" s="102" t="s">
        <v>249</v>
      </c>
      <c r="AM12" s="102" t="s">
        <v>247</v>
      </c>
      <c r="AN12" s="102"/>
      <c r="AO12" s="102"/>
      <c r="AP12" s="102"/>
    </row>
    <row r="13" spans="2:42">
      <c r="B13" s="142"/>
      <c r="C13" s="142"/>
      <c r="D13" s="239" t="str">
        <f t="shared" si="0"/>
        <v>ICDPH</v>
      </c>
      <c r="E13" s="249" t="str">
        <f t="shared" ref="E13:E44" si="6">INDEX($X$6:$X$17,M13) &amp; " " &amp; INDEX($AM$6:$AM$13,L13)</f>
        <v>Chemical industry Demand Process heat</v>
      </c>
      <c r="F13" s="142" t="s">
        <v>44</v>
      </c>
      <c r="G13" s="142"/>
      <c r="H13" s="142"/>
      <c r="I13" s="142"/>
      <c r="J13" s="142"/>
      <c r="L13" s="36">
        <f>+L6</f>
        <v>1</v>
      </c>
      <c r="M13" s="36">
        <f>1+M8</f>
        <v>2</v>
      </c>
      <c r="N13" s="34" t="str">
        <f>VLOOKUP(M13, $T$6:$Y$18, 6, FALSE)</f>
        <v>02 Chemical and petrochemical</v>
      </c>
      <c r="P13" s="52"/>
      <c r="T13" s="101">
        <v>8</v>
      </c>
      <c r="U13" s="104" t="s">
        <v>158</v>
      </c>
      <c r="V13" s="102" t="s">
        <v>169</v>
      </c>
      <c r="W13" s="101" t="s">
        <v>216</v>
      </c>
      <c r="X13" s="104" t="s">
        <v>176</v>
      </c>
      <c r="Y13" s="102" t="str">
        <f t="shared" si="3"/>
        <v>08 Food and tobacco</v>
      </c>
      <c r="Z13" s="588"/>
      <c r="AA13" s="589"/>
      <c r="AB13" s="590"/>
      <c r="AC13" s="600" t="s">
        <v>480</v>
      </c>
      <c r="AD13" s="401" t="str">
        <f t="shared" si="4"/>
        <v>Food and tobacco</v>
      </c>
      <c r="AE13" s="400" t="s">
        <v>238</v>
      </c>
      <c r="AF13" s="591"/>
      <c r="AJ13" s="101"/>
      <c r="AK13" s="102"/>
      <c r="AL13" s="102"/>
      <c r="AM13" s="102"/>
      <c r="AN13" s="102"/>
      <c r="AO13" s="102"/>
      <c r="AP13" s="102"/>
    </row>
    <row r="14" spans="2:42">
      <c r="B14" s="136"/>
      <c r="C14" s="136"/>
      <c r="D14" s="186" t="str">
        <f t="shared" si="0"/>
        <v>ICDCO</v>
      </c>
      <c r="E14" s="250" t="str">
        <f t="shared" si="6"/>
        <v>Chemical industry Demand Cooling</v>
      </c>
      <c r="F14" s="136" t="s">
        <v>44</v>
      </c>
      <c r="G14" s="136"/>
      <c r="H14" s="136"/>
      <c r="I14" s="136"/>
      <c r="J14" s="136"/>
      <c r="L14" s="37">
        <f>+L13+1</f>
        <v>2</v>
      </c>
      <c r="M14" s="36">
        <f t="shared" ref="M14:M19" si="7">+M13</f>
        <v>2</v>
      </c>
      <c r="P14" s="52"/>
      <c r="T14" s="101">
        <v>9</v>
      </c>
      <c r="U14" s="104" t="s">
        <v>347</v>
      </c>
      <c r="V14" s="102" t="s">
        <v>348</v>
      </c>
      <c r="W14" s="101" t="s">
        <v>349</v>
      </c>
      <c r="X14" s="104" t="s">
        <v>350</v>
      </c>
      <c r="Y14" s="102" t="str">
        <f t="shared" si="3"/>
        <v>09 Paper, pulp and printing</v>
      </c>
      <c r="Z14" s="588"/>
      <c r="AA14" s="589"/>
      <c r="AB14" s="590"/>
      <c r="AC14" s="400" t="s">
        <v>481</v>
      </c>
      <c r="AD14" s="401" t="str">
        <f t="shared" si="4"/>
        <v>Paper, pulp and printing</v>
      </c>
      <c r="AE14" s="400" t="s">
        <v>543</v>
      </c>
      <c r="AF14" s="591"/>
    </row>
    <row r="15" spans="2:42">
      <c r="B15" s="136"/>
      <c r="C15" s="136"/>
      <c r="D15" s="186" t="str">
        <f t="shared" si="0"/>
        <v>ICDSH</v>
      </c>
      <c r="E15" s="250" t="str">
        <f>INDEX($X$6:$X$17,M15) &amp; " " &amp; INDEX($AM$6:$AM$13,L15)</f>
        <v>Chemical industry Demand Spatial Heat</v>
      </c>
      <c r="F15" s="136" t="s">
        <v>44</v>
      </c>
      <c r="G15" s="136"/>
      <c r="H15" s="136"/>
      <c r="I15" s="136"/>
      <c r="J15" s="136"/>
      <c r="L15" s="37">
        <f>+L14+1</f>
        <v>3</v>
      </c>
      <c r="M15" s="36">
        <f t="shared" si="7"/>
        <v>2</v>
      </c>
      <c r="P15" s="52"/>
      <c r="T15" s="101">
        <v>10</v>
      </c>
      <c r="U15" s="104" t="s">
        <v>351</v>
      </c>
      <c r="V15" s="102" t="s">
        <v>352</v>
      </c>
      <c r="W15" s="101" t="s">
        <v>353</v>
      </c>
      <c r="X15" s="104" t="s">
        <v>354</v>
      </c>
      <c r="Y15" s="102" t="str">
        <f t="shared" si="3"/>
        <v>010 Wood and wood products</v>
      </c>
      <c r="Z15" s="588"/>
      <c r="AA15" s="589"/>
      <c r="AB15" s="590"/>
      <c r="AC15" s="600" t="s">
        <v>482</v>
      </c>
      <c r="AD15" s="401" t="str">
        <f t="shared" si="4"/>
        <v>Wood and wood products</v>
      </c>
      <c r="AE15" s="600" t="s">
        <v>355</v>
      </c>
      <c r="AF15" s="591"/>
      <c r="AG15" s="399"/>
      <c r="AH15" s="399"/>
      <c r="AI15" s="399"/>
    </row>
    <row r="16" spans="2:42">
      <c r="B16" s="136"/>
      <c r="C16" s="136"/>
      <c r="D16" s="186" t="str">
        <f t="shared" si="0"/>
        <v>ICDLA</v>
      </c>
      <c r="E16" s="135" t="str">
        <f t="shared" si="6"/>
        <v>Chemical industry Demand Light</v>
      </c>
      <c r="F16" s="136" t="s">
        <v>44</v>
      </c>
      <c r="G16" s="137"/>
      <c r="H16" s="137"/>
      <c r="I16" s="137"/>
      <c r="J16" s="137"/>
      <c r="L16" s="37">
        <f>+L15+1</f>
        <v>4</v>
      </c>
      <c r="M16" s="36">
        <f t="shared" si="7"/>
        <v>2</v>
      </c>
      <c r="P16" s="52"/>
      <c r="T16" s="101">
        <v>11</v>
      </c>
      <c r="U16" s="104" t="s">
        <v>404</v>
      </c>
      <c r="V16" s="102" t="s">
        <v>541</v>
      </c>
      <c r="W16" s="101" t="s">
        <v>585</v>
      </c>
      <c r="X16" s="104" t="s">
        <v>542</v>
      </c>
      <c r="Y16" s="102" t="str">
        <f t="shared" si="3"/>
        <v>011 Textile and leather</v>
      </c>
      <c r="Z16" s="588"/>
      <c r="AA16" s="589"/>
      <c r="AB16" s="590"/>
      <c r="AC16" s="600" t="s">
        <v>483</v>
      </c>
      <c r="AD16" s="401" t="str">
        <f t="shared" si="4"/>
        <v>Textile and leather</v>
      </c>
      <c r="AE16" s="400" t="s">
        <v>544</v>
      </c>
      <c r="AF16" s="591"/>
    </row>
    <row r="17" spans="2:32">
      <c r="B17" s="136"/>
      <c r="C17" s="136"/>
      <c r="D17" s="186" t="str">
        <f t="shared" si="0"/>
        <v>ICDEM</v>
      </c>
      <c r="E17" s="135" t="str">
        <f t="shared" si="6"/>
        <v>Chemical industry Demand Electric Motors</v>
      </c>
      <c r="F17" s="136" t="s">
        <v>44</v>
      </c>
      <c r="G17" s="137"/>
      <c r="H17" s="137"/>
      <c r="I17" s="137"/>
      <c r="J17" s="137"/>
      <c r="L17" s="37">
        <f>+L16+1</f>
        <v>5</v>
      </c>
      <c r="M17" s="36">
        <f t="shared" si="7"/>
        <v>2</v>
      </c>
      <c r="P17" s="52"/>
      <c r="T17" s="101">
        <v>12</v>
      </c>
      <c r="U17" s="104" t="s">
        <v>255</v>
      </c>
      <c r="V17" s="102" t="s">
        <v>257</v>
      </c>
      <c r="W17" s="101" t="s">
        <v>256</v>
      </c>
      <c r="X17" s="104" t="s">
        <v>253</v>
      </c>
      <c r="Y17" s="102" t="str">
        <f t="shared" si="3"/>
        <v>012 Construction</v>
      </c>
      <c r="Z17" s="588"/>
      <c r="AA17" s="589"/>
      <c r="AB17" s="590"/>
      <c r="AC17" s="600" t="s">
        <v>253</v>
      </c>
      <c r="AD17" s="401" t="str">
        <f t="shared" si="4"/>
        <v>Construction</v>
      </c>
      <c r="AE17" s="400" t="s">
        <v>253</v>
      </c>
      <c r="AF17" s="591"/>
    </row>
    <row r="18" spans="2:32">
      <c r="B18" s="136"/>
      <c r="C18" s="136"/>
      <c r="D18" s="186" t="str">
        <f t="shared" si="0"/>
        <v>ICDTF</v>
      </c>
      <c r="E18" s="250" t="str">
        <f t="shared" si="6"/>
        <v>Chemical industry Demand Haulage Tractors, Trucks, Fishing boats, Forest machines</v>
      </c>
      <c r="F18" s="136" t="s">
        <v>44</v>
      </c>
      <c r="G18" s="136"/>
      <c r="H18" s="136"/>
      <c r="I18" s="136"/>
      <c r="J18" s="136"/>
      <c r="L18" s="37">
        <f t="shared" ref="L18:L19" si="8">+L17+1</f>
        <v>6</v>
      </c>
      <c r="M18" s="36">
        <f t="shared" si="7"/>
        <v>2</v>
      </c>
      <c r="P18" s="52"/>
      <c r="T18" s="101">
        <v>13</v>
      </c>
      <c r="U18" s="104" t="s">
        <v>167</v>
      </c>
      <c r="V18" s="102" t="s">
        <v>172</v>
      </c>
      <c r="W18" s="101" t="s">
        <v>220</v>
      </c>
      <c r="X18" s="104" t="s">
        <v>175</v>
      </c>
      <c r="Y18" s="102" t="str">
        <f t="shared" si="3"/>
        <v>013 Non-specified</v>
      </c>
      <c r="Z18" s="588"/>
      <c r="AA18" s="589"/>
      <c r="AB18" s="590"/>
      <c r="AC18" s="600" t="s">
        <v>484</v>
      </c>
      <c r="AD18" s="401" t="str">
        <f t="shared" si="4"/>
        <v>Non-specified</v>
      </c>
      <c r="AE18" s="400" t="s">
        <v>240</v>
      </c>
      <c r="AF18" s="591"/>
    </row>
    <row r="19" spans="2:32">
      <c r="B19" s="136"/>
      <c r="C19" s="136"/>
      <c r="D19" s="186" t="str">
        <f t="shared" si="0"/>
        <v>ICDFL</v>
      </c>
      <c r="E19" s="250" t="str">
        <f t="shared" si="6"/>
        <v>Chemical industry Demand Haulage Forklifts</v>
      </c>
      <c r="F19" s="136" t="s">
        <v>44</v>
      </c>
      <c r="G19" s="136"/>
      <c r="H19" s="136"/>
      <c r="I19" s="136"/>
      <c r="J19" s="136"/>
      <c r="L19" s="37">
        <f t="shared" si="8"/>
        <v>7</v>
      </c>
      <c r="M19" s="36">
        <f t="shared" si="7"/>
        <v>2</v>
      </c>
      <c r="P19" s="52"/>
      <c r="X19" s="285"/>
      <c r="Y19" s="285"/>
    </row>
    <row r="20" spans="2:32">
      <c r="B20" s="142"/>
      <c r="C20" s="142"/>
      <c r="D20" s="239" t="str">
        <f t="shared" si="0"/>
        <v>IADPH</v>
      </c>
      <c r="E20" s="249" t="str">
        <f t="shared" si="6"/>
        <v>Aluminium industry Demand Process heat</v>
      </c>
      <c r="F20" s="142" t="s">
        <v>44</v>
      </c>
      <c r="G20" s="142"/>
      <c r="H20" s="142"/>
      <c r="I20" s="142"/>
      <c r="J20" s="142"/>
      <c r="L20" s="36">
        <f>+L13</f>
        <v>1</v>
      </c>
      <c r="M20" s="36">
        <f>1+M15</f>
        <v>3</v>
      </c>
      <c r="N20" s="34" t="str">
        <f>VLOOKUP(M20, $T$6:$Y$17, 6, FALSE)</f>
        <v>03 Non-ferrous metal</v>
      </c>
      <c r="P20" s="52"/>
      <c r="X20" s="105"/>
    </row>
    <row r="21" spans="2:32">
      <c r="B21" s="136"/>
      <c r="C21" s="136"/>
      <c r="D21" s="186" t="str">
        <f t="shared" si="0"/>
        <v>IADCO</v>
      </c>
      <c r="E21" s="250" t="str">
        <f t="shared" si="6"/>
        <v>Aluminium industry Demand Cooling</v>
      </c>
      <c r="F21" s="136" t="s">
        <v>44</v>
      </c>
      <c r="G21" s="136"/>
      <c r="H21" s="136"/>
      <c r="I21" s="136"/>
      <c r="J21" s="136"/>
      <c r="L21" s="37">
        <f>+L20+1</f>
        <v>2</v>
      </c>
      <c r="M21" s="36">
        <f>+M20</f>
        <v>3</v>
      </c>
      <c r="P21" s="52"/>
    </row>
    <row r="22" spans="2:32">
      <c r="B22" s="136"/>
      <c r="C22" s="136"/>
      <c r="D22" s="186" t="str">
        <f t="shared" si="0"/>
        <v>IADSH</v>
      </c>
      <c r="E22" s="135" t="str">
        <f t="shared" si="6"/>
        <v>Aluminium industry Demand Spatial Heat</v>
      </c>
      <c r="F22" s="136" t="s">
        <v>44</v>
      </c>
      <c r="G22" s="137"/>
      <c r="H22" s="137"/>
      <c r="I22" s="137"/>
      <c r="J22" s="137"/>
      <c r="L22" s="37">
        <f>+L21+1</f>
        <v>3</v>
      </c>
      <c r="M22" s="36">
        <f t="shared" si="2"/>
        <v>3</v>
      </c>
      <c r="P22" s="52"/>
      <c r="T22" s="592"/>
      <c r="U22" s="593"/>
      <c r="V22" s="593"/>
      <c r="W22" s="593"/>
      <c r="X22" s="593"/>
      <c r="Y22" s="593"/>
      <c r="Z22" s="593"/>
      <c r="AA22" s="593"/>
      <c r="AB22" s="593"/>
      <c r="AC22" s="429"/>
    </row>
    <row r="23" spans="2:32">
      <c r="B23" s="136"/>
      <c r="C23" s="136"/>
      <c r="D23" s="186" t="str">
        <f t="shared" si="0"/>
        <v>IADLA</v>
      </c>
      <c r="E23" s="135" t="str">
        <f t="shared" si="6"/>
        <v>Aluminium industry Demand Light</v>
      </c>
      <c r="F23" s="136" t="s">
        <v>44</v>
      </c>
      <c r="G23" s="137"/>
      <c r="H23" s="137"/>
      <c r="I23" s="137"/>
      <c r="J23" s="137"/>
      <c r="L23" s="37">
        <f>+L22+1</f>
        <v>4</v>
      </c>
      <c r="M23" s="36">
        <f t="shared" si="2"/>
        <v>3</v>
      </c>
      <c r="P23" s="52"/>
      <c r="T23" s="593"/>
      <c r="U23" s="524"/>
      <c r="V23" s="429"/>
      <c r="W23" s="596"/>
      <c r="X23" s="524"/>
      <c r="Y23" s="593"/>
      <c r="Z23" s="593"/>
      <c r="AA23" s="593"/>
      <c r="AB23" s="593"/>
      <c r="AC23" s="429"/>
    </row>
    <row r="24" spans="2:32">
      <c r="B24" s="136"/>
      <c r="C24" s="136"/>
      <c r="D24" s="186" t="str">
        <f t="shared" si="0"/>
        <v>IADEM</v>
      </c>
      <c r="E24" s="135" t="str">
        <f t="shared" si="6"/>
        <v>Aluminium industry Demand Electric Motors</v>
      </c>
      <c r="F24" s="136" t="s">
        <v>44</v>
      </c>
      <c r="G24" s="137"/>
      <c r="H24" s="137"/>
      <c r="I24" s="137"/>
      <c r="J24" s="137"/>
      <c r="L24" s="37">
        <f t="shared" ref="L24:L26" si="9">+L23+1</f>
        <v>5</v>
      </c>
      <c r="M24" s="36">
        <f t="shared" si="2"/>
        <v>3</v>
      </c>
      <c r="P24" s="52"/>
      <c r="T24" s="594"/>
      <c r="U24" s="524"/>
      <c r="V24" s="429"/>
      <c r="W24" s="596"/>
      <c r="X24" s="524"/>
      <c r="Y24" s="595"/>
      <c r="Z24" s="595"/>
      <c r="AA24" s="595"/>
      <c r="AB24" s="595"/>
      <c r="AC24" s="429"/>
    </row>
    <row r="25" spans="2:32">
      <c r="B25" s="136"/>
      <c r="C25" s="136"/>
      <c r="D25" s="186" t="str">
        <f t="shared" si="0"/>
        <v>IADTF</v>
      </c>
      <c r="E25" s="135" t="str">
        <f t="shared" si="6"/>
        <v>Aluminium industry Demand Haulage Tractors, Trucks, Fishing boats, Forest machines</v>
      </c>
      <c r="F25" s="136" t="s">
        <v>44</v>
      </c>
      <c r="G25" s="137"/>
      <c r="H25" s="137"/>
      <c r="I25" s="137"/>
      <c r="J25" s="137"/>
      <c r="L25" s="37">
        <f t="shared" si="9"/>
        <v>6</v>
      </c>
      <c r="M25" s="36">
        <f t="shared" si="2"/>
        <v>3</v>
      </c>
      <c r="P25" s="52"/>
      <c r="T25" s="596"/>
      <c r="U25" s="524"/>
      <c r="V25" s="429"/>
      <c r="W25" s="596"/>
      <c r="X25" s="524"/>
      <c r="Y25" s="429"/>
      <c r="Z25" s="429"/>
      <c r="AA25" s="429"/>
      <c r="AB25" s="429"/>
      <c r="AC25" s="429"/>
    </row>
    <row r="26" spans="2:32">
      <c r="B26" s="136"/>
      <c r="C26" s="136"/>
      <c r="D26" s="186" t="str">
        <f t="shared" si="0"/>
        <v>IADFL</v>
      </c>
      <c r="E26" s="135" t="str">
        <f t="shared" si="6"/>
        <v>Aluminium industry Demand Haulage Forklifts</v>
      </c>
      <c r="F26" s="136" t="s">
        <v>44</v>
      </c>
      <c r="G26" s="137"/>
      <c r="H26" s="137"/>
      <c r="I26" s="137"/>
      <c r="J26" s="137"/>
      <c r="L26" s="37">
        <f t="shared" si="9"/>
        <v>7</v>
      </c>
      <c r="M26" s="36">
        <f t="shared" si="2"/>
        <v>3</v>
      </c>
      <c r="P26" s="52"/>
      <c r="T26" s="596"/>
      <c r="U26" s="524"/>
      <c r="V26" s="429"/>
      <c r="W26" s="596"/>
      <c r="X26" s="524"/>
      <c r="Y26" s="429"/>
      <c r="Z26" s="429"/>
      <c r="AA26" s="429"/>
      <c r="AB26" s="429"/>
      <c r="AC26" s="429"/>
      <c r="AE26" s="291"/>
    </row>
    <row r="27" spans="2:32">
      <c r="B27" s="142"/>
      <c r="C27" s="142"/>
      <c r="D27" s="239" t="str">
        <f t="shared" si="0"/>
        <v>IGDPH</v>
      </c>
      <c r="E27" s="249" t="str">
        <f t="shared" si="6"/>
        <v>Glass &amp; Concrete industry Demand Process heat</v>
      </c>
      <c r="F27" s="142" t="s">
        <v>44</v>
      </c>
      <c r="G27" s="142"/>
      <c r="H27" s="142"/>
      <c r="I27" s="142"/>
      <c r="J27" s="142"/>
      <c r="L27" s="36">
        <f>+L20</f>
        <v>1</v>
      </c>
      <c r="M27" s="36">
        <f>1+M22</f>
        <v>4</v>
      </c>
      <c r="N27" s="34" t="str">
        <f>VLOOKUP(M27, $T$6:$Y$17, 6, FALSE)</f>
        <v>04 Non-metallic minerals</v>
      </c>
      <c r="P27" s="52"/>
      <c r="T27" s="596"/>
      <c r="U27" s="524"/>
      <c r="V27" s="429"/>
      <c r="W27" s="596"/>
      <c r="X27" s="524"/>
      <c r="Y27" s="429"/>
      <c r="Z27" s="429"/>
      <c r="AA27" s="429"/>
      <c r="AB27" s="429"/>
      <c r="AC27" s="429"/>
      <c r="AE27" s="291"/>
    </row>
    <row r="28" spans="2:32">
      <c r="B28" s="136"/>
      <c r="C28" s="136"/>
      <c r="D28" s="186" t="str">
        <f t="shared" si="0"/>
        <v>IGDCO</v>
      </c>
      <c r="E28" s="250" t="str">
        <f t="shared" si="6"/>
        <v>Glass &amp; Concrete industry Demand Cooling</v>
      </c>
      <c r="F28" s="136" t="s">
        <v>44</v>
      </c>
      <c r="G28" s="136"/>
      <c r="H28" s="136"/>
      <c r="I28" s="136"/>
      <c r="J28" s="136"/>
      <c r="L28" s="37">
        <f>+L27+1</f>
        <v>2</v>
      </c>
      <c r="M28" s="36">
        <f t="shared" si="2"/>
        <v>4</v>
      </c>
      <c r="P28" s="52"/>
      <c r="T28" s="596"/>
      <c r="U28" s="524"/>
      <c r="V28" s="429"/>
      <c r="W28" s="596"/>
      <c r="X28" s="524"/>
      <c r="Y28" s="429"/>
      <c r="Z28" s="429"/>
      <c r="AA28" s="429"/>
      <c r="AB28" s="429"/>
      <c r="AC28" s="429"/>
      <c r="AE28" s="601"/>
    </row>
    <row r="29" spans="2:32">
      <c r="B29" s="136"/>
      <c r="C29" s="136"/>
      <c r="D29" s="186" t="str">
        <f t="shared" si="0"/>
        <v>IGDSH</v>
      </c>
      <c r="E29" s="135" t="str">
        <f t="shared" si="6"/>
        <v>Glass &amp; Concrete industry Demand Spatial Heat</v>
      </c>
      <c r="F29" s="136" t="s">
        <v>44</v>
      </c>
      <c r="G29" s="137"/>
      <c r="H29" s="137"/>
      <c r="I29" s="137"/>
      <c r="J29" s="137"/>
      <c r="L29" s="37">
        <f>+L28+1</f>
        <v>3</v>
      </c>
      <c r="M29" s="36">
        <f t="shared" si="2"/>
        <v>4</v>
      </c>
      <c r="P29" s="52"/>
      <c r="T29" s="597"/>
      <c r="U29" s="524"/>
      <c r="V29" s="429"/>
      <c r="W29" s="596"/>
      <c r="X29" s="524"/>
      <c r="Y29" s="429"/>
      <c r="Z29" s="598"/>
      <c r="AA29" s="598"/>
      <c r="AB29" s="598"/>
      <c r="AC29" s="429"/>
      <c r="AE29" s="601"/>
    </row>
    <row r="30" spans="2:32">
      <c r="B30" s="136"/>
      <c r="C30" s="136"/>
      <c r="D30" s="186" t="str">
        <f t="shared" si="0"/>
        <v>IGDLA</v>
      </c>
      <c r="E30" s="135" t="str">
        <f t="shared" si="6"/>
        <v>Glass &amp; Concrete industry Demand Light</v>
      </c>
      <c r="F30" s="136" t="s">
        <v>44</v>
      </c>
      <c r="G30" s="137"/>
      <c r="H30" s="137"/>
      <c r="I30" s="137"/>
      <c r="J30" s="137"/>
      <c r="L30" s="37">
        <f>+L29+1</f>
        <v>4</v>
      </c>
      <c r="M30" s="36">
        <f t="shared" si="2"/>
        <v>4</v>
      </c>
      <c r="P30" s="52"/>
      <c r="T30" s="596"/>
      <c r="U30" s="524"/>
      <c r="V30" s="429"/>
      <c r="W30" s="596"/>
      <c r="X30" s="524"/>
      <c r="Y30" s="429"/>
      <c r="Z30" s="429"/>
      <c r="AA30" s="429"/>
      <c r="AB30" s="429"/>
      <c r="AC30" s="429"/>
      <c r="AE30" s="601"/>
    </row>
    <row r="31" spans="2:32">
      <c r="B31" s="136"/>
      <c r="C31" s="136"/>
      <c r="D31" s="186" t="str">
        <f t="shared" si="0"/>
        <v>IGDEM</v>
      </c>
      <c r="E31" s="135" t="str">
        <f t="shared" si="6"/>
        <v>Glass &amp; Concrete industry Demand Electric Motors</v>
      </c>
      <c r="F31" s="136" t="s">
        <v>44</v>
      </c>
      <c r="G31" s="137"/>
      <c r="H31" s="137"/>
      <c r="I31" s="137"/>
      <c r="J31" s="137"/>
      <c r="L31" s="37">
        <f t="shared" ref="L31:L33" si="10">+L30+1</f>
        <v>5</v>
      </c>
      <c r="M31" s="36">
        <f t="shared" si="2"/>
        <v>4</v>
      </c>
      <c r="P31" s="52"/>
      <c r="T31" s="596"/>
      <c r="U31" s="524"/>
      <c r="V31" s="429"/>
      <c r="W31" s="596"/>
      <c r="X31" s="524"/>
      <c r="Y31" s="429"/>
      <c r="Z31" s="429"/>
      <c r="AA31" s="429"/>
      <c r="AB31" s="429"/>
      <c r="AC31" s="429"/>
      <c r="AE31" s="602"/>
    </row>
    <row r="32" spans="2:32">
      <c r="B32" s="136"/>
      <c r="C32" s="136"/>
      <c r="D32" s="186" t="str">
        <f t="shared" si="0"/>
        <v>IGDTF</v>
      </c>
      <c r="E32" s="135" t="str">
        <f t="shared" si="6"/>
        <v>Glass &amp; Concrete industry Demand Haulage Tractors, Trucks, Fishing boats, Forest machines</v>
      </c>
      <c r="F32" s="136" t="s">
        <v>44</v>
      </c>
      <c r="G32" s="137"/>
      <c r="H32" s="137"/>
      <c r="I32" s="137"/>
      <c r="J32" s="137"/>
      <c r="L32" s="37">
        <f t="shared" si="10"/>
        <v>6</v>
      </c>
      <c r="M32" s="36">
        <f t="shared" si="2"/>
        <v>4</v>
      </c>
      <c r="P32" s="52"/>
      <c r="T32" s="596"/>
      <c r="U32" s="524"/>
      <c r="V32" s="429"/>
      <c r="W32" s="596"/>
      <c r="X32" s="524"/>
      <c r="Y32" s="429"/>
      <c r="Z32" s="429"/>
      <c r="AA32" s="429"/>
      <c r="AB32" s="429"/>
      <c r="AC32" s="429"/>
      <c r="AE32" s="601"/>
    </row>
    <row r="33" spans="2:31">
      <c r="B33" s="136"/>
      <c r="C33" s="136"/>
      <c r="D33" s="186" t="str">
        <f t="shared" si="0"/>
        <v>IGDFL</v>
      </c>
      <c r="E33" s="135" t="str">
        <f t="shared" si="6"/>
        <v>Glass &amp; Concrete industry Demand Haulage Forklifts</v>
      </c>
      <c r="F33" s="136" t="s">
        <v>44</v>
      </c>
      <c r="G33" s="137"/>
      <c r="H33" s="137"/>
      <c r="I33" s="137"/>
      <c r="J33" s="137"/>
      <c r="L33" s="37">
        <f t="shared" si="10"/>
        <v>7</v>
      </c>
      <c r="M33" s="36">
        <f t="shared" si="2"/>
        <v>4</v>
      </c>
      <c r="P33" s="52"/>
      <c r="T33" s="596"/>
      <c r="U33" s="524"/>
      <c r="V33" s="429"/>
      <c r="W33" s="596"/>
      <c r="X33" s="524"/>
      <c r="Y33" s="429"/>
      <c r="Z33" s="429"/>
      <c r="AA33" s="429"/>
      <c r="AB33" s="429"/>
      <c r="AC33" s="429"/>
      <c r="AE33" s="601"/>
    </row>
    <row r="34" spans="2:31">
      <c r="B34" s="142"/>
      <c r="C34" s="142"/>
      <c r="D34" s="239" t="str">
        <f t="shared" si="0"/>
        <v>ITDPH</v>
      </c>
      <c r="E34" s="249" t="str">
        <f>INDEX($X$6:$X$17,M34) &amp; " " &amp; INDEX($AM$6:$AM$13,L34)</f>
        <v>Transport industry Demand Process heat</v>
      </c>
      <c r="F34" s="142" t="s">
        <v>44</v>
      </c>
      <c r="G34" s="142"/>
      <c r="H34" s="142"/>
      <c r="I34" s="142"/>
      <c r="J34" s="142"/>
      <c r="L34" s="36">
        <f>+L27</f>
        <v>1</v>
      </c>
      <c r="M34" s="36">
        <f>1+M29</f>
        <v>5</v>
      </c>
      <c r="N34" s="34" t="str">
        <f>VLOOKUP(M34, $T$6:$Y$17, 6, FALSE)</f>
        <v>05 Transport equipment</v>
      </c>
      <c r="P34" s="52"/>
      <c r="T34" s="596"/>
      <c r="U34" s="524"/>
      <c r="V34" s="429"/>
      <c r="W34" s="596"/>
      <c r="X34" s="524"/>
      <c r="Y34" s="429"/>
      <c r="Z34" s="429"/>
      <c r="AA34" s="429"/>
      <c r="AB34" s="429"/>
      <c r="AC34" s="429"/>
      <c r="AE34" s="601"/>
    </row>
    <row r="35" spans="2:31">
      <c r="B35" s="136"/>
      <c r="C35" s="136"/>
      <c r="D35" s="186" t="str">
        <f t="shared" si="0"/>
        <v>ITDCO</v>
      </c>
      <c r="E35" s="135" t="str">
        <f t="shared" si="6"/>
        <v>Transport industry Demand Cooling</v>
      </c>
      <c r="F35" s="136" t="s">
        <v>44</v>
      </c>
      <c r="G35" s="137"/>
      <c r="H35" s="137"/>
      <c r="I35" s="137"/>
      <c r="J35" s="137"/>
      <c r="L35" s="37">
        <f>+L34+1</f>
        <v>2</v>
      </c>
      <c r="M35" s="36">
        <f t="shared" si="2"/>
        <v>5</v>
      </c>
      <c r="P35" s="52"/>
      <c r="T35" s="596"/>
      <c r="U35" s="596"/>
      <c r="V35" s="596"/>
      <c r="W35" s="596"/>
      <c r="X35" s="524"/>
      <c r="Y35" s="429"/>
      <c r="Z35" s="429"/>
      <c r="AA35" s="429"/>
      <c r="AB35" s="429"/>
      <c r="AC35" s="429"/>
      <c r="AE35" s="603"/>
    </row>
    <row r="36" spans="2:31">
      <c r="B36" s="136"/>
      <c r="C36" s="136"/>
      <c r="D36" s="186" t="str">
        <f t="shared" si="0"/>
        <v>ITDSH</v>
      </c>
      <c r="E36" s="135" t="str">
        <f t="shared" si="6"/>
        <v>Transport industry Demand Spatial Heat</v>
      </c>
      <c r="F36" s="136" t="s">
        <v>44</v>
      </c>
      <c r="G36" s="137"/>
      <c r="H36" s="137"/>
      <c r="I36" s="137"/>
      <c r="J36" s="137"/>
      <c r="L36" s="37">
        <f>+L35+1</f>
        <v>3</v>
      </c>
      <c r="M36" s="36">
        <f t="shared" si="2"/>
        <v>5</v>
      </c>
      <c r="P36" s="52"/>
      <c r="T36" s="596"/>
      <c r="U36" s="596"/>
      <c r="V36" s="596"/>
      <c r="W36" s="596"/>
      <c r="X36" s="524"/>
      <c r="Y36" s="429"/>
      <c r="Z36" s="429"/>
      <c r="AA36" s="429"/>
      <c r="AB36" s="429"/>
      <c r="AC36" s="429"/>
      <c r="AE36" s="601"/>
    </row>
    <row r="37" spans="2:31">
      <c r="B37" s="136"/>
      <c r="C37" s="136"/>
      <c r="D37" s="186" t="str">
        <f t="shared" si="0"/>
        <v>ITDLA</v>
      </c>
      <c r="E37" s="135" t="str">
        <f t="shared" si="6"/>
        <v>Transport industry Demand Light</v>
      </c>
      <c r="F37" s="136" t="s">
        <v>44</v>
      </c>
      <c r="G37" s="137"/>
      <c r="H37" s="137"/>
      <c r="I37" s="137"/>
      <c r="J37" s="137"/>
      <c r="L37" s="37">
        <f>+L36+1</f>
        <v>4</v>
      </c>
      <c r="M37" s="36">
        <f t="shared" si="2"/>
        <v>5</v>
      </c>
      <c r="P37" s="52"/>
      <c r="T37" s="429"/>
      <c r="U37" s="429"/>
      <c r="V37" s="429"/>
      <c r="W37" s="429"/>
      <c r="X37" s="429"/>
      <c r="Y37" s="429"/>
      <c r="Z37" s="429"/>
      <c r="AA37" s="429"/>
      <c r="AB37" s="429"/>
      <c r="AC37" s="429"/>
      <c r="AE37" s="601"/>
    </row>
    <row r="38" spans="2:31">
      <c r="B38" s="136"/>
      <c r="C38" s="136"/>
      <c r="D38" s="186" t="str">
        <f t="shared" ref="D38:D69" si="11">+INDEX($U$6:$U$18,M38) &amp; INDEX($AL$6:$AL$13,L38)</f>
        <v>ITDEM</v>
      </c>
      <c r="E38" s="135" t="str">
        <f t="shared" si="6"/>
        <v>Transport industry Demand Electric Motors</v>
      </c>
      <c r="F38" s="136" t="s">
        <v>44</v>
      </c>
      <c r="G38" s="137"/>
      <c r="H38" s="137"/>
      <c r="I38" s="137"/>
      <c r="J38" s="137"/>
      <c r="L38" s="37">
        <f t="shared" ref="L38:L40" si="12">+L37+1</f>
        <v>5</v>
      </c>
      <c r="M38" s="36">
        <f t="shared" si="2"/>
        <v>5</v>
      </c>
      <c r="P38" s="52"/>
      <c r="T38" s="592"/>
      <c r="U38" s="429"/>
      <c r="V38" s="429"/>
      <c r="W38" s="429"/>
      <c r="X38" s="429"/>
      <c r="Y38" s="429"/>
      <c r="Z38" s="429"/>
      <c r="AA38" s="429"/>
      <c r="AB38" s="429"/>
      <c r="AC38" s="429"/>
      <c r="AE38" s="601"/>
    </row>
    <row r="39" spans="2:31">
      <c r="B39" s="136"/>
      <c r="C39" s="136"/>
      <c r="D39" s="186" t="str">
        <f t="shared" si="11"/>
        <v>ITDTF</v>
      </c>
      <c r="E39" s="135" t="str">
        <f t="shared" si="6"/>
        <v>Transport industry Demand Haulage Tractors, Trucks, Fishing boats, Forest machines</v>
      </c>
      <c r="F39" s="136" t="s">
        <v>44</v>
      </c>
      <c r="G39" s="137"/>
      <c r="H39" s="137"/>
      <c r="I39" s="137"/>
      <c r="J39" s="137"/>
      <c r="L39" s="37">
        <f t="shared" si="12"/>
        <v>6</v>
      </c>
      <c r="M39" s="36">
        <f t="shared" si="2"/>
        <v>5</v>
      </c>
      <c r="P39" s="52"/>
      <c r="T39" s="429"/>
      <c r="U39" s="429"/>
      <c r="V39" s="429"/>
      <c r="W39" s="429"/>
      <c r="X39" s="429"/>
      <c r="Y39" s="429"/>
      <c r="Z39" s="429"/>
      <c r="AA39" s="429"/>
      <c r="AB39" s="429"/>
      <c r="AC39" s="429"/>
      <c r="AE39" s="291"/>
    </row>
    <row r="40" spans="2:31">
      <c r="B40" s="136"/>
      <c r="C40" s="136"/>
      <c r="D40" s="186" t="str">
        <f t="shared" si="11"/>
        <v>ITDFL</v>
      </c>
      <c r="E40" s="135" t="str">
        <f t="shared" si="6"/>
        <v>Transport industry Demand Haulage Forklifts</v>
      </c>
      <c r="F40" s="136" t="s">
        <v>44</v>
      </c>
      <c r="G40" s="137"/>
      <c r="H40" s="137"/>
      <c r="I40" s="137"/>
      <c r="J40" s="137"/>
      <c r="L40" s="37">
        <f t="shared" si="12"/>
        <v>7</v>
      </c>
      <c r="M40" s="36">
        <f t="shared" si="2"/>
        <v>5</v>
      </c>
      <c r="P40" s="52"/>
      <c r="T40" s="429"/>
      <c r="U40" s="429"/>
      <c r="V40" s="429"/>
      <c r="W40" s="429"/>
      <c r="X40" s="429"/>
      <c r="Y40" s="429"/>
      <c r="Z40" s="429"/>
      <c r="AA40" s="429"/>
      <c r="AB40" s="429"/>
      <c r="AC40" s="429"/>
      <c r="AE40" s="291"/>
    </row>
    <row r="41" spans="2:31">
      <c r="B41" s="142"/>
      <c r="C41" s="142"/>
      <c r="D41" s="239" t="str">
        <f t="shared" si="11"/>
        <v>IMDPH</v>
      </c>
      <c r="E41" s="249" t="str">
        <f t="shared" si="6"/>
        <v>Machinery industry Demand Process heat</v>
      </c>
      <c r="F41" s="142" t="s">
        <v>44</v>
      </c>
      <c r="G41" s="142"/>
      <c r="H41" s="142"/>
      <c r="I41" s="142"/>
      <c r="J41" s="142"/>
      <c r="L41" s="36">
        <f>+L34</f>
        <v>1</v>
      </c>
      <c r="M41" s="36">
        <f>1+M36</f>
        <v>6</v>
      </c>
      <c r="N41" s="34" t="str">
        <f>VLOOKUP(M41, $T$6:$Y$17, 6, FALSE)</f>
        <v>06 Machinery</v>
      </c>
      <c r="P41" s="52"/>
      <c r="T41" s="594"/>
      <c r="U41" s="594"/>
      <c r="V41" s="594"/>
      <c r="W41" s="594"/>
      <c r="X41" s="595"/>
      <c r="Y41" s="595"/>
      <c r="Z41" s="595"/>
      <c r="AA41" s="595"/>
      <c r="AB41" s="595"/>
      <c r="AC41" s="429"/>
      <c r="AE41" s="291"/>
    </row>
    <row r="42" spans="2:31">
      <c r="B42" s="136"/>
      <c r="C42" s="136"/>
      <c r="D42" s="186" t="str">
        <f t="shared" si="11"/>
        <v>IMDCO</v>
      </c>
      <c r="E42" s="135" t="str">
        <f t="shared" si="6"/>
        <v>Machinery industry Demand Cooling</v>
      </c>
      <c r="F42" s="136" t="s">
        <v>44</v>
      </c>
      <c r="G42" s="137"/>
      <c r="H42" s="137"/>
      <c r="I42" s="137"/>
      <c r="J42" s="137"/>
      <c r="L42" s="37">
        <f>+L41+1</f>
        <v>2</v>
      </c>
      <c r="M42" s="36">
        <f t="shared" si="2"/>
        <v>6</v>
      </c>
      <c r="P42" s="52"/>
      <c r="T42" s="596"/>
      <c r="U42" s="596"/>
      <c r="V42" s="596"/>
      <c r="W42" s="596"/>
      <c r="X42" s="524"/>
      <c r="Y42" s="429"/>
      <c r="Z42" s="429"/>
      <c r="AA42" s="429"/>
      <c r="AB42" s="429"/>
      <c r="AC42" s="429"/>
      <c r="AE42" s="291"/>
    </row>
    <row r="43" spans="2:31">
      <c r="B43" s="136"/>
      <c r="C43" s="136"/>
      <c r="D43" s="186" t="str">
        <f t="shared" si="11"/>
        <v>IMDSH</v>
      </c>
      <c r="E43" s="135" t="str">
        <f t="shared" si="6"/>
        <v>Machinery industry Demand Spatial Heat</v>
      </c>
      <c r="F43" s="136" t="s">
        <v>44</v>
      </c>
      <c r="G43" s="137"/>
      <c r="H43" s="137"/>
      <c r="I43" s="137"/>
      <c r="J43" s="137"/>
      <c r="L43" s="37">
        <f>+L42+1</f>
        <v>3</v>
      </c>
      <c r="M43" s="36">
        <f t="shared" si="2"/>
        <v>6</v>
      </c>
      <c r="P43" s="52"/>
      <c r="T43" s="596"/>
      <c r="U43" s="596"/>
      <c r="V43" s="596"/>
      <c r="W43" s="596"/>
      <c r="X43" s="524"/>
      <c r="Y43" s="429"/>
      <c r="Z43" s="429"/>
      <c r="AA43" s="429"/>
      <c r="AB43" s="429"/>
      <c r="AC43" s="429"/>
      <c r="AE43" s="291"/>
    </row>
    <row r="44" spans="2:31">
      <c r="B44" s="136"/>
      <c r="C44" s="136"/>
      <c r="D44" s="186" t="str">
        <f t="shared" si="11"/>
        <v>IMDLA</v>
      </c>
      <c r="E44" s="135" t="str">
        <f t="shared" si="6"/>
        <v>Machinery industry Demand Light</v>
      </c>
      <c r="F44" s="136" t="s">
        <v>44</v>
      </c>
      <c r="G44" s="137"/>
      <c r="H44" s="137"/>
      <c r="I44" s="137"/>
      <c r="J44" s="137"/>
      <c r="L44" s="37">
        <f>+L43+1</f>
        <v>4</v>
      </c>
      <c r="M44" s="36">
        <f t="shared" si="2"/>
        <v>6</v>
      </c>
      <c r="P44" s="52"/>
      <c r="T44" s="596"/>
      <c r="U44" s="596"/>
      <c r="V44" s="596"/>
      <c r="W44" s="596"/>
      <c r="X44" s="524"/>
      <c r="Y44" s="429"/>
      <c r="Z44" s="429"/>
      <c r="AA44" s="429"/>
      <c r="AB44" s="429"/>
      <c r="AC44" s="429"/>
    </row>
    <row r="45" spans="2:31">
      <c r="B45" s="136"/>
      <c r="C45" s="136"/>
      <c r="D45" s="186" t="str">
        <f t="shared" si="11"/>
        <v>IMDEM</v>
      </c>
      <c r="E45" s="135" t="str">
        <f t="shared" ref="E45:E76" si="13">INDEX($X$6:$X$17,M45) &amp; " " &amp; INDEX($AM$6:$AM$13,L45)</f>
        <v>Machinery industry Demand Electric Motors</v>
      </c>
      <c r="F45" s="136" t="s">
        <v>44</v>
      </c>
      <c r="G45" s="137"/>
      <c r="H45" s="137"/>
      <c r="I45" s="137"/>
      <c r="J45" s="137"/>
      <c r="L45" s="37">
        <f t="shared" ref="L45:L47" si="14">+L44+1</f>
        <v>5</v>
      </c>
      <c r="M45" s="36">
        <f t="shared" si="2"/>
        <v>6</v>
      </c>
      <c r="P45" s="52"/>
      <c r="T45" s="596"/>
      <c r="U45" s="596"/>
      <c r="V45" s="596"/>
      <c r="W45" s="596"/>
      <c r="X45" s="524"/>
      <c r="Y45" s="429"/>
      <c r="Z45" s="429"/>
      <c r="AA45" s="429"/>
      <c r="AB45" s="429"/>
      <c r="AC45" s="429"/>
    </row>
    <row r="46" spans="2:31">
      <c r="B46" s="136"/>
      <c r="C46" s="136"/>
      <c r="D46" s="186" t="str">
        <f t="shared" si="11"/>
        <v>IMDTF</v>
      </c>
      <c r="E46" s="135" t="str">
        <f t="shared" si="13"/>
        <v>Machinery industry Demand Haulage Tractors, Trucks, Fishing boats, Forest machines</v>
      </c>
      <c r="F46" s="136" t="s">
        <v>44</v>
      </c>
      <c r="G46" s="137"/>
      <c r="H46" s="137"/>
      <c r="I46" s="137"/>
      <c r="J46" s="137"/>
      <c r="L46" s="37">
        <f t="shared" si="14"/>
        <v>6</v>
      </c>
      <c r="M46" s="36">
        <f t="shared" si="2"/>
        <v>6</v>
      </c>
      <c r="P46" s="52"/>
      <c r="T46" s="597"/>
      <c r="U46" s="597"/>
      <c r="V46" s="597"/>
      <c r="W46" s="597"/>
      <c r="X46" s="599"/>
      <c r="Y46" s="598"/>
      <c r="Z46" s="598"/>
      <c r="AA46" s="598"/>
      <c r="AB46" s="598"/>
      <c r="AC46" s="429"/>
    </row>
    <row r="47" spans="2:31">
      <c r="B47" s="136"/>
      <c r="C47" s="136"/>
      <c r="D47" s="186" t="str">
        <f t="shared" si="11"/>
        <v>IMDFL</v>
      </c>
      <c r="E47" s="135" t="str">
        <f t="shared" si="13"/>
        <v>Machinery industry Demand Haulage Forklifts</v>
      </c>
      <c r="F47" s="136" t="s">
        <v>44</v>
      </c>
      <c r="G47" s="137"/>
      <c r="H47" s="137"/>
      <c r="I47" s="137"/>
      <c r="J47" s="137"/>
      <c r="L47" s="37">
        <f t="shared" si="14"/>
        <v>7</v>
      </c>
      <c r="M47" s="36">
        <f t="shared" si="2"/>
        <v>6</v>
      </c>
      <c r="P47" s="52"/>
      <c r="T47" s="596"/>
      <c r="U47" s="596"/>
      <c r="V47" s="596"/>
      <c r="W47" s="596"/>
      <c r="X47" s="524"/>
      <c r="Y47" s="429"/>
      <c r="Z47" s="429"/>
      <c r="AA47" s="429"/>
      <c r="AB47" s="429"/>
      <c r="AC47" s="429"/>
    </row>
    <row r="48" spans="2:31">
      <c r="B48" s="142"/>
      <c r="C48" s="142"/>
      <c r="D48" s="239" t="str">
        <f t="shared" si="11"/>
        <v>IIDPH</v>
      </c>
      <c r="E48" s="249" t="str">
        <f t="shared" si="13"/>
        <v>Mining Demand Process heat</v>
      </c>
      <c r="F48" s="142" t="s">
        <v>44</v>
      </c>
      <c r="G48" s="142"/>
      <c r="H48" s="142"/>
      <c r="I48" s="142"/>
      <c r="J48" s="142"/>
      <c r="L48" s="36">
        <f>+L41</f>
        <v>1</v>
      </c>
      <c r="M48" s="36">
        <f>1+M43</f>
        <v>7</v>
      </c>
      <c r="N48" s="34" t="str">
        <f>VLOOKUP(M48, $T$6:$Y$17, 6, FALSE)</f>
        <v>07 Mining and quarrying</v>
      </c>
      <c r="P48" s="52"/>
      <c r="T48" s="596"/>
      <c r="U48" s="596"/>
      <c r="V48" s="596"/>
      <c r="W48" s="596"/>
      <c r="X48" s="524"/>
      <c r="Y48" s="429"/>
      <c r="Z48" s="429"/>
      <c r="AA48" s="429"/>
      <c r="AB48" s="429"/>
      <c r="AC48" s="429"/>
    </row>
    <row r="49" spans="2:42">
      <c r="B49" s="136"/>
      <c r="C49" s="136"/>
      <c r="D49" s="186" t="str">
        <f t="shared" si="11"/>
        <v>IIDCO</v>
      </c>
      <c r="E49" s="250" t="str">
        <f t="shared" si="13"/>
        <v>Mining Demand Cooling</v>
      </c>
      <c r="F49" s="136" t="s">
        <v>44</v>
      </c>
      <c r="G49" s="136"/>
      <c r="H49" s="136"/>
      <c r="I49" s="136"/>
      <c r="J49" s="136"/>
      <c r="L49" s="37">
        <f>+L48+1</f>
        <v>2</v>
      </c>
      <c r="M49" s="36">
        <f t="shared" si="2"/>
        <v>7</v>
      </c>
      <c r="P49" s="52"/>
      <c r="T49" s="596"/>
      <c r="U49" s="596"/>
      <c r="V49" s="596"/>
      <c r="W49" s="596"/>
      <c r="X49" s="429"/>
      <c r="Y49" s="429"/>
      <c r="Z49" s="429"/>
      <c r="AA49" s="429"/>
      <c r="AB49" s="429"/>
      <c r="AC49" s="429"/>
    </row>
    <row r="50" spans="2:42">
      <c r="B50" s="136"/>
      <c r="C50" s="136"/>
      <c r="D50" s="186" t="str">
        <f t="shared" si="11"/>
        <v>IIDSH</v>
      </c>
      <c r="E50" s="250" t="str">
        <f t="shared" si="13"/>
        <v>Mining Demand Spatial Heat</v>
      </c>
      <c r="F50" s="136" t="s">
        <v>44</v>
      </c>
      <c r="G50" s="136"/>
      <c r="H50" s="136"/>
      <c r="I50" s="136"/>
      <c r="J50" s="136"/>
      <c r="L50" s="37">
        <f>+L49+1</f>
        <v>3</v>
      </c>
      <c r="M50" s="36">
        <f t="shared" si="2"/>
        <v>7</v>
      </c>
      <c r="P50" s="52"/>
      <c r="T50" s="596"/>
      <c r="U50" s="597"/>
      <c r="V50" s="596"/>
      <c r="W50" s="597"/>
      <c r="X50" s="524"/>
      <c r="Y50" s="429"/>
      <c r="Z50" s="429"/>
      <c r="AA50" s="429"/>
      <c r="AB50" s="429"/>
      <c r="AC50" s="429"/>
    </row>
    <row r="51" spans="2:42">
      <c r="B51" s="136"/>
      <c r="C51" s="136"/>
      <c r="D51" s="186" t="str">
        <f t="shared" si="11"/>
        <v>IIDLA</v>
      </c>
      <c r="E51" s="250" t="str">
        <f t="shared" si="13"/>
        <v>Mining Demand Light</v>
      </c>
      <c r="F51" s="136" t="s">
        <v>44</v>
      </c>
      <c r="G51" s="136"/>
      <c r="H51" s="136"/>
      <c r="I51" s="136"/>
      <c r="J51" s="136"/>
      <c r="L51" s="37">
        <f>+L50+1</f>
        <v>4</v>
      </c>
      <c r="M51" s="36">
        <f t="shared" si="2"/>
        <v>7</v>
      </c>
      <c r="P51" s="52"/>
      <c r="T51" s="596"/>
      <c r="U51" s="596"/>
      <c r="V51" s="596"/>
      <c r="W51" s="596"/>
      <c r="X51" s="524"/>
      <c r="Y51" s="429"/>
      <c r="Z51" s="429"/>
      <c r="AA51" s="429"/>
      <c r="AB51" s="429"/>
      <c r="AC51" s="429"/>
    </row>
    <row r="52" spans="2:42">
      <c r="B52" s="136"/>
      <c r="C52" s="136"/>
      <c r="D52" s="186" t="str">
        <f t="shared" si="11"/>
        <v>IIDEM</v>
      </c>
      <c r="E52" s="135" t="str">
        <f t="shared" si="13"/>
        <v>Mining Demand Electric Motors</v>
      </c>
      <c r="F52" s="136" t="s">
        <v>44</v>
      </c>
      <c r="G52" s="137"/>
      <c r="H52" s="137"/>
      <c r="I52" s="137"/>
      <c r="J52" s="137"/>
      <c r="L52" s="37">
        <f t="shared" ref="L52:L54" si="15">+L51+1</f>
        <v>5</v>
      </c>
      <c r="M52" s="36">
        <f t="shared" si="2"/>
        <v>7</v>
      </c>
      <c r="P52" s="52"/>
      <c r="T52" s="596"/>
      <c r="U52" s="596"/>
      <c r="V52" s="596"/>
      <c r="W52" s="596"/>
      <c r="X52" s="524"/>
      <c r="Y52" s="429"/>
      <c r="Z52" s="429"/>
      <c r="AA52" s="429"/>
      <c r="AB52" s="429"/>
      <c r="AC52" s="429"/>
    </row>
    <row r="53" spans="2:42">
      <c r="B53" s="136"/>
      <c r="C53" s="136"/>
      <c r="D53" s="186" t="str">
        <f t="shared" si="11"/>
        <v>IIDTF</v>
      </c>
      <c r="E53" s="135" t="str">
        <f t="shared" si="13"/>
        <v>Mining Demand Haulage Tractors, Trucks, Fishing boats, Forest machines</v>
      </c>
      <c r="F53" s="136" t="s">
        <v>44</v>
      </c>
      <c r="G53" s="137"/>
      <c r="H53" s="137"/>
      <c r="I53" s="137"/>
      <c r="J53" s="137"/>
      <c r="L53" s="37">
        <f t="shared" si="15"/>
        <v>6</v>
      </c>
      <c r="M53" s="36">
        <f t="shared" si="2"/>
        <v>7</v>
      </c>
      <c r="P53" s="52"/>
      <c r="T53" s="596"/>
      <c r="U53" s="596"/>
      <c r="V53" s="596"/>
      <c r="W53" s="596"/>
      <c r="X53" s="524"/>
      <c r="Y53" s="429"/>
      <c r="Z53" s="429"/>
      <c r="AA53" s="429"/>
      <c r="AB53" s="429"/>
      <c r="AC53" s="429"/>
    </row>
    <row r="54" spans="2:42">
      <c r="B54" s="136"/>
      <c r="C54" s="136"/>
      <c r="D54" s="186" t="str">
        <f t="shared" si="11"/>
        <v>IIDFL</v>
      </c>
      <c r="E54" s="135" t="str">
        <f t="shared" si="13"/>
        <v>Mining Demand Haulage Forklifts</v>
      </c>
      <c r="F54" s="136" t="s">
        <v>44</v>
      </c>
      <c r="G54" s="137"/>
      <c r="H54" s="137"/>
      <c r="I54" s="137"/>
      <c r="J54" s="137"/>
      <c r="L54" s="37">
        <f t="shared" si="15"/>
        <v>7</v>
      </c>
      <c r="M54" s="36">
        <f t="shared" si="2"/>
        <v>7</v>
      </c>
      <c r="P54" s="52"/>
      <c r="T54" s="429"/>
      <c r="U54" s="429"/>
      <c r="V54" s="429"/>
      <c r="W54" s="429"/>
      <c r="X54" s="429"/>
      <c r="Y54" s="429"/>
      <c r="Z54" s="429"/>
      <c r="AA54" s="429"/>
      <c r="AB54" s="429"/>
      <c r="AC54" s="429"/>
    </row>
    <row r="55" spans="2:42">
      <c r="B55" s="142"/>
      <c r="C55" s="142"/>
      <c r="D55" s="239" t="str">
        <f t="shared" si="11"/>
        <v>IFDPH</v>
      </c>
      <c r="E55" s="249" t="str">
        <f t="shared" si="13"/>
        <v>Food industry Demand Process heat</v>
      </c>
      <c r="F55" s="142" t="s">
        <v>44</v>
      </c>
      <c r="G55" s="142"/>
      <c r="H55" s="142"/>
      <c r="I55" s="142"/>
      <c r="J55" s="142"/>
      <c r="L55" s="36">
        <f>+L48</f>
        <v>1</v>
      </c>
      <c r="M55" s="36">
        <f>1+M50</f>
        <v>8</v>
      </c>
      <c r="N55" s="34" t="str">
        <f>VLOOKUP(M55, $T$6:$Y$17, 6, FALSE)</f>
        <v>08 Food and tobacco</v>
      </c>
      <c r="P55" s="52"/>
    </row>
    <row r="56" spans="2:42">
      <c r="B56" s="136"/>
      <c r="C56" s="136"/>
      <c r="D56" s="186" t="str">
        <f t="shared" si="11"/>
        <v>IFDCO</v>
      </c>
      <c r="E56" s="135" t="str">
        <f t="shared" si="13"/>
        <v>Food industry Demand Cooling</v>
      </c>
      <c r="F56" s="136" t="s">
        <v>44</v>
      </c>
      <c r="G56" s="137"/>
      <c r="H56" s="137"/>
      <c r="I56" s="137"/>
      <c r="J56" s="137"/>
      <c r="L56" s="37">
        <f>+L55+1</f>
        <v>2</v>
      </c>
      <c r="M56" s="36">
        <f t="shared" si="2"/>
        <v>8</v>
      </c>
      <c r="P56" s="52"/>
    </row>
    <row r="57" spans="2:42">
      <c r="B57" s="136"/>
      <c r="C57" s="136"/>
      <c r="D57" s="186" t="str">
        <f t="shared" si="11"/>
        <v>IFDSH</v>
      </c>
      <c r="E57" s="135" t="str">
        <f t="shared" si="13"/>
        <v>Food industry Demand Spatial Heat</v>
      </c>
      <c r="F57" s="136" t="s">
        <v>44</v>
      </c>
      <c r="G57" s="137"/>
      <c r="H57" s="137"/>
      <c r="I57" s="137"/>
      <c r="J57" s="137"/>
      <c r="L57" s="37">
        <f>+L56+1</f>
        <v>3</v>
      </c>
      <c r="M57" s="36">
        <f t="shared" si="2"/>
        <v>8</v>
      </c>
      <c r="P57" s="52"/>
    </row>
    <row r="58" spans="2:42">
      <c r="B58" s="136"/>
      <c r="C58" s="136"/>
      <c r="D58" s="186" t="str">
        <f t="shared" si="11"/>
        <v>IFDLA</v>
      </c>
      <c r="E58" s="135" t="str">
        <f t="shared" si="13"/>
        <v>Food industry Demand Light</v>
      </c>
      <c r="F58" s="136" t="s">
        <v>44</v>
      </c>
      <c r="G58" s="137"/>
      <c r="H58" s="137"/>
      <c r="I58" s="137"/>
      <c r="J58" s="137"/>
      <c r="L58" s="37">
        <f>+L57+1</f>
        <v>4</v>
      </c>
      <c r="M58" s="36">
        <f t="shared" si="2"/>
        <v>8</v>
      </c>
      <c r="P58" s="52"/>
    </row>
    <row r="59" spans="2:42">
      <c r="B59" s="136"/>
      <c r="C59" s="136"/>
      <c r="D59" s="186" t="str">
        <f t="shared" si="11"/>
        <v>IFDEM</v>
      </c>
      <c r="E59" s="135" t="str">
        <f t="shared" si="13"/>
        <v>Food industry Demand Electric Motors</v>
      </c>
      <c r="F59" s="136" t="s">
        <v>44</v>
      </c>
      <c r="G59" s="137"/>
      <c r="H59" s="137"/>
      <c r="I59" s="137"/>
      <c r="J59" s="137"/>
      <c r="L59" s="37">
        <f t="shared" ref="L59:L61" si="16">+L58+1</f>
        <v>5</v>
      </c>
      <c r="M59" s="36">
        <f t="shared" si="2"/>
        <v>8</v>
      </c>
      <c r="P59" s="52"/>
    </row>
    <row r="60" spans="2:42">
      <c r="B60" s="136"/>
      <c r="C60" s="136"/>
      <c r="D60" s="186" t="str">
        <f t="shared" si="11"/>
        <v>IFDTF</v>
      </c>
      <c r="E60" s="135" t="str">
        <f t="shared" si="13"/>
        <v>Food industry Demand Haulage Tractors, Trucks, Fishing boats, Forest machines</v>
      </c>
      <c r="F60" s="136" t="s">
        <v>44</v>
      </c>
      <c r="G60" s="137"/>
      <c r="H60" s="137"/>
      <c r="I60" s="137"/>
      <c r="J60" s="137"/>
      <c r="L60" s="37">
        <f t="shared" si="16"/>
        <v>6</v>
      </c>
      <c r="M60" s="36">
        <f t="shared" si="2"/>
        <v>8</v>
      </c>
      <c r="P60" s="52"/>
    </row>
    <row r="61" spans="2:42">
      <c r="B61" s="136"/>
      <c r="C61" s="136"/>
      <c r="D61" s="186" t="str">
        <f t="shared" si="11"/>
        <v>IFDFL</v>
      </c>
      <c r="E61" s="135" t="str">
        <f t="shared" si="13"/>
        <v>Food industry Demand Haulage Forklifts</v>
      </c>
      <c r="F61" s="136" t="s">
        <v>44</v>
      </c>
      <c r="G61" s="137"/>
      <c r="H61" s="137"/>
      <c r="I61" s="137"/>
      <c r="J61" s="137"/>
      <c r="L61" s="37">
        <f t="shared" si="16"/>
        <v>7</v>
      </c>
      <c r="M61" s="36">
        <f t="shared" si="2"/>
        <v>8</v>
      </c>
      <c r="P61" s="52"/>
    </row>
    <row r="62" spans="2:42">
      <c r="B62" s="142"/>
      <c r="C62" s="142"/>
      <c r="D62" s="239" t="str">
        <f t="shared" si="11"/>
        <v>IRDPH</v>
      </c>
      <c r="E62" s="249" t="str">
        <f t="shared" si="13"/>
        <v>Paper &amp; Pulp industry Demand Process heat</v>
      </c>
      <c r="F62" s="142" t="s">
        <v>44</v>
      </c>
      <c r="G62" s="142"/>
      <c r="H62" s="142"/>
      <c r="I62" s="142"/>
      <c r="J62" s="142"/>
      <c r="L62" s="36">
        <f>+L55</f>
        <v>1</v>
      </c>
      <c r="M62" s="36">
        <f>1+M57</f>
        <v>9</v>
      </c>
      <c r="N62" s="34" t="str">
        <f>VLOOKUP(M62, $T$6:$Y$18, 6, FALSE)</f>
        <v>09 Paper, pulp and printing</v>
      </c>
      <c r="P62" s="52"/>
    </row>
    <row r="63" spans="2:42" s="46" customFormat="1">
      <c r="B63" s="136"/>
      <c r="C63" s="136"/>
      <c r="D63" s="186" t="str">
        <f t="shared" si="11"/>
        <v>IRDCO</v>
      </c>
      <c r="E63" s="250" t="str">
        <f t="shared" si="13"/>
        <v>Paper &amp; Pulp industry Demand Cooling</v>
      </c>
      <c r="F63" s="136" t="s">
        <v>44</v>
      </c>
      <c r="G63" s="136"/>
      <c r="H63" s="136"/>
      <c r="I63" s="136"/>
      <c r="J63" s="136"/>
      <c r="K63" s="25"/>
      <c r="L63" s="37">
        <f>+L62+1</f>
        <v>2</v>
      </c>
      <c r="M63" s="36">
        <f t="shared" si="2"/>
        <v>9</v>
      </c>
      <c r="N63" s="25"/>
      <c r="O63" s="25"/>
      <c r="P63" s="52"/>
      <c r="Q63" s="25"/>
      <c r="R63" s="25"/>
      <c r="S63" s="25"/>
      <c r="T63" s="25"/>
      <c r="U63" s="25"/>
      <c r="V63" s="25"/>
      <c r="W63" s="25"/>
      <c r="X63" s="25"/>
      <c r="Y63" s="25"/>
      <c r="Z63" s="25"/>
      <c r="AA63" s="25"/>
      <c r="AB63" s="25"/>
      <c r="AC63" s="25"/>
      <c r="AD63" s="285"/>
      <c r="AE63" s="285"/>
      <c r="AF63" s="285"/>
      <c r="AG63" s="285"/>
      <c r="AH63" s="285"/>
      <c r="AI63" s="285"/>
      <c r="AJ63" s="25"/>
      <c r="AK63" s="25"/>
      <c r="AL63" s="25"/>
      <c r="AM63" s="25"/>
      <c r="AN63" s="25"/>
      <c r="AO63" s="25"/>
      <c r="AP63" s="25"/>
    </row>
    <row r="64" spans="2:42" s="46" customFormat="1">
      <c r="B64" s="136"/>
      <c r="C64" s="136"/>
      <c r="D64" s="186" t="str">
        <f t="shared" si="11"/>
        <v>IRDSH</v>
      </c>
      <c r="E64" s="135" t="str">
        <f t="shared" si="13"/>
        <v>Paper &amp; Pulp industry Demand Spatial Heat</v>
      </c>
      <c r="F64" s="136" t="s">
        <v>44</v>
      </c>
      <c r="G64" s="137"/>
      <c r="H64" s="137"/>
      <c r="I64" s="137"/>
      <c r="J64" s="137"/>
      <c r="K64" s="25"/>
      <c r="L64" s="37">
        <f>+L63+1</f>
        <v>3</v>
      </c>
      <c r="M64" s="36">
        <f t="shared" ref="M64:M68" si="17">+M63</f>
        <v>9</v>
      </c>
      <c r="N64" s="25"/>
      <c r="O64" s="25"/>
      <c r="P64" s="52"/>
      <c r="Q64" s="25"/>
      <c r="R64" s="25"/>
      <c r="S64" s="25"/>
      <c r="T64" s="25"/>
      <c r="U64" s="25"/>
      <c r="V64" s="25"/>
      <c r="W64" s="25"/>
      <c r="X64" s="25"/>
      <c r="Y64" s="25"/>
      <c r="Z64" s="25"/>
      <c r="AA64" s="25"/>
      <c r="AB64" s="25"/>
      <c r="AC64" s="25"/>
      <c r="AD64" s="285"/>
      <c r="AE64" s="285"/>
      <c r="AF64" s="285"/>
      <c r="AG64" s="285"/>
      <c r="AH64" s="285"/>
      <c r="AI64" s="285"/>
      <c r="AJ64" s="25"/>
      <c r="AK64" s="25"/>
      <c r="AL64" s="25"/>
      <c r="AM64" s="25"/>
      <c r="AN64" s="25"/>
      <c r="AO64" s="25"/>
      <c r="AP64" s="25"/>
    </row>
    <row r="65" spans="1:42" s="46" customFormat="1">
      <c r="B65" s="136"/>
      <c r="C65" s="136"/>
      <c r="D65" s="186" t="str">
        <f t="shared" si="11"/>
        <v>IRDLA</v>
      </c>
      <c r="E65" s="135" t="str">
        <f t="shared" si="13"/>
        <v>Paper &amp; Pulp industry Demand Light</v>
      </c>
      <c r="F65" s="136" t="s">
        <v>44</v>
      </c>
      <c r="G65" s="137"/>
      <c r="H65" s="137"/>
      <c r="I65" s="137"/>
      <c r="J65" s="137"/>
      <c r="K65" s="25"/>
      <c r="L65" s="37">
        <f>+L64+1</f>
        <v>4</v>
      </c>
      <c r="M65" s="36">
        <f t="shared" si="17"/>
        <v>9</v>
      </c>
      <c r="N65" s="25"/>
      <c r="O65" s="25"/>
      <c r="P65" s="52"/>
      <c r="Q65" s="25"/>
      <c r="R65" s="25"/>
      <c r="S65" s="25"/>
      <c r="T65" s="25"/>
      <c r="U65" s="25"/>
      <c r="V65" s="25"/>
      <c r="W65" s="25"/>
      <c r="X65" s="25"/>
      <c r="Y65" s="25"/>
      <c r="Z65" s="25"/>
      <c r="AA65" s="25"/>
      <c r="AB65" s="25"/>
      <c r="AC65" s="25"/>
      <c r="AD65" s="285"/>
      <c r="AE65" s="285"/>
      <c r="AF65" s="285"/>
      <c r="AG65" s="285"/>
      <c r="AH65" s="285"/>
      <c r="AI65" s="285"/>
      <c r="AJ65" s="25"/>
      <c r="AK65" s="25"/>
      <c r="AL65" s="25"/>
      <c r="AM65" s="25"/>
      <c r="AN65" s="25"/>
      <c r="AO65" s="25"/>
      <c r="AP65" s="25"/>
    </row>
    <row r="66" spans="1:42" s="46" customFormat="1">
      <c r="A66" s="25"/>
      <c r="B66" s="136"/>
      <c r="C66" s="136"/>
      <c r="D66" s="186" t="str">
        <f t="shared" si="11"/>
        <v>IRDEM</v>
      </c>
      <c r="E66" s="135" t="str">
        <f t="shared" si="13"/>
        <v>Paper &amp; Pulp industry Demand Electric Motors</v>
      </c>
      <c r="F66" s="136" t="s">
        <v>44</v>
      </c>
      <c r="G66" s="137"/>
      <c r="H66" s="137"/>
      <c r="I66" s="137"/>
      <c r="J66" s="137"/>
      <c r="K66" s="25"/>
      <c r="L66" s="37">
        <f t="shared" ref="L66:L68" si="18">+L65+1</f>
        <v>5</v>
      </c>
      <c r="M66" s="36">
        <f t="shared" si="17"/>
        <v>9</v>
      </c>
      <c r="N66" s="25"/>
      <c r="O66" s="25"/>
      <c r="P66" s="52"/>
      <c r="Q66" s="25"/>
      <c r="R66" s="25"/>
      <c r="T66" s="25"/>
      <c r="U66" s="25"/>
      <c r="V66" s="25"/>
      <c r="W66" s="25"/>
      <c r="X66" s="25"/>
      <c r="Y66" s="25"/>
      <c r="Z66" s="25"/>
      <c r="AA66" s="25"/>
      <c r="AB66" s="25"/>
      <c r="AC66" s="25"/>
      <c r="AD66" s="285"/>
      <c r="AE66" s="285"/>
      <c r="AF66" s="285"/>
      <c r="AG66" s="285"/>
      <c r="AH66" s="285"/>
      <c r="AI66" s="285"/>
      <c r="AJ66" s="25"/>
      <c r="AK66" s="25"/>
      <c r="AL66" s="25"/>
      <c r="AM66" s="25"/>
      <c r="AN66" s="25"/>
      <c r="AO66" s="25"/>
      <c r="AP66" s="25"/>
    </row>
    <row r="67" spans="1:42" s="46" customFormat="1">
      <c r="A67" s="25"/>
      <c r="B67" s="136"/>
      <c r="C67" s="136"/>
      <c r="D67" s="186" t="str">
        <f t="shared" si="11"/>
        <v>IRDTF</v>
      </c>
      <c r="E67" s="135" t="str">
        <f t="shared" si="13"/>
        <v>Paper &amp; Pulp industry Demand Haulage Tractors, Trucks, Fishing boats, Forest machines</v>
      </c>
      <c r="F67" s="136" t="s">
        <v>44</v>
      </c>
      <c r="G67" s="137"/>
      <c r="H67" s="137"/>
      <c r="I67" s="137"/>
      <c r="J67" s="137"/>
      <c r="K67" s="25"/>
      <c r="L67" s="37">
        <f t="shared" si="18"/>
        <v>6</v>
      </c>
      <c r="M67" s="36">
        <f t="shared" si="17"/>
        <v>9</v>
      </c>
      <c r="N67" s="25"/>
      <c r="O67" s="25"/>
      <c r="P67" s="52"/>
      <c r="Q67" s="25"/>
      <c r="R67" s="25"/>
      <c r="T67" s="25"/>
      <c r="U67" s="25"/>
      <c r="V67" s="25"/>
      <c r="W67" s="25"/>
      <c r="X67" s="25"/>
      <c r="Y67" s="25"/>
      <c r="Z67" s="25"/>
      <c r="AA67" s="25"/>
      <c r="AB67" s="25"/>
      <c r="AC67" s="25"/>
      <c r="AD67" s="285"/>
      <c r="AE67" s="285"/>
      <c r="AF67" s="285"/>
      <c r="AG67" s="285"/>
      <c r="AH67" s="285"/>
      <c r="AI67" s="285"/>
      <c r="AJ67" s="25"/>
      <c r="AK67" s="25"/>
      <c r="AL67" s="25"/>
      <c r="AM67" s="25"/>
      <c r="AN67" s="25"/>
      <c r="AO67" s="25"/>
      <c r="AP67" s="25"/>
    </row>
    <row r="68" spans="1:42">
      <c r="B68" s="136"/>
      <c r="C68" s="136"/>
      <c r="D68" s="186" t="str">
        <f t="shared" si="11"/>
        <v>IRDFL</v>
      </c>
      <c r="E68" s="135" t="str">
        <f t="shared" si="13"/>
        <v>Paper &amp; Pulp industry Demand Haulage Forklifts</v>
      </c>
      <c r="F68" s="136" t="s">
        <v>44</v>
      </c>
      <c r="G68" s="137"/>
      <c r="H68" s="137"/>
      <c r="I68" s="137"/>
      <c r="J68" s="137"/>
      <c r="L68" s="37">
        <f t="shared" si="18"/>
        <v>7</v>
      </c>
      <c r="M68" s="36">
        <f t="shared" si="17"/>
        <v>9</v>
      </c>
      <c r="P68" s="52"/>
      <c r="S68" s="46"/>
      <c r="T68" s="46"/>
      <c r="U68" s="46"/>
      <c r="V68" s="46"/>
      <c r="W68" s="46"/>
      <c r="Z68" s="46"/>
      <c r="AA68" s="46"/>
      <c r="AB68" s="46"/>
      <c r="AC68" s="46"/>
      <c r="AD68" s="291"/>
      <c r="AE68" s="291"/>
      <c r="AF68" s="291"/>
      <c r="AG68" s="291"/>
      <c r="AH68" s="291"/>
      <c r="AI68" s="291"/>
      <c r="AJ68" s="46"/>
      <c r="AK68" s="46"/>
      <c r="AL68" s="46"/>
      <c r="AM68" s="46"/>
      <c r="AN68" s="46"/>
      <c r="AO68" s="46"/>
      <c r="AP68" s="46"/>
    </row>
    <row r="69" spans="1:42">
      <c r="B69" s="142"/>
      <c r="C69" s="142"/>
      <c r="D69" s="239" t="str">
        <f t="shared" si="11"/>
        <v>IWDPH</v>
      </c>
      <c r="E69" s="249" t="str">
        <f t="shared" si="13"/>
        <v>Wood products industry Demand Process heat</v>
      </c>
      <c r="F69" s="142" t="s">
        <v>44</v>
      </c>
      <c r="G69" s="142"/>
      <c r="H69" s="142"/>
      <c r="I69" s="142"/>
      <c r="J69" s="142"/>
      <c r="L69" s="36">
        <f>+L62</f>
        <v>1</v>
      </c>
      <c r="M69" s="36">
        <f>1+M64</f>
        <v>10</v>
      </c>
      <c r="N69" s="34" t="str">
        <f>VLOOKUP(M69, $T$6:$Y$18, 6, FALSE)</f>
        <v>010 Wood and wood products</v>
      </c>
      <c r="P69" s="52"/>
      <c r="S69" s="46"/>
      <c r="T69" s="46"/>
      <c r="U69" s="46"/>
      <c r="V69" s="46"/>
      <c r="W69" s="46"/>
      <c r="X69" s="46"/>
      <c r="Y69" s="46"/>
      <c r="Z69" s="46"/>
      <c r="AA69" s="46"/>
      <c r="AB69" s="46"/>
      <c r="AC69" s="46"/>
      <c r="AD69" s="291"/>
      <c r="AE69" s="291"/>
      <c r="AF69" s="291"/>
      <c r="AG69" s="291"/>
      <c r="AH69" s="291"/>
      <c r="AI69" s="291"/>
      <c r="AJ69" s="46"/>
      <c r="AK69" s="46"/>
      <c r="AL69" s="46"/>
      <c r="AM69" s="46"/>
      <c r="AN69" s="46"/>
      <c r="AO69" s="46"/>
      <c r="AP69" s="46"/>
    </row>
    <row r="70" spans="1:42" s="46" customFormat="1">
      <c r="A70" s="25"/>
      <c r="B70" s="136"/>
      <c r="C70" s="136"/>
      <c r="D70" s="186" t="str">
        <f t="shared" ref="D70:D96" si="19">+INDEX($U$6:$U$18,M70) &amp; INDEX($AL$6:$AL$13,L70)</f>
        <v>IWDCO</v>
      </c>
      <c r="E70" s="250" t="str">
        <f t="shared" si="13"/>
        <v>Wood products industry Demand Cooling</v>
      </c>
      <c r="F70" s="136" t="s">
        <v>44</v>
      </c>
      <c r="G70" s="136"/>
      <c r="H70" s="136"/>
      <c r="I70" s="136"/>
      <c r="J70" s="136"/>
      <c r="K70" s="25"/>
      <c r="L70" s="37">
        <f>+L69+1</f>
        <v>2</v>
      </c>
      <c r="M70" s="36">
        <f t="shared" ref="M70:M96" si="20">+M69</f>
        <v>10</v>
      </c>
      <c r="N70" s="25"/>
      <c r="O70" s="25"/>
      <c r="P70" s="52"/>
      <c r="Q70" s="25"/>
      <c r="R70" s="25"/>
      <c r="S70" s="25"/>
      <c r="AD70" s="291"/>
      <c r="AE70" s="291"/>
      <c r="AF70" s="291"/>
      <c r="AG70" s="291"/>
      <c r="AH70" s="291"/>
      <c r="AI70" s="291"/>
    </row>
    <row r="71" spans="1:42">
      <c r="B71" s="136"/>
      <c r="C71" s="136"/>
      <c r="D71" s="186" t="str">
        <f t="shared" si="19"/>
        <v>IWDSH</v>
      </c>
      <c r="E71" s="135" t="str">
        <f t="shared" si="13"/>
        <v>Wood products industry Demand Spatial Heat</v>
      </c>
      <c r="F71" s="136" t="s">
        <v>44</v>
      </c>
      <c r="G71" s="137"/>
      <c r="H71" s="137"/>
      <c r="I71" s="137"/>
      <c r="J71" s="137"/>
      <c r="L71" s="37">
        <f>+L70+1</f>
        <v>3</v>
      </c>
      <c r="M71" s="36">
        <f t="shared" si="20"/>
        <v>10</v>
      </c>
      <c r="P71" s="52"/>
      <c r="T71" s="46"/>
      <c r="U71" s="46"/>
      <c r="V71" s="46"/>
      <c r="W71" s="46"/>
      <c r="X71" s="46"/>
      <c r="Y71" s="46"/>
      <c r="Z71" s="46"/>
      <c r="AA71" s="46"/>
      <c r="AB71" s="46"/>
      <c r="AC71" s="46"/>
      <c r="AD71" s="291"/>
      <c r="AE71" s="291"/>
      <c r="AF71" s="291"/>
      <c r="AG71" s="291"/>
      <c r="AH71" s="291"/>
      <c r="AI71" s="291"/>
      <c r="AJ71" s="46"/>
      <c r="AK71" s="46"/>
      <c r="AL71" s="46"/>
      <c r="AM71" s="46"/>
      <c r="AN71" s="46"/>
      <c r="AO71" s="46"/>
      <c r="AP71" s="46"/>
    </row>
    <row r="72" spans="1:42">
      <c r="B72" s="136"/>
      <c r="C72" s="136"/>
      <c r="D72" s="186" t="str">
        <f t="shared" si="19"/>
        <v>IWDLA</v>
      </c>
      <c r="E72" s="135" t="str">
        <f t="shared" si="13"/>
        <v>Wood products industry Demand Light</v>
      </c>
      <c r="F72" s="136" t="s">
        <v>44</v>
      </c>
      <c r="G72" s="137"/>
      <c r="H72" s="137"/>
      <c r="I72" s="137"/>
      <c r="J72" s="137"/>
      <c r="L72" s="37">
        <f>+L71+1</f>
        <v>4</v>
      </c>
      <c r="M72" s="36">
        <f t="shared" si="20"/>
        <v>10</v>
      </c>
      <c r="P72" s="52"/>
      <c r="S72" s="46"/>
      <c r="T72" s="46"/>
      <c r="U72" s="46"/>
      <c r="V72" s="46"/>
      <c r="W72" s="46"/>
      <c r="X72" s="46"/>
      <c r="Y72" s="46"/>
      <c r="Z72" s="46"/>
      <c r="AA72" s="46"/>
      <c r="AB72" s="46"/>
      <c r="AC72" s="46"/>
      <c r="AD72" s="291"/>
      <c r="AE72" s="291"/>
      <c r="AF72" s="291"/>
      <c r="AG72" s="291"/>
      <c r="AH72" s="291"/>
      <c r="AI72" s="291"/>
      <c r="AJ72" s="46"/>
      <c r="AK72" s="46"/>
      <c r="AL72" s="46"/>
      <c r="AM72" s="46"/>
      <c r="AN72" s="46"/>
      <c r="AO72" s="46"/>
      <c r="AP72" s="46"/>
    </row>
    <row r="73" spans="1:42">
      <c r="B73" s="136"/>
      <c r="C73" s="136"/>
      <c r="D73" s="186" t="str">
        <f t="shared" si="19"/>
        <v>IWDEM</v>
      </c>
      <c r="E73" s="135" t="str">
        <f t="shared" si="13"/>
        <v>Wood products industry Demand Electric Motors</v>
      </c>
      <c r="F73" s="136" t="s">
        <v>44</v>
      </c>
      <c r="G73" s="137"/>
      <c r="H73" s="137"/>
      <c r="I73" s="137"/>
      <c r="J73" s="137"/>
      <c r="L73" s="37">
        <f t="shared" ref="L73:L75" si="21">+L72+1</f>
        <v>5</v>
      </c>
      <c r="M73" s="36">
        <f t="shared" si="20"/>
        <v>10</v>
      </c>
      <c r="P73" s="52"/>
      <c r="X73" s="46"/>
      <c r="Y73" s="46"/>
    </row>
    <row r="74" spans="1:42">
      <c r="B74" s="136"/>
      <c r="C74" s="136"/>
      <c r="D74" s="186" t="str">
        <f t="shared" si="19"/>
        <v>IWDTF</v>
      </c>
      <c r="E74" s="135" t="str">
        <f t="shared" si="13"/>
        <v>Wood products industry Demand Haulage Tractors, Trucks, Fishing boats, Forest machines</v>
      </c>
      <c r="F74" s="136" t="s">
        <v>44</v>
      </c>
      <c r="G74" s="137"/>
      <c r="H74" s="137"/>
      <c r="I74" s="137"/>
      <c r="J74" s="137"/>
      <c r="L74" s="37">
        <f t="shared" si="21"/>
        <v>6</v>
      </c>
      <c r="M74" s="36">
        <f t="shared" si="20"/>
        <v>10</v>
      </c>
      <c r="P74" s="52"/>
    </row>
    <row r="75" spans="1:42">
      <c r="B75" s="136"/>
      <c r="C75" s="136"/>
      <c r="D75" s="186" t="str">
        <f t="shared" si="19"/>
        <v>IWDFL</v>
      </c>
      <c r="E75" s="135" t="str">
        <f t="shared" si="13"/>
        <v>Wood products industry Demand Haulage Forklifts</v>
      </c>
      <c r="F75" s="136" t="s">
        <v>44</v>
      </c>
      <c r="G75" s="137"/>
      <c r="H75" s="137"/>
      <c r="I75" s="137"/>
      <c r="J75" s="137"/>
      <c r="L75" s="37">
        <f t="shared" si="21"/>
        <v>7</v>
      </c>
      <c r="M75" s="36">
        <f t="shared" si="20"/>
        <v>10</v>
      </c>
      <c r="P75" s="52"/>
      <c r="T75" s="46"/>
      <c r="U75" s="46"/>
      <c r="V75" s="46"/>
      <c r="W75" s="46"/>
      <c r="Z75" s="46"/>
      <c r="AA75" s="46"/>
      <c r="AB75" s="46"/>
      <c r="AC75" s="46"/>
      <c r="AD75" s="291"/>
      <c r="AE75" s="291"/>
      <c r="AF75" s="291"/>
      <c r="AG75" s="291"/>
      <c r="AH75" s="291"/>
      <c r="AI75" s="291"/>
      <c r="AJ75" s="46"/>
      <c r="AK75" s="46"/>
      <c r="AL75" s="46"/>
      <c r="AM75" s="46"/>
      <c r="AN75" s="46"/>
      <c r="AO75" s="46"/>
      <c r="AP75" s="46"/>
    </row>
    <row r="76" spans="1:42">
      <c r="B76" s="142"/>
      <c r="C76" s="142"/>
      <c r="D76" s="239" t="str">
        <f t="shared" si="19"/>
        <v>ILDPH</v>
      </c>
      <c r="E76" s="249" t="str">
        <f t="shared" si="13"/>
        <v>Textile &amp; Leather Demand Process heat</v>
      </c>
      <c r="F76" s="142" t="s">
        <v>44</v>
      </c>
      <c r="G76" s="142"/>
      <c r="H76" s="142"/>
      <c r="I76" s="142"/>
      <c r="J76" s="142"/>
      <c r="L76" s="36">
        <f>+L69</f>
        <v>1</v>
      </c>
      <c r="M76" s="36">
        <f>1+M71</f>
        <v>11</v>
      </c>
      <c r="N76" s="34" t="str">
        <f>VLOOKUP(M76, $T$6:$Y$18, 6, FALSE)</f>
        <v>011 Textile and leather</v>
      </c>
      <c r="P76" s="52"/>
      <c r="X76" s="46"/>
      <c r="Y76" s="46"/>
    </row>
    <row r="77" spans="1:42">
      <c r="B77" s="136"/>
      <c r="C77" s="136"/>
      <c r="D77" s="186" t="str">
        <f t="shared" si="19"/>
        <v>ILDCO</v>
      </c>
      <c r="E77" s="135" t="str">
        <f t="shared" ref="E77:E89" si="22">INDEX($X$6:$X$17,M77) &amp; " " &amp; INDEX($AM$6:$AM$13,L77)</f>
        <v>Textile &amp; Leather Demand Cooling</v>
      </c>
      <c r="F77" s="136" t="s">
        <v>44</v>
      </c>
      <c r="G77" s="137"/>
      <c r="H77" s="137"/>
      <c r="I77" s="137"/>
      <c r="J77" s="137"/>
      <c r="L77" s="37">
        <f>+L76+1</f>
        <v>2</v>
      </c>
      <c r="M77" s="36">
        <f t="shared" si="20"/>
        <v>11</v>
      </c>
      <c r="P77" s="52"/>
    </row>
    <row r="78" spans="1:42">
      <c r="A78" s="46"/>
      <c r="B78" s="136"/>
      <c r="C78" s="136"/>
      <c r="D78" s="186" t="str">
        <f t="shared" si="19"/>
        <v>ILDSH</v>
      </c>
      <c r="E78" s="135" t="str">
        <f t="shared" si="22"/>
        <v>Textile &amp; Leather Demand Spatial Heat</v>
      </c>
      <c r="F78" s="136" t="s">
        <v>44</v>
      </c>
      <c r="G78" s="137"/>
      <c r="H78" s="137"/>
      <c r="I78" s="137"/>
      <c r="J78" s="137"/>
      <c r="L78" s="37">
        <f>+L77+1</f>
        <v>3</v>
      </c>
      <c r="M78" s="36">
        <f t="shared" si="20"/>
        <v>11</v>
      </c>
      <c r="P78" s="52"/>
    </row>
    <row r="79" spans="1:42">
      <c r="A79" s="46"/>
      <c r="B79" s="136"/>
      <c r="C79" s="136"/>
      <c r="D79" s="186" t="str">
        <f t="shared" si="19"/>
        <v>ILDLA</v>
      </c>
      <c r="E79" s="135" t="str">
        <f t="shared" si="22"/>
        <v>Textile &amp; Leather Demand Light</v>
      </c>
      <c r="F79" s="136" t="s">
        <v>44</v>
      </c>
      <c r="G79" s="137"/>
      <c r="H79" s="137"/>
      <c r="I79" s="137"/>
      <c r="J79" s="137"/>
      <c r="L79" s="37">
        <f>+L78+1</f>
        <v>4</v>
      </c>
      <c r="M79" s="36">
        <f t="shared" si="20"/>
        <v>11</v>
      </c>
      <c r="P79" s="52"/>
    </row>
    <row r="80" spans="1:42">
      <c r="A80" s="46"/>
      <c r="B80" s="136"/>
      <c r="C80" s="136"/>
      <c r="D80" s="186" t="str">
        <f t="shared" si="19"/>
        <v>ILDEM</v>
      </c>
      <c r="E80" s="135" t="str">
        <f t="shared" si="22"/>
        <v>Textile &amp; Leather Demand Electric Motors</v>
      </c>
      <c r="F80" s="136" t="s">
        <v>44</v>
      </c>
      <c r="G80" s="137"/>
      <c r="H80" s="137"/>
      <c r="I80" s="137"/>
      <c r="J80" s="137"/>
      <c r="L80" s="37">
        <f t="shared" ref="L80:L82" si="23">+L79+1</f>
        <v>5</v>
      </c>
      <c r="M80" s="36">
        <f t="shared" si="20"/>
        <v>11</v>
      </c>
      <c r="P80" s="52"/>
    </row>
    <row r="81" spans="1:16">
      <c r="A81" s="46"/>
      <c r="B81" s="136"/>
      <c r="C81" s="136"/>
      <c r="D81" s="186" t="str">
        <f t="shared" si="19"/>
        <v>ILDTF</v>
      </c>
      <c r="E81" s="135" t="str">
        <f t="shared" si="22"/>
        <v>Textile &amp; Leather Demand Haulage Tractors, Trucks, Fishing boats, Forest machines</v>
      </c>
      <c r="F81" s="136" t="s">
        <v>44</v>
      </c>
      <c r="G81" s="137"/>
      <c r="H81" s="137"/>
      <c r="I81" s="137"/>
      <c r="J81" s="137"/>
      <c r="L81" s="37">
        <f t="shared" si="23"/>
        <v>6</v>
      </c>
      <c r="M81" s="36">
        <f t="shared" si="20"/>
        <v>11</v>
      </c>
      <c r="P81" s="52"/>
    </row>
    <row r="82" spans="1:16">
      <c r="A82" s="46"/>
      <c r="B82" s="136"/>
      <c r="C82" s="136"/>
      <c r="D82" s="186" t="str">
        <f t="shared" si="19"/>
        <v>ILDFL</v>
      </c>
      <c r="E82" s="135" t="str">
        <f t="shared" si="22"/>
        <v>Textile &amp; Leather Demand Haulage Forklifts</v>
      </c>
      <c r="F82" s="136" t="s">
        <v>44</v>
      </c>
      <c r="G82" s="137"/>
      <c r="H82" s="137"/>
      <c r="I82" s="137"/>
      <c r="J82" s="137"/>
      <c r="L82" s="37">
        <f t="shared" si="23"/>
        <v>7</v>
      </c>
      <c r="M82" s="36">
        <f t="shared" si="20"/>
        <v>11</v>
      </c>
      <c r="P82" s="52"/>
    </row>
    <row r="83" spans="1:16">
      <c r="A83" s="50"/>
      <c r="B83" s="142"/>
      <c r="C83" s="142"/>
      <c r="D83" s="239" t="str">
        <f t="shared" si="19"/>
        <v>INDPH</v>
      </c>
      <c r="E83" s="249" t="str">
        <f t="shared" si="22"/>
        <v>Construction Demand Process heat</v>
      </c>
      <c r="F83" s="142" t="s">
        <v>44</v>
      </c>
      <c r="G83" s="142"/>
      <c r="H83" s="142"/>
      <c r="I83" s="142"/>
      <c r="J83" s="142"/>
      <c r="L83" s="36">
        <f>+L76</f>
        <v>1</v>
      </c>
      <c r="M83" s="36">
        <f>1+M78</f>
        <v>12</v>
      </c>
      <c r="N83" s="34" t="str">
        <f>VLOOKUP(M83, $T$6:$Y$18, 6, FALSE)</f>
        <v>012 Construction</v>
      </c>
      <c r="P83" s="52"/>
    </row>
    <row r="84" spans="1:16">
      <c r="A84" s="50"/>
      <c r="B84" s="136"/>
      <c r="C84" s="136"/>
      <c r="D84" s="186" t="str">
        <f t="shared" si="19"/>
        <v>INDCO</v>
      </c>
      <c r="E84" s="135" t="str">
        <f t="shared" si="22"/>
        <v>Construction Demand Cooling</v>
      </c>
      <c r="F84" s="136" t="s">
        <v>44</v>
      </c>
      <c r="G84" s="137"/>
      <c r="H84" s="137"/>
      <c r="I84" s="137"/>
      <c r="J84" s="137"/>
      <c r="L84" s="37">
        <f>+L83+1</f>
        <v>2</v>
      </c>
      <c r="M84" s="36">
        <f t="shared" si="20"/>
        <v>12</v>
      </c>
      <c r="P84" s="52"/>
    </row>
    <row r="85" spans="1:16">
      <c r="A85" s="50"/>
      <c r="B85" s="136"/>
      <c r="C85" s="136"/>
      <c r="D85" s="186" t="str">
        <f t="shared" si="19"/>
        <v>INDSH</v>
      </c>
      <c r="E85" s="135" t="str">
        <f t="shared" si="22"/>
        <v>Construction Demand Spatial Heat</v>
      </c>
      <c r="F85" s="136" t="s">
        <v>44</v>
      </c>
      <c r="G85" s="137"/>
      <c r="H85" s="137"/>
      <c r="I85" s="137"/>
      <c r="J85" s="137"/>
      <c r="L85" s="37">
        <f>+L84+1</f>
        <v>3</v>
      </c>
      <c r="M85" s="36">
        <f t="shared" si="20"/>
        <v>12</v>
      </c>
      <c r="P85" s="52"/>
    </row>
    <row r="86" spans="1:16">
      <c r="A86" s="50"/>
      <c r="B86" s="136"/>
      <c r="C86" s="136"/>
      <c r="D86" s="186" t="str">
        <f t="shared" si="19"/>
        <v>INDLA</v>
      </c>
      <c r="E86" s="135" t="str">
        <f t="shared" si="22"/>
        <v>Construction Demand Light</v>
      </c>
      <c r="F86" s="136" t="s">
        <v>44</v>
      </c>
      <c r="G86" s="137"/>
      <c r="H86" s="137"/>
      <c r="I86" s="137"/>
      <c r="J86" s="137"/>
      <c r="L86" s="37">
        <f>+L85+1</f>
        <v>4</v>
      </c>
      <c r="M86" s="36">
        <f t="shared" si="20"/>
        <v>12</v>
      </c>
      <c r="P86" s="52"/>
    </row>
    <row r="87" spans="1:16">
      <c r="A87" s="50"/>
      <c r="B87" s="136"/>
      <c r="C87" s="136"/>
      <c r="D87" s="186" t="str">
        <f t="shared" si="19"/>
        <v>INDEM</v>
      </c>
      <c r="E87" s="135" t="str">
        <f t="shared" si="22"/>
        <v>Construction Demand Electric Motors</v>
      </c>
      <c r="F87" s="136" t="s">
        <v>44</v>
      </c>
      <c r="G87" s="137"/>
      <c r="H87" s="137"/>
      <c r="I87" s="137"/>
      <c r="J87" s="137"/>
      <c r="L87" s="37">
        <f t="shared" ref="L87:L89" si="24">+L86+1</f>
        <v>5</v>
      </c>
      <c r="M87" s="36">
        <f t="shared" si="20"/>
        <v>12</v>
      </c>
      <c r="P87" s="52"/>
    </row>
    <row r="88" spans="1:16">
      <c r="A88" s="50"/>
      <c r="B88" s="136"/>
      <c r="C88" s="136"/>
      <c r="D88" s="186" t="str">
        <f t="shared" si="19"/>
        <v>INDTF</v>
      </c>
      <c r="E88" s="135" t="str">
        <f t="shared" si="22"/>
        <v>Construction Demand Haulage Tractors, Trucks, Fishing boats, Forest machines</v>
      </c>
      <c r="F88" s="136" t="s">
        <v>44</v>
      </c>
      <c r="G88" s="137"/>
      <c r="H88" s="137"/>
      <c r="I88" s="137"/>
      <c r="J88" s="137"/>
      <c r="L88" s="37">
        <f t="shared" si="24"/>
        <v>6</v>
      </c>
      <c r="M88" s="36">
        <f t="shared" si="20"/>
        <v>12</v>
      </c>
      <c r="P88" s="52"/>
    </row>
    <row r="89" spans="1:16">
      <c r="A89" s="50"/>
      <c r="B89" s="136"/>
      <c r="C89" s="136"/>
      <c r="D89" s="186" t="str">
        <f t="shared" si="19"/>
        <v>INDFL</v>
      </c>
      <c r="E89" s="135" t="str">
        <f t="shared" si="22"/>
        <v>Construction Demand Haulage Forklifts</v>
      </c>
      <c r="F89" s="136" t="s">
        <v>44</v>
      </c>
      <c r="G89" s="137"/>
      <c r="H89" s="137"/>
      <c r="I89" s="137"/>
      <c r="J89" s="137"/>
      <c r="L89" s="37">
        <f t="shared" si="24"/>
        <v>7</v>
      </c>
      <c r="M89" s="36">
        <f t="shared" si="20"/>
        <v>12</v>
      </c>
      <c r="P89" s="52"/>
    </row>
    <row r="90" spans="1:16">
      <c r="A90" s="50"/>
      <c r="B90" s="142"/>
      <c r="C90" s="142"/>
      <c r="D90" s="239" t="str">
        <f t="shared" si="19"/>
        <v>IODPH</v>
      </c>
      <c r="E90" s="249" t="str">
        <f>INDEX($X$6:$X$191,M90) &amp; " " &amp; INDEX($AM$6:$AM$13,L90)</f>
        <v>Other comm Demand Process heat</v>
      </c>
      <c r="F90" s="142" t="s">
        <v>44</v>
      </c>
      <c r="G90" s="142"/>
      <c r="H90" s="142"/>
      <c r="I90" s="142"/>
      <c r="J90" s="142"/>
      <c r="K90" s="285"/>
      <c r="L90" s="288">
        <f>+L83</f>
        <v>1</v>
      </c>
      <c r="M90" s="288">
        <f>1+M85</f>
        <v>13</v>
      </c>
      <c r="N90" s="287" t="str">
        <f>VLOOKUP(M90, $T$6:$Y$18, 6, FALSE)</f>
        <v>013 Non-specified</v>
      </c>
      <c r="O90" s="285"/>
    </row>
    <row r="91" spans="1:16">
      <c r="A91" s="50"/>
      <c r="B91" s="317"/>
      <c r="C91" s="317"/>
      <c r="D91" s="186" t="str">
        <f t="shared" si="19"/>
        <v>IODCO</v>
      </c>
      <c r="E91" s="135" t="str">
        <f t="shared" ref="E91:E96" si="25">INDEX($X$6:$X$18,M91) &amp; " " &amp; INDEX($AM$6:$AM$13,L91)</f>
        <v>Other comm Demand Cooling</v>
      </c>
      <c r="F91" s="317" t="s">
        <v>44</v>
      </c>
      <c r="G91" s="137"/>
      <c r="H91" s="137"/>
      <c r="I91" s="137"/>
      <c r="J91" s="137"/>
      <c r="K91" s="285"/>
      <c r="L91" s="37">
        <f>+L90+1</f>
        <v>2</v>
      </c>
      <c r="M91" s="288">
        <f t="shared" si="20"/>
        <v>13</v>
      </c>
      <c r="N91" s="285"/>
      <c r="O91" s="285"/>
    </row>
    <row r="92" spans="1:16">
      <c r="A92" s="50"/>
      <c r="B92" s="317"/>
      <c r="C92" s="317"/>
      <c r="D92" s="186" t="str">
        <f t="shared" si="19"/>
        <v>IODSH</v>
      </c>
      <c r="E92" s="135" t="str">
        <f t="shared" si="25"/>
        <v>Other comm Demand Spatial Heat</v>
      </c>
      <c r="F92" s="317" t="s">
        <v>44</v>
      </c>
      <c r="G92" s="137"/>
      <c r="H92" s="137"/>
      <c r="I92" s="137"/>
      <c r="J92" s="137"/>
      <c r="K92" s="285"/>
      <c r="L92" s="37">
        <f>+L91+1</f>
        <v>3</v>
      </c>
      <c r="M92" s="288">
        <f t="shared" si="20"/>
        <v>13</v>
      </c>
      <c r="N92" s="285"/>
      <c r="O92" s="285"/>
    </row>
    <row r="93" spans="1:16">
      <c r="A93" s="50"/>
      <c r="B93" s="317"/>
      <c r="C93" s="317"/>
      <c r="D93" s="186" t="str">
        <f t="shared" si="19"/>
        <v>IODLA</v>
      </c>
      <c r="E93" s="135" t="str">
        <f t="shared" si="25"/>
        <v>Other comm Demand Light</v>
      </c>
      <c r="F93" s="317" t="s">
        <v>44</v>
      </c>
      <c r="G93" s="137"/>
      <c r="H93" s="137"/>
      <c r="I93" s="137"/>
      <c r="J93" s="137"/>
      <c r="K93" s="285"/>
      <c r="L93" s="37">
        <f>+L92+1</f>
        <v>4</v>
      </c>
      <c r="M93" s="288">
        <f t="shared" si="20"/>
        <v>13</v>
      </c>
      <c r="N93" s="285"/>
      <c r="O93" s="285"/>
    </row>
    <row r="94" spans="1:16">
      <c r="A94" s="50"/>
      <c r="B94" s="317"/>
      <c r="C94" s="317"/>
      <c r="D94" s="186" t="str">
        <f t="shared" si="19"/>
        <v>IODEM</v>
      </c>
      <c r="E94" s="135" t="str">
        <f t="shared" si="25"/>
        <v>Other comm Demand Electric Motors</v>
      </c>
      <c r="F94" s="317" t="s">
        <v>44</v>
      </c>
      <c r="G94" s="137"/>
      <c r="H94" s="137"/>
      <c r="I94" s="137"/>
      <c r="J94" s="137"/>
      <c r="K94" s="285"/>
      <c r="L94" s="37">
        <f t="shared" ref="L94:L96" si="26">+L93+1</f>
        <v>5</v>
      </c>
      <c r="M94" s="288">
        <f t="shared" si="20"/>
        <v>13</v>
      </c>
      <c r="N94" s="285"/>
      <c r="O94" s="285"/>
    </row>
    <row r="95" spans="1:16">
      <c r="A95" s="50"/>
      <c r="B95" s="317"/>
      <c r="C95" s="317"/>
      <c r="D95" s="186" t="str">
        <f t="shared" si="19"/>
        <v>IODTF</v>
      </c>
      <c r="E95" s="135" t="str">
        <f t="shared" si="25"/>
        <v>Other comm Demand Haulage Tractors, Trucks, Fishing boats, Forest machines</v>
      </c>
      <c r="F95" s="317" t="s">
        <v>44</v>
      </c>
      <c r="G95" s="137"/>
      <c r="H95" s="137"/>
      <c r="I95" s="137"/>
      <c r="J95" s="137"/>
      <c r="K95" s="285"/>
      <c r="L95" s="37">
        <f t="shared" si="26"/>
        <v>6</v>
      </c>
      <c r="M95" s="288">
        <f t="shared" si="20"/>
        <v>13</v>
      </c>
      <c r="N95" s="285"/>
      <c r="O95" s="285"/>
    </row>
    <row r="96" spans="1:16">
      <c r="A96" s="50"/>
      <c r="B96" s="317"/>
      <c r="C96" s="317"/>
      <c r="D96" s="186" t="str">
        <f t="shared" si="19"/>
        <v>IODFL</v>
      </c>
      <c r="E96" s="135" t="str">
        <f t="shared" si="25"/>
        <v>Other comm Demand Haulage Forklifts</v>
      </c>
      <c r="F96" s="317" t="s">
        <v>44</v>
      </c>
      <c r="G96" s="137"/>
      <c r="H96" s="137"/>
      <c r="I96" s="137"/>
      <c r="J96" s="137"/>
      <c r="K96" s="285"/>
      <c r="L96" s="37">
        <f t="shared" si="26"/>
        <v>7</v>
      </c>
      <c r="M96" s="288">
        <f t="shared" si="20"/>
        <v>13</v>
      </c>
      <c r="N96" s="285"/>
      <c r="O96" s="285"/>
    </row>
    <row r="97" spans="1:18">
      <c r="A97" s="50"/>
      <c r="B97" s="142" t="s">
        <v>302</v>
      </c>
      <c r="C97" s="142"/>
      <c r="D97" s="239" t="s">
        <v>72</v>
      </c>
      <c r="E97" s="142" t="s">
        <v>115</v>
      </c>
      <c r="F97" s="142" t="s">
        <v>44</v>
      </c>
      <c r="G97" s="142"/>
      <c r="H97" s="142"/>
      <c r="I97" s="142"/>
      <c r="J97" s="142"/>
    </row>
    <row r="98" spans="1:18">
      <c r="A98" s="50"/>
      <c r="B98" s="137"/>
      <c r="C98" s="137"/>
      <c r="D98" s="188" t="s">
        <v>94</v>
      </c>
      <c r="E98" s="137" t="s">
        <v>121</v>
      </c>
      <c r="F98" s="136" t="s">
        <v>44</v>
      </c>
      <c r="G98" s="137"/>
      <c r="H98" s="137"/>
      <c r="I98" s="137"/>
      <c r="J98" s="137"/>
    </row>
    <row r="99" spans="1:18">
      <c r="A99" s="50"/>
      <c r="B99" s="137"/>
      <c r="C99" s="137"/>
      <c r="D99" s="188" t="s">
        <v>73</v>
      </c>
      <c r="E99" s="137" t="s">
        <v>116</v>
      </c>
      <c r="F99" s="136" t="s">
        <v>44</v>
      </c>
      <c r="G99" s="137"/>
      <c r="H99" s="137"/>
      <c r="I99" s="137"/>
      <c r="J99" s="137"/>
    </row>
    <row r="100" spans="1:18">
      <c r="A100" s="50"/>
      <c r="B100" s="137"/>
      <c r="C100" s="137"/>
      <c r="D100" s="188" t="s">
        <v>92</v>
      </c>
      <c r="E100" s="136" t="s">
        <v>117</v>
      </c>
      <c r="F100" s="136" t="s">
        <v>44</v>
      </c>
      <c r="G100" s="137"/>
      <c r="H100" s="137"/>
      <c r="I100" s="137"/>
      <c r="J100" s="137"/>
    </row>
    <row r="101" spans="1:18">
      <c r="A101" s="50"/>
      <c r="B101" s="137"/>
      <c r="C101" s="137"/>
      <c r="D101" s="188" t="s">
        <v>108</v>
      </c>
      <c r="E101" s="136" t="s">
        <v>119</v>
      </c>
      <c r="F101" s="136" t="s">
        <v>44</v>
      </c>
      <c r="G101" s="137"/>
      <c r="H101" s="137"/>
      <c r="I101" s="137"/>
      <c r="J101" s="137"/>
    </row>
    <row r="102" spans="1:18">
      <c r="B102" s="137"/>
      <c r="C102" s="137"/>
      <c r="D102" s="188" t="s">
        <v>81</v>
      </c>
      <c r="E102" s="137" t="s">
        <v>120</v>
      </c>
      <c r="F102" s="136" t="s">
        <v>44</v>
      </c>
      <c r="G102" s="137"/>
      <c r="H102" s="137"/>
      <c r="I102" s="137"/>
      <c r="J102" s="137"/>
    </row>
    <row r="103" spans="1:18">
      <c r="B103" s="137"/>
      <c r="C103" s="137"/>
      <c r="D103" s="188" t="s">
        <v>82</v>
      </c>
      <c r="E103" s="137" t="s">
        <v>126</v>
      </c>
      <c r="F103" s="136" t="s">
        <v>44</v>
      </c>
      <c r="G103" s="137"/>
      <c r="H103" s="137"/>
      <c r="I103" s="137"/>
      <c r="J103" s="137"/>
    </row>
    <row r="104" spans="1:18">
      <c r="A104" s="46"/>
      <c r="B104" s="137"/>
      <c r="C104" s="137"/>
      <c r="D104" s="188" t="s">
        <v>83</v>
      </c>
      <c r="E104" s="137" t="s">
        <v>123</v>
      </c>
      <c r="F104" s="136" t="s">
        <v>44</v>
      </c>
      <c r="G104" s="137"/>
      <c r="H104" s="137"/>
      <c r="I104" s="137"/>
      <c r="J104" s="137"/>
    </row>
    <row r="105" spans="1:18">
      <c r="B105" s="137"/>
      <c r="C105" s="137"/>
      <c r="D105" s="188" t="s">
        <v>84</v>
      </c>
      <c r="E105" s="137" t="s">
        <v>122</v>
      </c>
      <c r="F105" s="136" t="s">
        <v>44</v>
      </c>
      <c r="G105" s="137"/>
      <c r="H105" s="137"/>
      <c r="I105" s="137"/>
      <c r="J105" s="137"/>
    </row>
    <row r="106" spans="1:18">
      <c r="B106" s="136"/>
      <c r="C106" s="136"/>
      <c r="D106" s="188" t="s">
        <v>75</v>
      </c>
      <c r="E106" s="137" t="s">
        <v>124</v>
      </c>
      <c r="F106" s="136" t="s">
        <v>44</v>
      </c>
      <c r="G106" s="137"/>
      <c r="H106" s="137" t="s">
        <v>60</v>
      </c>
      <c r="I106" s="137"/>
      <c r="J106" s="137"/>
    </row>
    <row r="107" spans="1:18" s="285" customFormat="1">
      <c r="B107" s="317"/>
      <c r="C107" s="317"/>
      <c r="D107" s="188" t="s">
        <v>581</v>
      </c>
      <c r="E107" s="137" t="s">
        <v>582</v>
      </c>
      <c r="F107" s="317" t="s">
        <v>44</v>
      </c>
      <c r="G107" s="137"/>
      <c r="H107" s="137" t="s">
        <v>60</v>
      </c>
      <c r="I107" s="137"/>
      <c r="J107" s="137"/>
      <c r="L107" s="288"/>
      <c r="M107" s="288"/>
    </row>
    <row r="108" spans="1:18">
      <c r="B108" s="137"/>
      <c r="C108" s="137"/>
      <c r="D108" s="186" t="s">
        <v>76</v>
      </c>
      <c r="E108" s="136" t="s">
        <v>125</v>
      </c>
      <c r="F108" s="136" t="s">
        <v>44</v>
      </c>
      <c r="G108" s="136"/>
      <c r="H108" s="136" t="s">
        <v>60</v>
      </c>
      <c r="I108" s="136"/>
      <c r="J108" s="136"/>
    </row>
    <row r="109" spans="1:18">
      <c r="B109" s="136"/>
      <c r="C109" s="136"/>
      <c r="D109" s="186" t="s">
        <v>74</v>
      </c>
      <c r="E109" s="136" t="s">
        <v>118</v>
      </c>
      <c r="F109" s="136" t="s">
        <v>44</v>
      </c>
      <c r="G109" s="136"/>
      <c r="H109" s="136" t="s">
        <v>60</v>
      </c>
      <c r="I109" s="136"/>
      <c r="J109" s="136" t="s">
        <v>61</v>
      </c>
    </row>
    <row r="110" spans="1:18">
      <c r="B110" s="136"/>
      <c r="C110" s="136"/>
      <c r="D110" s="189" t="s">
        <v>127</v>
      </c>
      <c r="E110" s="140" t="s">
        <v>128</v>
      </c>
      <c r="F110" s="140" t="s">
        <v>44</v>
      </c>
      <c r="G110" s="136"/>
      <c r="H110" s="136"/>
      <c r="I110" s="136"/>
      <c r="J110" s="136"/>
      <c r="P110" s="48"/>
      <c r="Q110" s="48"/>
      <c r="R110" s="48"/>
    </row>
    <row r="111" spans="1:18">
      <c r="B111" s="136"/>
      <c r="C111" s="136"/>
      <c r="D111" s="186" t="s">
        <v>131</v>
      </c>
      <c r="E111" s="135" t="s">
        <v>203</v>
      </c>
      <c r="F111" s="136" t="s">
        <v>44</v>
      </c>
      <c r="G111" s="136"/>
      <c r="H111" s="136"/>
      <c r="I111" s="136"/>
      <c r="J111" s="136"/>
      <c r="P111" s="46"/>
      <c r="Q111" s="46"/>
      <c r="R111" s="46"/>
    </row>
    <row r="112" spans="1:18">
      <c r="B112" s="136"/>
      <c r="C112" s="136"/>
      <c r="D112" s="186" t="s">
        <v>132</v>
      </c>
      <c r="E112" s="136" t="s">
        <v>204</v>
      </c>
      <c r="F112" s="136" t="s">
        <v>44</v>
      </c>
      <c r="G112" s="136"/>
      <c r="H112" s="136"/>
      <c r="I112" s="136"/>
      <c r="J112" s="136"/>
    </row>
    <row r="113" spans="2:20">
      <c r="B113" s="136"/>
      <c r="C113" s="136"/>
      <c r="D113" s="189" t="s">
        <v>133</v>
      </c>
      <c r="E113" s="140" t="s">
        <v>205</v>
      </c>
      <c r="F113" s="140" t="s">
        <v>44</v>
      </c>
      <c r="G113" s="136"/>
      <c r="H113" s="136"/>
      <c r="I113" s="136"/>
      <c r="J113" s="136"/>
    </row>
    <row r="114" spans="2:20">
      <c r="B114" s="136"/>
      <c r="C114" s="136"/>
      <c r="D114" s="186" t="s">
        <v>134</v>
      </c>
      <c r="E114" s="135" t="s">
        <v>206</v>
      </c>
      <c r="F114" s="136" t="s">
        <v>44</v>
      </c>
      <c r="G114" s="136"/>
      <c r="H114" s="136"/>
      <c r="I114" s="136"/>
      <c r="J114" s="136"/>
      <c r="P114" s="46"/>
      <c r="Q114" s="46"/>
      <c r="R114" s="46"/>
    </row>
    <row r="115" spans="2:20">
      <c r="B115" s="136"/>
      <c r="C115" s="136"/>
      <c r="D115" s="186" t="s">
        <v>222</v>
      </c>
      <c r="E115" s="135" t="s">
        <v>228</v>
      </c>
      <c r="F115" s="136" t="s">
        <v>44</v>
      </c>
      <c r="G115" s="136"/>
      <c r="H115" s="136"/>
      <c r="I115" s="136"/>
      <c r="J115" s="136"/>
    </row>
    <row r="116" spans="2:20">
      <c r="B116" s="136"/>
      <c r="C116" s="136"/>
      <c r="D116" s="186" t="s">
        <v>223</v>
      </c>
      <c r="E116" s="135" t="s">
        <v>230</v>
      </c>
      <c r="F116" s="136" t="s">
        <v>44</v>
      </c>
      <c r="G116" s="136"/>
      <c r="H116" s="136"/>
      <c r="I116" s="136"/>
      <c r="J116" s="136"/>
    </row>
    <row r="117" spans="2:20">
      <c r="B117" s="139"/>
      <c r="C117" s="139"/>
      <c r="D117" s="187" t="s">
        <v>224</v>
      </c>
      <c r="E117" s="138" t="s">
        <v>231</v>
      </c>
      <c r="F117" s="139" t="s">
        <v>44</v>
      </c>
      <c r="G117" s="139"/>
      <c r="H117" s="139"/>
      <c r="I117" s="139"/>
      <c r="J117" s="139"/>
      <c r="L117" s="98"/>
      <c r="M117" s="98"/>
      <c r="N117" s="48"/>
      <c r="O117" s="48"/>
    </row>
    <row r="118" spans="2:20" s="285" customFormat="1">
      <c r="B118" s="139"/>
      <c r="C118" s="139"/>
      <c r="D118" s="187" t="s">
        <v>414</v>
      </c>
      <c r="E118" s="138" t="s">
        <v>416</v>
      </c>
      <c r="F118" s="139" t="s">
        <v>44</v>
      </c>
      <c r="G118" s="139"/>
      <c r="H118" s="139"/>
      <c r="I118" s="139"/>
      <c r="J118" s="139"/>
      <c r="L118" s="238"/>
      <c r="M118" s="238"/>
      <c r="N118" s="291"/>
      <c r="O118" s="291"/>
    </row>
    <row r="119" spans="2:20" s="285" customFormat="1">
      <c r="B119" s="433"/>
      <c r="C119" s="433"/>
      <c r="D119" s="434" t="s">
        <v>405</v>
      </c>
      <c r="E119" s="435" t="s">
        <v>412</v>
      </c>
      <c r="F119" s="436" t="s">
        <v>44</v>
      </c>
      <c r="G119" s="433"/>
      <c r="H119" s="433"/>
      <c r="I119" s="433"/>
      <c r="J119" s="433"/>
      <c r="L119" s="238"/>
      <c r="M119" s="238"/>
      <c r="N119" s="291"/>
      <c r="O119" s="291"/>
    </row>
    <row r="120" spans="2:20" s="285" customFormat="1">
      <c r="B120" s="142"/>
      <c r="C120" s="142"/>
      <c r="D120" s="186" t="s">
        <v>571</v>
      </c>
      <c r="E120" s="250" t="s">
        <v>572</v>
      </c>
      <c r="F120" s="317" t="s">
        <v>44</v>
      </c>
      <c r="G120" s="142"/>
      <c r="H120" s="142"/>
      <c r="I120" s="142"/>
      <c r="J120" s="142"/>
      <c r="L120" s="238"/>
      <c r="M120" s="238"/>
      <c r="N120" s="291"/>
      <c r="O120" s="291"/>
    </row>
    <row r="121" spans="2:20">
      <c r="B121" s="142" t="s">
        <v>63</v>
      </c>
      <c r="C121" s="142"/>
      <c r="D121" s="186" t="s">
        <v>259</v>
      </c>
      <c r="E121" s="136" t="s">
        <v>260</v>
      </c>
      <c r="F121" s="136" t="s">
        <v>64</v>
      </c>
      <c r="G121" s="141"/>
      <c r="H121" s="142"/>
      <c r="I121" s="142"/>
      <c r="J121" s="142"/>
      <c r="L121" s="238"/>
      <c r="M121" s="238"/>
      <c r="N121" s="46"/>
      <c r="O121" s="46"/>
    </row>
    <row r="122" spans="2:20">
      <c r="B122" s="142"/>
      <c r="C122" s="142"/>
      <c r="D122" s="239" t="str">
        <f t="shared" ref="D122:D134" si="27">U6&amp;"DCO2"</f>
        <v>ISDCO2</v>
      </c>
      <c r="E122" s="142" t="str">
        <f>+"CO2 " &amp; INDEX($X$6:$X$15,L122)</f>
        <v xml:space="preserve">CO2 Iron &amp; Steel </v>
      </c>
      <c r="F122" s="142" t="s">
        <v>64</v>
      </c>
      <c r="G122" s="141"/>
      <c r="H122" s="142"/>
      <c r="I122" s="142"/>
      <c r="J122" s="142"/>
      <c r="L122" s="36">
        <v>1</v>
      </c>
      <c r="M122" s="69" t="str">
        <f t="shared" ref="M122:M134" si="28">+INDEX($Y$6:$Y$18,L122)</f>
        <v>01 Iron and steel</v>
      </c>
    </row>
    <row r="123" spans="2:20">
      <c r="B123" s="136"/>
      <c r="C123" s="136"/>
      <c r="D123" s="186" t="str">
        <f t="shared" si="27"/>
        <v>ICDCO2</v>
      </c>
      <c r="E123" s="136" t="str">
        <f>+"CO2 " &amp; INDEX($X$6:$X$15,L123)</f>
        <v>CO2 Chemical industry</v>
      </c>
      <c r="F123" s="136" t="s">
        <v>64</v>
      </c>
      <c r="G123" s="143"/>
      <c r="H123" s="136"/>
      <c r="I123" s="136"/>
      <c r="J123" s="136"/>
      <c r="L123" s="84">
        <f t="shared" ref="L123:L131" si="29">+L122+1</f>
        <v>2</v>
      </c>
      <c r="M123" s="69" t="str">
        <f t="shared" si="28"/>
        <v>02 Chemical and petrochemical</v>
      </c>
    </row>
    <row r="124" spans="2:20">
      <c r="B124" s="136"/>
      <c r="C124" s="136"/>
      <c r="D124" s="186" t="str">
        <f t="shared" si="27"/>
        <v>IADCO2</v>
      </c>
      <c r="E124" s="136" t="str">
        <f>+"CO2 " &amp; INDEX($X$6:$X$15,L124)</f>
        <v>CO2 Aluminium industry</v>
      </c>
      <c r="F124" s="136" t="s">
        <v>64</v>
      </c>
      <c r="G124" s="143"/>
      <c r="H124" s="136"/>
      <c r="I124" s="136"/>
      <c r="J124" s="136"/>
      <c r="L124" s="84">
        <f t="shared" si="29"/>
        <v>3</v>
      </c>
      <c r="M124" s="69" t="str">
        <f t="shared" si="28"/>
        <v>03 Non-ferrous metal</v>
      </c>
      <c r="P124" s="285"/>
      <c r="Q124" s="285"/>
      <c r="R124" s="285"/>
      <c r="S124" s="285"/>
      <c r="T124" s="285"/>
    </row>
    <row r="125" spans="2:20">
      <c r="B125" s="136"/>
      <c r="C125" s="136"/>
      <c r="D125" s="186" t="str">
        <f t="shared" si="27"/>
        <v>IGDCO2</v>
      </c>
      <c r="E125" s="136" t="str">
        <f>+"CO2 " &amp; INDEX($X$6:$X$15,L125)</f>
        <v>CO2 Glass &amp; Concrete industry</v>
      </c>
      <c r="F125" s="136" t="s">
        <v>64</v>
      </c>
      <c r="G125" s="143"/>
      <c r="H125" s="136"/>
      <c r="I125" s="136"/>
      <c r="J125" s="136"/>
      <c r="L125" s="84">
        <f t="shared" si="29"/>
        <v>4</v>
      </c>
      <c r="M125" s="69" t="str">
        <f t="shared" si="28"/>
        <v>04 Non-metallic minerals</v>
      </c>
      <c r="P125" s="285"/>
      <c r="Q125" s="285"/>
      <c r="R125" s="285"/>
      <c r="S125" s="285"/>
      <c r="T125" s="285"/>
    </row>
    <row r="126" spans="2:20">
      <c r="B126" s="136"/>
      <c r="C126" s="136"/>
      <c r="D126" s="186" t="str">
        <f t="shared" si="27"/>
        <v>ITDCO2</v>
      </c>
      <c r="E126" s="136" t="str">
        <f t="shared" ref="E126:E131" si="30">+"CO2 " &amp; INDEX($X$6:$X$15,L126)</f>
        <v>CO2 Transport industry</v>
      </c>
      <c r="F126" s="136" t="s">
        <v>64</v>
      </c>
      <c r="G126" s="143"/>
      <c r="H126" s="136"/>
      <c r="I126" s="136"/>
      <c r="J126" s="136"/>
      <c r="L126" s="84">
        <f t="shared" si="29"/>
        <v>5</v>
      </c>
      <c r="M126" s="69" t="str">
        <f t="shared" si="28"/>
        <v>05 Transport equipment</v>
      </c>
      <c r="P126" s="103"/>
      <c r="Q126" s="48"/>
      <c r="R126" s="48"/>
      <c r="S126" s="285"/>
      <c r="T126" s="285"/>
    </row>
    <row r="127" spans="2:20">
      <c r="B127" s="136"/>
      <c r="C127" s="136"/>
      <c r="D127" s="186" t="str">
        <f t="shared" si="27"/>
        <v>IMDCO2</v>
      </c>
      <c r="E127" s="136" t="str">
        <f t="shared" si="30"/>
        <v>CO2 Machinery industry</v>
      </c>
      <c r="F127" s="136" t="s">
        <v>64</v>
      </c>
      <c r="G127" s="143"/>
      <c r="H127" s="136"/>
      <c r="I127" s="136"/>
      <c r="J127" s="136"/>
      <c r="L127" s="84">
        <f t="shared" si="29"/>
        <v>6</v>
      </c>
      <c r="M127" s="69" t="str">
        <f t="shared" si="28"/>
        <v>06 Machinery</v>
      </c>
      <c r="P127" s="285"/>
      <c r="Q127" s="285"/>
      <c r="R127" s="285"/>
      <c r="S127" s="285"/>
      <c r="T127" s="285"/>
    </row>
    <row r="128" spans="2:20">
      <c r="B128" s="136"/>
      <c r="C128" s="136"/>
      <c r="D128" s="186" t="str">
        <f t="shared" si="27"/>
        <v>IIDCO2</v>
      </c>
      <c r="E128" s="136" t="str">
        <f t="shared" si="30"/>
        <v>CO2 Mining</v>
      </c>
      <c r="F128" s="136" t="s">
        <v>64</v>
      </c>
      <c r="G128" s="143"/>
      <c r="H128" s="136"/>
      <c r="I128" s="136"/>
      <c r="J128" s="136"/>
      <c r="L128" s="84">
        <f t="shared" si="29"/>
        <v>7</v>
      </c>
      <c r="M128" s="69" t="str">
        <f t="shared" si="28"/>
        <v>07 Mining and quarrying</v>
      </c>
      <c r="P128" s="285"/>
      <c r="Q128" s="285"/>
      <c r="R128" s="285"/>
      <c r="S128" s="285"/>
      <c r="T128" s="285"/>
    </row>
    <row r="129" spans="2:15">
      <c r="B129" s="136"/>
      <c r="C129" s="136"/>
      <c r="D129" s="186" t="str">
        <f t="shared" si="27"/>
        <v>IFDCO2</v>
      </c>
      <c r="E129" s="136" t="str">
        <f t="shared" si="30"/>
        <v>CO2 Food industry</v>
      </c>
      <c r="F129" s="136" t="s">
        <v>64</v>
      </c>
      <c r="G129" s="143"/>
      <c r="H129" s="136"/>
      <c r="I129" s="136"/>
      <c r="J129" s="136"/>
      <c r="L129" s="84">
        <f t="shared" si="29"/>
        <v>8</v>
      </c>
      <c r="M129" s="69" t="str">
        <f t="shared" si="28"/>
        <v>08 Food and tobacco</v>
      </c>
    </row>
    <row r="130" spans="2:15">
      <c r="B130" s="317"/>
      <c r="C130" s="317"/>
      <c r="D130" s="186" t="str">
        <f t="shared" si="27"/>
        <v>IRDCO2</v>
      </c>
      <c r="E130" s="317" t="str">
        <f t="shared" si="30"/>
        <v>CO2 Paper &amp; Pulp industry</v>
      </c>
      <c r="F130" s="317" t="s">
        <v>64</v>
      </c>
      <c r="G130" s="143"/>
      <c r="H130" s="317"/>
      <c r="I130" s="317"/>
      <c r="J130" s="317"/>
      <c r="L130" s="84">
        <f t="shared" si="29"/>
        <v>9</v>
      </c>
      <c r="M130" s="69" t="str">
        <f t="shared" si="28"/>
        <v>09 Paper, pulp and printing</v>
      </c>
    </row>
    <row r="131" spans="2:15">
      <c r="B131" s="317"/>
      <c r="C131" s="317"/>
      <c r="D131" s="186" t="str">
        <f t="shared" si="27"/>
        <v>IWDCO2</v>
      </c>
      <c r="E131" s="317" t="str">
        <f t="shared" si="30"/>
        <v>CO2 Wood products industry</v>
      </c>
      <c r="F131" s="317" t="s">
        <v>64</v>
      </c>
      <c r="G131" s="143"/>
      <c r="H131" s="317"/>
      <c r="I131" s="317"/>
      <c r="J131" s="317"/>
      <c r="L131" s="84">
        <f t="shared" si="29"/>
        <v>10</v>
      </c>
      <c r="M131" s="298" t="str">
        <f t="shared" si="28"/>
        <v>010 Wood and wood products</v>
      </c>
      <c r="N131" s="285"/>
      <c r="O131" s="285"/>
    </row>
    <row r="132" spans="2:15">
      <c r="B132" s="317"/>
      <c r="C132" s="317"/>
      <c r="D132" s="186" t="str">
        <f t="shared" si="27"/>
        <v>ILDCO2</v>
      </c>
      <c r="E132" s="317" t="str">
        <f>+"CO2 " &amp; INDEX($X$6:$X$17,L132)</f>
        <v>CO2 Textile &amp; Leather</v>
      </c>
      <c r="F132" s="317" t="s">
        <v>64</v>
      </c>
      <c r="G132" s="143"/>
      <c r="H132" s="317"/>
      <c r="I132" s="317"/>
      <c r="J132" s="317"/>
      <c r="L132" s="84">
        <v>11</v>
      </c>
      <c r="M132" s="298" t="str">
        <f t="shared" si="28"/>
        <v>011 Textile and leather</v>
      </c>
      <c r="N132" s="285"/>
      <c r="O132" s="285"/>
    </row>
    <row r="133" spans="2:15">
      <c r="B133" s="317"/>
      <c r="C133" s="317"/>
      <c r="D133" s="317" t="str">
        <f t="shared" si="27"/>
        <v>INDCO2</v>
      </c>
      <c r="E133" s="317" t="str">
        <f>+"CO2 " &amp; INDEX($X$6:$X$17,L133)</f>
        <v>CO2 Construction</v>
      </c>
      <c r="F133" s="317" t="s">
        <v>64</v>
      </c>
      <c r="G133" s="317"/>
      <c r="H133" s="317"/>
      <c r="I133" s="317"/>
      <c r="J133" s="317"/>
      <c r="K133" s="285"/>
      <c r="L133" s="84">
        <v>12</v>
      </c>
      <c r="M133" s="298" t="str">
        <f t="shared" si="28"/>
        <v>012 Construction</v>
      </c>
      <c r="N133" s="84"/>
      <c r="O133" s="84"/>
    </row>
    <row r="134" spans="2:15">
      <c r="B134" s="317"/>
      <c r="C134" s="139"/>
      <c r="D134" s="187" t="str">
        <f t="shared" si="27"/>
        <v>IODCO2</v>
      </c>
      <c r="E134" s="139" t="str">
        <f>+"CO2 " &amp; INDEX($X$6:$X$18,L134)</f>
        <v>CO2 Other comm</v>
      </c>
      <c r="F134" s="139" t="s">
        <v>64</v>
      </c>
      <c r="G134" s="144"/>
      <c r="H134" s="139"/>
      <c r="I134" s="139"/>
      <c r="J134" s="139"/>
      <c r="L134" s="96">
        <v>13</v>
      </c>
      <c r="M134" s="210" t="str">
        <f t="shared" si="28"/>
        <v>013 Non-specified</v>
      </c>
      <c r="N134" s="48"/>
      <c r="O134" s="48"/>
    </row>
    <row r="135" spans="2:15">
      <c r="B135" s="350"/>
      <c r="C135" s="285"/>
      <c r="D135" s="285"/>
      <c r="E135" s="285"/>
      <c r="F135" s="285"/>
      <c r="G135" s="285"/>
      <c r="H135" s="285"/>
      <c r="I135" s="285"/>
      <c r="J135" s="285"/>
      <c r="L135" s="288"/>
      <c r="M135" s="288"/>
      <c r="N135" s="285"/>
      <c r="O135" s="285"/>
    </row>
    <row r="136" spans="2:15">
      <c r="L136" s="288"/>
      <c r="M136" s="288"/>
      <c r="N136" s="285"/>
      <c r="O136" s="28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zoomScale="90" zoomScaleNormal="90" workbookViewId="0">
      <selection activeCell="E15" sqref="E15"/>
    </sheetView>
  </sheetViews>
  <sheetFormatPr baseColWidth="10" defaultColWidth="9.1640625" defaultRowHeight="12.75" customHeight="1"/>
  <cols>
    <col min="1" max="2" width="9.1640625" style="128"/>
    <col min="3" max="3" width="58.6640625" style="128" customWidth="1"/>
    <col min="4" max="4" width="10.1640625" style="128" bestFit="1" customWidth="1"/>
    <col min="5" max="7" width="12.5" style="128" customWidth="1"/>
    <col min="8" max="8" width="9.1640625" style="128"/>
    <col min="9" max="9" width="14.83203125" style="128" bestFit="1" customWidth="1"/>
    <col min="10" max="14" width="6.5" style="128" customWidth="1"/>
    <col min="15" max="15" width="1.1640625" style="128" customWidth="1"/>
    <col min="16" max="16384" width="9.1640625" style="128"/>
  </cols>
  <sheetData>
    <row r="2" spans="2:16" ht="12.75" customHeight="1">
      <c r="B2" s="85">
        <f>IronSteel!V76</f>
        <v>2010</v>
      </c>
      <c r="C2" s="85" t="s">
        <v>86</v>
      </c>
      <c r="D2" s="25"/>
      <c r="E2" s="25"/>
      <c r="F2" s="25"/>
      <c r="G2" s="285"/>
      <c r="I2" s="211" t="s">
        <v>244</v>
      </c>
      <c r="J2" s="211"/>
      <c r="K2" s="211"/>
      <c r="L2" s="211"/>
      <c r="M2" s="211"/>
      <c r="N2" s="211"/>
    </row>
    <row r="3" spans="2:16" ht="12.75" customHeight="1">
      <c r="B3" s="168" t="s">
        <v>202</v>
      </c>
      <c r="D3" s="235" t="s">
        <v>154</v>
      </c>
      <c r="E3" s="234">
        <v>7</v>
      </c>
      <c r="F3" s="25"/>
      <c r="G3" s="285"/>
    </row>
    <row r="4" spans="2:16" ht="12.75" customHeight="1">
      <c r="B4" s="25"/>
      <c r="C4" s="25"/>
      <c r="D4" s="25"/>
      <c r="E4" s="25"/>
      <c r="F4" s="25"/>
      <c r="G4" s="285"/>
      <c r="I4" s="213" t="s">
        <v>188</v>
      </c>
      <c r="J4" s="213"/>
      <c r="K4" s="213"/>
      <c r="L4" s="213"/>
      <c r="M4" s="213"/>
      <c r="N4" s="213"/>
    </row>
    <row r="5" spans="2:16" ht="12.75" customHeight="1">
      <c r="B5" s="49" t="s">
        <v>8</v>
      </c>
      <c r="C5" s="49"/>
      <c r="D5" s="50"/>
      <c r="E5" s="25"/>
      <c r="F5" s="25"/>
      <c r="G5" s="285"/>
    </row>
    <row r="6" spans="2:16" ht="30">
      <c r="B6" s="51" t="s">
        <v>4</v>
      </c>
      <c r="C6" s="51" t="s">
        <v>129</v>
      </c>
      <c r="D6" s="165" t="s">
        <v>27</v>
      </c>
      <c r="E6" s="51" t="s">
        <v>418</v>
      </c>
      <c r="F6" s="51" t="s">
        <v>533</v>
      </c>
      <c r="G6" s="51" t="s">
        <v>558</v>
      </c>
      <c r="I6" s="214" t="s">
        <v>241</v>
      </c>
      <c r="J6" s="215" t="s">
        <v>419</v>
      </c>
      <c r="K6" s="215" t="s">
        <v>508</v>
      </c>
      <c r="L6" s="215" t="s">
        <v>516</v>
      </c>
      <c r="M6" s="216" t="s">
        <v>242</v>
      </c>
      <c r="N6" s="216" t="s">
        <v>243</v>
      </c>
      <c r="P6" s="227" t="s">
        <v>95</v>
      </c>
    </row>
    <row r="7" spans="2:16" ht="12.75" customHeight="1">
      <c r="B7" s="164" t="str">
        <f>+Commodities!D6</f>
        <v>ISDPH</v>
      </c>
      <c r="C7" s="164" t="str">
        <f>+Commodities!E6</f>
        <v>Iron &amp; Steel  Demand Process heat</v>
      </c>
      <c r="D7" s="166" t="str">
        <f>+Commodities!F6</f>
        <v>PJ</v>
      </c>
      <c r="E7" s="171">
        <f ca="1">+SUM(INDIRECT("'" &amp; $I7 &amp; "'!" &amp; J7 &amp; $M7 &amp; IF(ISBLANK($N7),"",":" &amp; J7 &amp; $N7)))</f>
        <v>140.69366515768232</v>
      </c>
      <c r="F7" s="171">
        <f t="shared" ref="F7:F38" ca="1" si="0">+SUM(INDIRECT("'" &amp; $I7 &amp; "'!" &amp; K7 &amp; $M7 &amp; IF(ISBLANK($N7),"",":" &amp; K7 &amp; $N7)))</f>
        <v>0</v>
      </c>
      <c r="G7" s="171">
        <f t="shared" ref="G7:G38" ca="1" si="1">+SUM(INDIRECT("'" &amp; $I7 &amp; "'!" &amp; L7 &amp; $M7 &amp; IF(ISBLANK($N7),"",":" &amp; L7 &amp; $N7)))</f>
        <v>0</v>
      </c>
      <c r="I7" s="217" t="str">
        <f>Commodities!AE6</f>
        <v>IronSteel</v>
      </c>
      <c r="J7" s="218" t="str">
        <f>SUBSTITUTE(ADDRESS(1,COLUMN(IronSteel!AQ1),4),"1","")</f>
        <v>AQ</v>
      </c>
      <c r="K7" s="218" t="str">
        <f>SUBSTITUTE(ADDRESS(1,COLUMN(IronSteel!AR1),4),"1","")</f>
        <v>AR</v>
      </c>
      <c r="L7" s="218" t="str">
        <f>SUBSTITUTE(ADDRESS(1,COLUMN(IronSteel!AS1),4),"1","")</f>
        <v>AS</v>
      </c>
      <c r="M7" s="219">
        <v>26</v>
      </c>
      <c r="N7" s="219">
        <v>37</v>
      </c>
      <c r="P7" s="226">
        <f ca="1">+SUM(INDIRECT("'" &amp; I7 &amp; "'!" &amp; "AQ26:AR62")) - SUM(E7:F13)</f>
        <v>0</v>
      </c>
    </row>
    <row r="8" spans="2:16" ht="12.75" customHeight="1">
      <c r="B8" s="164" t="str">
        <f>+Commodities!D7</f>
        <v>ISDCO</v>
      </c>
      <c r="C8" s="164" t="str">
        <f>+Commodities!E7</f>
        <v>Iron &amp; Steel  Demand Cooling</v>
      </c>
      <c r="D8" s="166" t="str">
        <f>+Commodities!F7</f>
        <v>PJ</v>
      </c>
      <c r="E8" s="171">
        <f t="shared" ref="E8:E38" ca="1" si="2">+SUM(INDIRECT("'" &amp; $I8 &amp; "'!" &amp; J8 &amp; $M8 &amp; IF(ISBLANK($N8),"",":" &amp; J8 &amp; $N8)))</f>
        <v>8.8988858181818209</v>
      </c>
      <c r="F8" s="171">
        <f t="shared" ca="1" si="0"/>
        <v>0</v>
      </c>
      <c r="G8" s="171">
        <f t="shared" ca="1" si="1"/>
        <v>0</v>
      </c>
      <c r="I8" s="221" t="str">
        <f>+I7</f>
        <v>IronSteel</v>
      </c>
      <c r="J8" s="222" t="str">
        <f>+J7</f>
        <v>AQ</v>
      </c>
      <c r="K8" s="222" t="str">
        <f>+K7</f>
        <v>AR</v>
      </c>
      <c r="L8" s="222" t="str">
        <f>+L7</f>
        <v>AS</v>
      </c>
      <c r="M8" s="220">
        <v>38</v>
      </c>
      <c r="N8" s="220">
        <v>46</v>
      </c>
      <c r="P8" s="225"/>
    </row>
    <row r="9" spans="2:16" ht="12.75" customHeight="1">
      <c r="B9" s="164" t="str">
        <f>+Commodities!D8</f>
        <v>ISDSH</v>
      </c>
      <c r="C9" s="164" t="str">
        <f>+Commodities!E8</f>
        <v>Iron &amp; Steel  Demand Spatial Heat</v>
      </c>
      <c r="D9" s="166" t="str">
        <f>+Commodities!F8</f>
        <v>PJ</v>
      </c>
      <c r="E9" s="171">
        <f t="shared" ca="1" si="2"/>
        <v>4.4828061698301704</v>
      </c>
      <c r="F9" s="171">
        <f t="shared" ca="1" si="0"/>
        <v>0</v>
      </c>
      <c r="G9" s="171">
        <f t="shared" ca="1" si="1"/>
        <v>0</v>
      </c>
      <c r="I9" s="221" t="str">
        <f t="shared" ref="I9:I13" si="3">+I8</f>
        <v>IronSteel</v>
      </c>
      <c r="J9" s="222" t="str">
        <f>+J8</f>
        <v>AQ</v>
      </c>
      <c r="K9" s="222" t="str">
        <f>+K8</f>
        <v>AR</v>
      </c>
      <c r="L9" s="222" t="str">
        <f>+L8</f>
        <v>AS</v>
      </c>
      <c r="M9" s="220">
        <v>47</v>
      </c>
      <c r="N9" s="219">
        <v>58</v>
      </c>
    </row>
    <row r="10" spans="2:16" ht="12.75" customHeight="1">
      <c r="B10" s="164" t="str">
        <f>+Commodities!D9</f>
        <v>ISDLA</v>
      </c>
      <c r="C10" s="164" t="str">
        <f>+Commodities!E9</f>
        <v>Iron &amp; Steel  Demand Light</v>
      </c>
      <c r="D10" s="166" t="str">
        <f>+Commodities!F9</f>
        <v>PJ</v>
      </c>
      <c r="E10" s="171">
        <f ca="1">+SUM(INDIRECT("'" &amp; $I10 &amp; "'!" &amp; J10 &amp; $M10 &amp; IF(ISBLANK($N10),"",":" &amp; J10 &amp; $N10)))</f>
        <v>21.457664631368633</v>
      </c>
      <c r="F10" s="171">
        <f ca="1">+SUM(INDIRECT("'" &amp; $I10 &amp; "'!" &amp; K10 &amp; $M10 &amp; IF(ISBLANK($N10),"",":" &amp; K10 &amp; $N10)))</f>
        <v>0</v>
      </c>
      <c r="G10" s="171">
        <f t="shared" ca="1" si="1"/>
        <v>0</v>
      </c>
      <c r="I10" s="221" t="str">
        <f t="shared" si="3"/>
        <v>IronSteel</v>
      </c>
      <c r="J10" s="222" t="str">
        <f t="shared" ref="J10:K13" si="4">+J9</f>
        <v>AQ</v>
      </c>
      <c r="K10" s="222" t="str">
        <f>+K9</f>
        <v>AR</v>
      </c>
      <c r="L10" s="222" t="str">
        <f>+L9</f>
        <v>AS</v>
      </c>
      <c r="M10" s="220">
        <v>59</v>
      </c>
      <c r="N10" s="219"/>
    </row>
    <row r="11" spans="2:16" ht="12.75" customHeight="1">
      <c r="B11" s="164" t="str">
        <f>+Commodities!D10</f>
        <v>ISDEM</v>
      </c>
      <c r="C11" s="164" t="str">
        <f>+Commodities!E10</f>
        <v>Iron &amp; Steel  Demand Electric Motors</v>
      </c>
      <c r="D11" s="166" t="str">
        <f>+Commodities!F10</f>
        <v>PJ</v>
      </c>
      <c r="E11" s="171">
        <f t="shared" ca="1" si="2"/>
        <v>47.792067644355654</v>
      </c>
      <c r="F11" s="171">
        <f t="shared" ca="1" si="0"/>
        <v>0</v>
      </c>
      <c r="G11" s="171">
        <f t="shared" ca="1" si="1"/>
        <v>0</v>
      </c>
      <c r="I11" s="221" t="str">
        <f t="shared" si="3"/>
        <v>IronSteel</v>
      </c>
      <c r="J11" s="222" t="str">
        <f t="shared" si="4"/>
        <v>AQ</v>
      </c>
      <c r="K11" s="222" t="str">
        <f t="shared" si="4"/>
        <v>AR</v>
      </c>
      <c r="L11" s="222" t="str">
        <f t="shared" ref="L11" si="5">+L10</f>
        <v>AS</v>
      </c>
      <c r="M11" s="220">
        <v>60</v>
      </c>
      <c r="N11" s="219"/>
    </row>
    <row r="12" spans="2:16" ht="12.75" customHeight="1">
      <c r="B12" s="164" t="str">
        <f>+Commodities!D11</f>
        <v>ISDTF</v>
      </c>
      <c r="C12" s="164" t="str">
        <f>+Commodities!E11</f>
        <v>Iron &amp; Steel  Demand Haulage Tractors, Trucks, Fishing boats, Forest machines</v>
      </c>
      <c r="D12" s="166" t="str">
        <f>+Commodities!F11</f>
        <v>PJ</v>
      </c>
      <c r="E12" s="171">
        <f t="shared" ca="1" si="2"/>
        <v>0.96514021978021991</v>
      </c>
      <c r="F12" s="171">
        <f t="shared" ca="1" si="0"/>
        <v>0</v>
      </c>
      <c r="G12" s="171">
        <f t="shared" ca="1" si="1"/>
        <v>0</v>
      </c>
      <c r="I12" s="221" t="str">
        <f t="shared" si="3"/>
        <v>IronSteel</v>
      </c>
      <c r="J12" s="222" t="str">
        <f t="shared" si="4"/>
        <v>AQ</v>
      </c>
      <c r="K12" s="222" t="str">
        <f t="shared" si="4"/>
        <v>AR</v>
      </c>
      <c r="L12" s="222" t="str">
        <f t="shared" ref="L12" si="6">+L11</f>
        <v>AS</v>
      </c>
      <c r="M12" s="220">
        <v>61</v>
      </c>
      <c r="N12" s="219"/>
    </row>
    <row r="13" spans="2:16" ht="12.75" customHeight="1">
      <c r="B13" s="164" t="str">
        <f>+Commodities!D12</f>
        <v>ISDFL</v>
      </c>
      <c r="C13" s="164" t="str">
        <f>+Commodities!E12</f>
        <v>Iron &amp; Steel  Demand Haulage Forklifts</v>
      </c>
      <c r="D13" s="166" t="str">
        <f>+Commodities!F12</f>
        <v>PJ</v>
      </c>
      <c r="E13" s="171">
        <f t="shared" ca="1" si="2"/>
        <v>0.91112576223776243</v>
      </c>
      <c r="F13" s="171">
        <f t="shared" ca="1" si="0"/>
        <v>0</v>
      </c>
      <c r="G13" s="171">
        <f t="shared" ca="1" si="1"/>
        <v>0</v>
      </c>
      <c r="I13" s="221" t="str">
        <f t="shared" si="3"/>
        <v>IronSteel</v>
      </c>
      <c r="J13" s="222" t="str">
        <f t="shared" si="4"/>
        <v>AQ</v>
      </c>
      <c r="K13" s="222" t="str">
        <f t="shared" si="4"/>
        <v>AR</v>
      </c>
      <c r="L13" s="222" t="str">
        <f t="shared" ref="L13" si="7">+L12</f>
        <v>AS</v>
      </c>
      <c r="M13" s="220">
        <v>62</v>
      </c>
      <c r="N13" s="219"/>
      <c r="P13" s="226"/>
    </row>
    <row r="14" spans="2:16" ht="12.75" customHeight="1">
      <c r="B14" s="251" t="str">
        <f>+Commodities!D13</f>
        <v>ICDPH</v>
      </c>
      <c r="C14" s="251" t="str">
        <f>+Commodities!E13</f>
        <v>Chemical industry Demand Process heat</v>
      </c>
      <c r="D14" s="252" t="str">
        <f>+Commodities!F13</f>
        <v>PJ</v>
      </c>
      <c r="E14" s="253">
        <f t="shared" ca="1" si="2"/>
        <v>272.80840011428575</v>
      </c>
      <c r="F14" s="253">
        <f t="shared" ca="1" si="0"/>
        <v>0</v>
      </c>
      <c r="G14" s="253">
        <f t="shared" ca="1" si="1"/>
        <v>0</v>
      </c>
      <c r="I14" s="382" t="str">
        <f>Commodities!AE7</f>
        <v>Chemical</v>
      </c>
      <c r="J14" s="222" t="str">
        <f>+J7</f>
        <v>AQ</v>
      </c>
      <c r="K14" s="222" t="str">
        <f t="shared" ref="J14:N16" si="8">+K7</f>
        <v>AR</v>
      </c>
      <c r="L14" s="222" t="str">
        <f t="shared" ref="L14" si="9">+L7</f>
        <v>AS</v>
      </c>
      <c r="M14" s="223">
        <f t="shared" si="8"/>
        <v>26</v>
      </c>
      <c r="N14" s="224">
        <f t="shared" si="8"/>
        <v>37</v>
      </c>
      <c r="P14" s="226">
        <f ca="1">+SUM(INDIRECT("'" &amp; I14 &amp; "'!" &amp; "AQ26:AR62")) - SUM(E14:F20)</f>
        <v>0</v>
      </c>
    </row>
    <row r="15" spans="2:16" ht="12.75" customHeight="1">
      <c r="B15" s="164" t="str">
        <f>+Commodities!D14</f>
        <v>ICDCO</v>
      </c>
      <c r="C15" s="164" t="str">
        <f>+Commodities!E14</f>
        <v>Chemical industry Demand Cooling</v>
      </c>
      <c r="D15" s="166" t="str">
        <f>+Commodities!F14</f>
        <v>PJ</v>
      </c>
      <c r="E15" s="171">
        <f ca="1">+SUM(INDIRECT("'" &amp; $I15 &amp; "'!" &amp; J15 &amp; $M15 &amp; IF(ISBLANK($N15),"",":" &amp; J15 &amp; $N15)))</f>
        <v>18.909496182857144</v>
      </c>
      <c r="F15" s="171">
        <f t="shared" ca="1" si="0"/>
        <v>0</v>
      </c>
      <c r="G15" s="171">
        <f t="shared" ca="1" si="1"/>
        <v>0</v>
      </c>
      <c r="I15" s="221" t="str">
        <f>+I14</f>
        <v>Chemical</v>
      </c>
      <c r="J15" s="222" t="str">
        <f t="shared" si="8"/>
        <v>AQ</v>
      </c>
      <c r="K15" s="222" t="str">
        <f t="shared" si="8"/>
        <v>AR</v>
      </c>
      <c r="L15" s="222" t="str">
        <f t="shared" ref="L15" si="10">+L8</f>
        <v>AS</v>
      </c>
      <c r="M15" s="223">
        <f t="shared" si="8"/>
        <v>38</v>
      </c>
      <c r="N15" s="224">
        <f t="shared" si="8"/>
        <v>46</v>
      </c>
    </row>
    <row r="16" spans="2:16" ht="12.75" customHeight="1">
      <c r="B16" s="164" t="str">
        <f>+Commodities!D15</f>
        <v>ICDSH</v>
      </c>
      <c r="C16" s="164" t="str">
        <f>+Commodities!E15</f>
        <v>Chemical industry Demand Spatial Heat</v>
      </c>
      <c r="D16" s="166" t="str">
        <f>+Commodities!F15</f>
        <v>PJ</v>
      </c>
      <c r="E16" s="171">
        <f t="shared" ca="1" si="2"/>
        <v>96.658545805714283</v>
      </c>
      <c r="F16" s="171">
        <f t="shared" ca="1" si="0"/>
        <v>0</v>
      </c>
      <c r="G16" s="171">
        <f t="shared" ca="1" si="1"/>
        <v>0</v>
      </c>
      <c r="I16" s="221" t="str">
        <f t="shared" ref="I16:I20" si="11">+I15</f>
        <v>Chemical</v>
      </c>
      <c r="J16" s="222" t="str">
        <f t="shared" si="8"/>
        <v>AQ</v>
      </c>
      <c r="K16" s="222" t="str">
        <f t="shared" si="8"/>
        <v>AR</v>
      </c>
      <c r="L16" s="222" t="str">
        <f t="shared" ref="L16" si="12">+L9</f>
        <v>AS</v>
      </c>
      <c r="M16" s="223">
        <f t="shared" si="8"/>
        <v>47</v>
      </c>
      <c r="N16" s="224">
        <f t="shared" si="8"/>
        <v>58</v>
      </c>
    </row>
    <row r="17" spans="2:16" ht="12.75" customHeight="1">
      <c r="B17" s="164" t="str">
        <f>+Commodities!D16</f>
        <v>ICDLA</v>
      </c>
      <c r="C17" s="164" t="str">
        <f>+Commodities!E16</f>
        <v>Chemical industry Demand Light</v>
      </c>
      <c r="D17" s="166" t="str">
        <f>+Commodities!F16</f>
        <v>PJ</v>
      </c>
      <c r="E17" s="171">
        <f t="shared" ca="1" si="2"/>
        <v>13.18892585142857</v>
      </c>
      <c r="F17" s="171">
        <f t="shared" ca="1" si="0"/>
        <v>0</v>
      </c>
      <c r="G17" s="171">
        <f t="shared" ca="1" si="1"/>
        <v>0</v>
      </c>
      <c r="I17" s="221" t="str">
        <f t="shared" si="11"/>
        <v>Chemical</v>
      </c>
      <c r="J17" s="222" t="str">
        <f t="shared" ref="J17:M36" si="13">+J10</f>
        <v>AQ</v>
      </c>
      <c r="K17" s="222" t="str">
        <f t="shared" si="13"/>
        <v>AR</v>
      </c>
      <c r="L17" s="222" t="str">
        <f t="shared" ref="L17" si="14">+L10</f>
        <v>AS</v>
      </c>
      <c r="M17" s="223">
        <f t="shared" si="13"/>
        <v>59</v>
      </c>
      <c r="N17" s="224"/>
    </row>
    <row r="18" spans="2:16" ht="12.75" customHeight="1">
      <c r="B18" s="164" t="str">
        <f>+Commodities!D17</f>
        <v>ICDEM</v>
      </c>
      <c r="C18" s="164" t="str">
        <f>+Commodities!E17</f>
        <v>Chemical industry Demand Electric Motors</v>
      </c>
      <c r="D18" s="166" t="str">
        <f>+Commodities!F17</f>
        <v>PJ</v>
      </c>
      <c r="E18" s="171">
        <f t="shared" ca="1" si="2"/>
        <v>152.61470269714286</v>
      </c>
      <c r="F18" s="171">
        <f t="shared" ca="1" si="0"/>
        <v>0</v>
      </c>
      <c r="G18" s="171">
        <f t="shared" ca="1" si="1"/>
        <v>0</v>
      </c>
      <c r="I18" s="221" t="str">
        <f t="shared" si="11"/>
        <v>Chemical</v>
      </c>
      <c r="J18" s="222" t="str">
        <f t="shared" si="13"/>
        <v>AQ</v>
      </c>
      <c r="K18" s="222" t="str">
        <f t="shared" si="13"/>
        <v>AR</v>
      </c>
      <c r="L18" s="222" t="str">
        <f t="shared" ref="L18" si="15">+L11</f>
        <v>AS</v>
      </c>
      <c r="M18" s="223">
        <f t="shared" si="13"/>
        <v>60</v>
      </c>
      <c r="N18" s="224"/>
      <c r="P18" s="226"/>
    </row>
    <row r="19" spans="2:16" ht="12.75" customHeight="1">
      <c r="B19" s="164" t="str">
        <f>+Commodities!D18</f>
        <v>ICDTF</v>
      </c>
      <c r="C19" s="164" t="str">
        <f>+Commodities!E18</f>
        <v>Chemical industry Demand Haulage Tractors, Trucks, Fishing boats, Forest machines</v>
      </c>
      <c r="D19" s="166" t="str">
        <f>+Commodities!F18</f>
        <v>PJ</v>
      </c>
      <c r="E19" s="171">
        <f t="shared" ca="1" si="2"/>
        <v>2.9168697600000004</v>
      </c>
      <c r="F19" s="171">
        <f t="shared" ca="1" si="0"/>
        <v>0</v>
      </c>
      <c r="G19" s="171">
        <f t="shared" ca="1" si="1"/>
        <v>0</v>
      </c>
      <c r="I19" s="221" t="str">
        <f t="shared" si="11"/>
        <v>Chemical</v>
      </c>
      <c r="J19" s="222" t="str">
        <f t="shared" si="13"/>
        <v>AQ</v>
      </c>
      <c r="K19" s="222" t="str">
        <f t="shared" si="13"/>
        <v>AR</v>
      </c>
      <c r="L19" s="222" t="str">
        <f t="shared" ref="L19" si="16">+L12</f>
        <v>AS</v>
      </c>
      <c r="M19" s="223">
        <f t="shared" si="13"/>
        <v>61</v>
      </c>
      <c r="N19" s="224"/>
    </row>
    <row r="20" spans="2:16" ht="12.75" customHeight="1">
      <c r="B20" s="164" t="str">
        <f>+Commodities!D19</f>
        <v>ICDFL</v>
      </c>
      <c r="C20" s="164" t="str">
        <f>+Commodities!E19</f>
        <v>Chemical industry Demand Haulage Forklifts</v>
      </c>
      <c r="D20" s="166" t="str">
        <f>+Commodities!F19</f>
        <v>PJ</v>
      </c>
      <c r="E20" s="171">
        <f t="shared" ca="1" si="2"/>
        <v>0</v>
      </c>
      <c r="F20" s="171">
        <f t="shared" ca="1" si="0"/>
        <v>0</v>
      </c>
      <c r="G20" s="171">
        <f t="shared" ca="1" si="1"/>
        <v>0</v>
      </c>
      <c r="I20" s="221" t="str">
        <f t="shared" si="11"/>
        <v>Chemical</v>
      </c>
      <c r="J20" s="222" t="str">
        <f t="shared" si="13"/>
        <v>AQ</v>
      </c>
      <c r="K20" s="222" t="str">
        <f t="shared" si="13"/>
        <v>AR</v>
      </c>
      <c r="L20" s="222" t="str">
        <f t="shared" ref="L20" si="17">+L13</f>
        <v>AS</v>
      </c>
      <c r="M20" s="223">
        <f t="shared" si="13"/>
        <v>62</v>
      </c>
      <c r="N20" s="224"/>
    </row>
    <row r="21" spans="2:16" ht="12.75" customHeight="1">
      <c r="B21" s="251" t="str">
        <f>+Commodities!D20</f>
        <v>IADPH</v>
      </c>
      <c r="C21" s="251" t="str">
        <f>+Commodities!E20</f>
        <v>Aluminium industry Demand Process heat</v>
      </c>
      <c r="D21" s="252" t="str">
        <f>+Commodities!F20</f>
        <v>PJ</v>
      </c>
      <c r="E21" s="253">
        <f t="shared" ca="1" si="2"/>
        <v>61.166781386613394</v>
      </c>
      <c r="F21" s="253">
        <f t="shared" ca="1" si="0"/>
        <v>0</v>
      </c>
      <c r="G21" s="253">
        <f t="shared" ca="1" si="1"/>
        <v>0</v>
      </c>
      <c r="I21" s="382" t="str">
        <f>Commodities!AE8</f>
        <v>Aluminium</v>
      </c>
      <c r="J21" s="222" t="str">
        <f t="shared" si="13"/>
        <v>AQ</v>
      </c>
      <c r="K21" s="222" t="str">
        <f t="shared" si="13"/>
        <v>AR</v>
      </c>
      <c r="L21" s="222" t="str">
        <f t="shared" ref="L21" si="18">+L14</f>
        <v>AS</v>
      </c>
      <c r="M21" s="223">
        <f t="shared" si="13"/>
        <v>26</v>
      </c>
      <c r="N21" s="224">
        <f>+N14</f>
        <v>37</v>
      </c>
      <c r="P21" s="226">
        <f ca="1">+SUM(INDIRECT("'" &amp; I21 &amp; "'!" &amp; "AQ26:AR62")) - SUM(E21:F27)</f>
        <v>0</v>
      </c>
    </row>
    <row r="22" spans="2:16" ht="12.75" customHeight="1">
      <c r="B22" s="164" t="str">
        <f>+Commodities!D21</f>
        <v>IADCO</v>
      </c>
      <c r="C22" s="164" t="str">
        <f>+Commodities!E21</f>
        <v>Aluminium industry Demand Cooling</v>
      </c>
      <c r="D22" s="166" t="str">
        <f>+Commodities!F21</f>
        <v>PJ</v>
      </c>
      <c r="E22" s="171">
        <f t="shared" ca="1" si="2"/>
        <v>0</v>
      </c>
      <c r="F22" s="171">
        <f t="shared" ca="1" si="0"/>
        <v>0</v>
      </c>
      <c r="G22" s="171">
        <f t="shared" ca="1" si="1"/>
        <v>0</v>
      </c>
      <c r="I22" s="221" t="str">
        <f>+I21</f>
        <v>Aluminium</v>
      </c>
      <c r="J22" s="222" t="str">
        <f t="shared" si="13"/>
        <v>AQ</v>
      </c>
      <c r="K22" s="222" t="str">
        <f t="shared" si="13"/>
        <v>AR</v>
      </c>
      <c r="L22" s="222" t="str">
        <f t="shared" ref="L22" si="19">+L15</f>
        <v>AS</v>
      </c>
      <c r="M22" s="223">
        <f t="shared" si="13"/>
        <v>38</v>
      </c>
      <c r="N22" s="224">
        <f>+N15</f>
        <v>46</v>
      </c>
      <c r="P22" s="225"/>
    </row>
    <row r="23" spans="2:16" ht="12.75" customHeight="1">
      <c r="B23" s="164" t="str">
        <f>+Commodities!D22</f>
        <v>IADSH</v>
      </c>
      <c r="C23" s="164" t="str">
        <f>+Commodities!E22</f>
        <v>Aluminium industry Demand Spatial Heat</v>
      </c>
      <c r="D23" s="166" t="str">
        <f>+Commodities!F22</f>
        <v>PJ</v>
      </c>
      <c r="E23" s="171">
        <f t="shared" ca="1" si="2"/>
        <v>3.1681708291708297</v>
      </c>
      <c r="F23" s="171">
        <f t="shared" ca="1" si="0"/>
        <v>0</v>
      </c>
      <c r="G23" s="171">
        <f t="shared" ca="1" si="1"/>
        <v>0</v>
      </c>
      <c r="I23" s="221" t="str">
        <f t="shared" ref="I23:I27" si="20">+I22</f>
        <v>Aluminium</v>
      </c>
      <c r="J23" s="222" t="str">
        <f t="shared" si="13"/>
        <v>AQ</v>
      </c>
      <c r="K23" s="222" t="str">
        <f t="shared" si="13"/>
        <v>AR</v>
      </c>
      <c r="L23" s="222" t="str">
        <f t="shared" ref="L23" si="21">+L16</f>
        <v>AS</v>
      </c>
      <c r="M23" s="223">
        <f t="shared" si="13"/>
        <v>47</v>
      </c>
      <c r="N23" s="224">
        <f>+N16</f>
        <v>58</v>
      </c>
    </row>
    <row r="24" spans="2:16" ht="12.75" customHeight="1">
      <c r="B24" s="164" t="str">
        <f>+Commodities!D23</f>
        <v>IADLA</v>
      </c>
      <c r="C24" s="164" t="str">
        <f>+Commodities!E23</f>
        <v>Aluminium industry Demand Light</v>
      </c>
      <c r="D24" s="166" t="str">
        <f>+Commodities!F23</f>
        <v>PJ</v>
      </c>
      <c r="E24" s="171">
        <f t="shared" ca="1" si="2"/>
        <v>3.1929333626373633</v>
      </c>
      <c r="F24" s="171">
        <f t="shared" ca="1" si="0"/>
        <v>0</v>
      </c>
      <c r="G24" s="171">
        <f t="shared" ca="1" si="1"/>
        <v>0</v>
      </c>
      <c r="I24" s="221" t="str">
        <f t="shared" si="20"/>
        <v>Aluminium</v>
      </c>
      <c r="J24" s="222" t="str">
        <f t="shared" si="13"/>
        <v>AQ</v>
      </c>
      <c r="K24" s="222" t="str">
        <f t="shared" si="13"/>
        <v>AR</v>
      </c>
      <c r="L24" s="222" t="str">
        <f t="shared" ref="L24" si="22">+L17</f>
        <v>AS</v>
      </c>
      <c r="M24" s="223">
        <f t="shared" si="13"/>
        <v>59</v>
      </c>
      <c r="N24" s="224"/>
    </row>
    <row r="25" spans="2:16" ht="12.75" customHeight="1">
      <c r="B25" s="164" t="str">
        <f>+Commodities!D24</f>
        <v>IADEM</v>
      </c>
      <c r="C25" s="164" t="str">
        <f>+Commodities!E24</f>
        <v>Aluminium industry Demand Electric Motors</v>
      </c>
      <c r="D25" s="166" t="str">
        <f>+Commodities!F24</f>
        <v>PJ</v>
      </c>
      <c r="E25" s="171">
        <f t="shared" ca="1" si="2"/>
        <v>15.719042013986016</v>
      </c>
      <c r="F25" s="171">
        <f t="shared" ca="1" si="0"/>
        <v>0</v>
      </c>
      <c r="G25" s="171">
        <f t="shared" ca="1" si="1"/>
        <v>0</v>
      </c>
      <c r="I25" s="221" t="str">
        <f t="shared" si="20"/>
        <v>Aluminium</v>
      </c>
      <c r="J25" s="222" t="str">
        <f t="shared" si="13"/>
        <v>AQ</v>
      </c>
      <c r="K25" s="222" t="str">
        <f t="shared" si="13"/>
        <v>AR</v>
      </c>
      <c r="L25" s="222" t="str">
        <f t="shared" ref="L25" si="23">+L18</f>
        <v>AS</v>
      </c>
      <c r="M25" s="223">
        <f t="shared" si="13"/>
        <v>60</v>
      </c>
      <c r="N25" s="224"/>
    </row>
    <row r="26" spans="2:16" ht="12.75" customHeight="1">
      <c r="B26" s="164" t="str">
        <f>+Commodities!D25</f>
        <v>IADTF</v>
      </c>
      <c r="C26" s="164" t="str">
        <f>+Commodities!E25</f>
        <v>Aluminium industry Demand Haulage Tractors, Trucks, Fishing boats, Forest machines</v>
      </c>
      <c r="D26" s="166" t="str">
        <f>+Commodities!F25</f>
        <v>PJ</v>
      </c>
      <c r="E26" s="171">
        <f t="shared" ca="1" si="2"/>
        <v>1.3726508691308694</v>
      </c>
      <c r="F26" s="171">
        <f t="shared" ca="1" si="0"/>
        <v>0</v>
      </c>
      <c r="G26" s="171">
        <f t="shared" ca="1" si="1"/>
        <v>0</v>
      </c>
      <c r="I26" s="221" t="str">
        <f t="shared" si="20"/>
        <v>Aluminium</v>
      </c>
      <c r="J26" s="222" t="str">
        <f t="shared" si="13"/>
        <v>AQ</v>
      </c>
      <c r="K26" s="222" t="str">
        <f t="shared" si="13"/>
        <v>AR</v>
      </c>
      <c r="L26" s="222" t="str">
        <f t="shared" ref="L26" si="24">+L19</f>
        <v>AS</v>
      </c>
      <c r="M26" s="223">
        <f t="shared" si="13"/>
        <v>61</v>
      </c>
      <c r="N26" s="224"/>
    </row>
    <row r="27" spans="2:16" ht="12.75" customHeight="1">
      <c r="B27" s="164" t="str">
        <f>+Commodities!D26</f>
        <v>IADFL</v>
      </c>
      <c r="C27" s="164" t="str">
        <f>+Commodities!E26</f>
        <v>Aluminium industry Demand Haulage Forklifts</v>
      </c>
      <c r="D27" s="166" t="str">
        <f>+Commodities!F26</f>
        <v>PJ</v>
      </c>
      <c r="E27" s="171">
        <f t="shared" ca="1" si="2"/>
        <v>0.18412802397602401</v>
      </c>
      <c r="F27" s="171">
        <f t="shared" ca="1" si="0"/>
        <v>0</v>
      </c>
      <c r="G27" s="171">
        <f t="shared" ca="1" si="1"/>
        <v>0</v>
      </c>
      <c r="I27" s="221" t="str">
        <f t="shared" si="20"/>
        <v>Aluminium</v>
      </c>
      <c r="J27" s="222" t="str">
        <f t="shared" si="13"/>
        <v>AQ</v>
      </c>
      <c r="K27" s="222" t="str">
        <f t="shared" si="13"/>
        <v>AR</v>
      </c>
      <c r="L27" s="222" t="str">
        <f t="shared" ref="L27" si="25">+L20</f>
        <v>AS</v>
      </c>
      <c r="M27" s="223">
        <f t="shared" si="13"/>
        <v>62</v>
      </c>
      <c r="N27" s="224"/>
      <c r="P27" s="226"/>
    </row>
    <row r="28" spans="2:16" ht="12.75" customHeight="1">
      <c r="B28" s="251" t="str">
        <f>+Commodities!D27</f>
        <v>IGDPH</v>
      </c>
      <c r="C28" s="251" t="str">
        <f>+Commodities!E27</f>
        <v>Glass &amp; Concrete industry Demand Process heat</v>
      </c>
      <c r="D28" s="252" t="str">
        <f>+Commodities!F27</f>
        <v>PJ</v>
      </c>
      <c r="E28" s="253">
        <f t="shared" ca="1" si="2"/>
        <v>187.09640904695308</v>
      </c>
      <c r="F28" s="253">
        <f t="shared" ca="1" si="0"/>
        <v>0</v>
      </c>
      <c r="G28" s="253">
        <f t="shared" ca="1" si="1"/>
        <v>9.8472183896103935</v>
      </c>
      <c r="I28" s="382" t="str">
        <f>Commodities!AE9</f>
        <v>GlassConcrete</v>
      </c>
      <c r="J28" s="222" t="str">
        <f t="shared" si="13"/>
        <v>AQ</v>
      </c>
      <c r="K28" s="222" t="str">
        <f t="shared" si="13"/>
        <v>AR</v>
      </c>
      <c r="L28" s="222" t="str">
        <f t="shared" ref="L28" si="26">+L21</f>
        <v>AS</v>
      </c>
      <c r="M28" s="223">
        <f t="shared" si="13"/>
        <v>26</v>
      </c>
      <c r="N28" s="224">
        <f>+N21</f>
        <v>37</v>
      </c>
      <c r="P28" s="226">
        <f ca="1">+SUM(INDIRECT("'" &amp; I28 &amp; "'!" &amp; "AQ26:AR62")) - SUM(E28:F34)</f>
        <v>0</v>
      </c>
    </row>
    <row r="29" spans="2:16" ht="12.75" customHeight="1">
      <c r="B29" s="164" t="str">
        <f>+Commodities!D28</f>
        <v>IGDCO</v>
      </c>
      <c r="C29" s="164" t="str">
        <f>+Commodities!E28</f>
        <v>Glass &amp; Concrete industry Demand Cooling</v>
      </c>
      <c r="D29" s="166" t="str">
        <f>+Commodities!F28</f>
        <v>PJ</v>
      </c>
      <c r="E29" s="171">
        <f t="shared" ca="1" si="2"/>
        <v>0</v>
      </c>
      <c r="F29" s="171">
        <f t="shared" ca="1" si="0"/>
        <v>0</v>
      </c>
      <c r="G29" s="171">
        <f t="shared" ca="1" si="1"/>
        <v>0</v>
      </c>
      <c r="I29" s="221" t="str">
        <f>+I28</f>
        <v>GlassConcrete</v>
      </c>
      <c r="J29" s="222" t="str">
        <f t="shared" si="13"/>
        <v>AQ</v>
      </c>
      <c r="K29" s="222" t="str">
        <f t="shared" si="13"/>
        <v>AR</v>
      </c>
      <c r="L29" s="222" t="str">
        <f t="shared" ref="L29" si="27">+L22</f>
        <v>AS</v>
      </c>
      <c r="M29" s="223">
        <f t="shared" si="13"/>
        <v>38</v>
      </c>
      <c r="N29" s="224">
        <f>+N22</f>
        <v>46</v>
      </c>
    </row>
    <row r="30" spans="2:16" ht="12.75" customHeight="1">
      <c r="B30" s="164" t="str">
        <f>+Commodities!D29</f>
        <v>IGDSH</v>
      </c>
      <c r="C30" s="164" t="str">
        <f>+Commodities!E29</f>
        <v>Glass &amp; Concrete industry Demand Spatial Heat</v>
      </c>
      <c r="D30" s="166" t="str">
        <f>+Commodities!F29</f>
        <v>PJ</v>
      </c>
      <c r="E30" s="171">
        <f t="shared" ca="1" si="2"/>
        <v>0.71764090309690309</v>
      </c>
      <c r="F30" s="171">
        <f t="shared" ca="1" si="0"/>
        <v>0</v>
      </c>
      <c r="G30" s="171">
        <f t="shared" ca="1" si="1"/>
        <v>7.0570069930069937E-3</v>
      </c>
      <c r="I30" s="221" t="str">
        <f t="shared" ref="I30:I34" si="28">+I29</f>
        <v>GlassConcrete</v>
      </c>
      <c r="J30" s="222" t="str">
        <f t="shared" si="13"/>
        <v>AQ</v>
      </c>
      <c r="K30" s="222" t="str">
        <f t="shared" si="13"/>
        <v>AR</v>
      </c>
      <c r="L30" s="222" t="str">
        <f t="shared" ref="L30" si="29">+L23</f>
        <v>AS</v>
      </c>
      <c r="M30" s="223">
        <f t="shared" si="13"/>
        <v>47</v>
      </c>
      <c r="N30" s="224">
        <f>+N23</f>
        <v>58</v>
      </c>
    </row>
    <row r="31" spans="2:16" ht="12.75" customHeight="1">
      <c r="B31" s="164" t="str">
        <f>+Commodities!D30</f>
        <v>IGDLA</v>
      </c>
      <c r="C31" s="164" t="str">
        <f>+Commodities!E30</f>
        <v>Glass &amp; Concrete industry Demand Light</v>
      </c>
      <c r="D31" s="166" t="str">
        <f>+Commodities!F30</f>
        <v>PJ</v>
      </c>
      <c r="E31" s="171">
        <f t="shared" ca="1" si="2"/>
        <v>4.1840332867132872</v>
      </c>
      <c r="F31" s="171">
        <f t="shared" ca="1" si="0"/>
        <v>0</v>
      </c>
      <c r="G31" s="171">
        <f t="shared" ca="1" si="1"/>
        <v>0.2202164235764236</v>
      </c>
      <c r="I31" s="221" t="str">
        <f t="shared" si="28"/>
        <v>GlassConcrete</v>
      </c>
      <c r="J31" s="222" t="str">
        <f t="shared" si="13"/>
        <v>AQ</v>
      </c>
      <c r="K31" s="222" t="str">
        <f t="shared" si="13"/>
        <v>AR</v>
      </c>
      <c r="L31" s="222" t="str">
        <f t="shared" ref="L31" si="30">+L24</f>
        <v>AS</v>
      </c>
      <c r="M31" s="223">
        <f t="shared" si="13"/>
        <v>59</v>
      </c>
      <c r="N31" s="224"/>
    </row>
    <row r="32" spans="2:16" ht="12.75" customHeight="1">
      <c r="B32" s="164" t="str">
        <f>+Commodities!D31</f>
        <v>IGDEM</v>
      </c>
      <c r="C32" s="164" t="str">
        <f>+Commodities!E31</f>
        <v>Glass &amp; Concrete industry Demand Electric Motors</v>
      </c>
      <c r="D32" s="166" t="str">
        <f>+Commodities!F31</f>
        <v>PJ</v>
      </c>
      <c r="E32" s="171">
        <f t="shared" ca="1" si="2"/>
        <v>37.656252323676334</v>
      </c>
      <c r="F32" s="171">
        <f t="shared" ca="1" si="0"/>
        <v>0</v>
      </c>
      <c r="G32" s="171">
        <f t="shared" ca="1" si="1"/>
        <v>1.9819163076923079</v>
      </c>
      <c r="I32" s="221" t="str">
        <f t="shared" si="28"/>
        <v>GlassConcrete</v>
      </c>
      <c r="J32" s="222" t="str">
        <f t="shared" si="13"/>
        <v>AQ</v>
      </c>
      <c r="K32" s="222" t="str">
        <f t="shared" si="13"/>
        <v>AR</v>
      </c>
      <c r="L32" s="222" t="str">
        <f t="shared" ref="L32" si="31">+L25</f>
        <v>AS</v>
      </c>
      <c r="M32" s="223">
        <f t="shared" si="13"/>
        <v>60</v>
      </c>
      <c r="N32" s="224"/>
    </row>
    <row r="33" spans="2:16" ht="12.75" customHeight="1">
      <c r="B33" s="164" t="str">
        <f>+Commodities!D32</f>
        <v>IGDTF</v>
      </c>
      <c r="C33" s="164" t="str">
        <f>+Commodities!E32</f>
        <v>Glass &amp; Concrete industry Demand Haulage Tractors, Trucks, Fishing boats, Forest machines</v>
      </c>
      <c r="D33" s="166" t="str">
        <f>+Commodities!F32</f>
        <v>PJ</v>
      </c>
      <c r="E33" s="171">
        <f t="shared" ca="1" si="2"/>
        <v>11.776837234765237</v>
      </c>
      <c r="F33" s="171">
        <f t="shared" ca="1" si="0"/>
        <v>0</v>
      </c>
      <c r="G33" s="171">
        <f t="shared" ca="1" si="1"/>
        <v>0.61983519680319688</v>
      </c>
      <c r="I33" s="221" t="str">
        <f t="shared" si="28"/>
        <v>GlassConcrete</v>
      </c>
      <c r="J33" s="222" t="str">
        <f t="shared" si="13"/>
        <v>AQ</v>
      </c>
      <c r="K33" s="222" t="str">
        <f t="shared" si="13"/>
        <v>AR</v>
      </c>
      <c r="L33" s="222" t="str">
        <f t="shared" ref="L33" si="32">+L26</f>
        <v>AS</v>
      </c>
      <c r="M33" s="223">
        <f t="shared" si="13"/>
        <v>61</v>
      </c>
      <c r="N33" s="224"/>
    </row>
    <row r="34" spans="2:16" ht="12.75" customHeight="1">
      <c r="B34" s="164" t="str">
        <f>+Commodities!D33</f>
        <v>IGDFL</v>
      </c>
      <c r="C34" s="164" t="str">
        <f>+Commodities!E33</f>
        <v>Glass &amp; Concrete industry Demand Haulage Forklifts</v>
      </c>
      <c r="D34" s="166" t="str">
        <f>+Commodities!F33</f>
        <v>PJ</v>
      </c>
      <c r="E34" s="171">
        <f t="shared" ca="1" si="2"/>
        <v>0.59036274125874122</v>
      </c>
      <c r="F34" s="171">
        <f t="shared" ca="1" si="0"/>
        <v>0</v>
      </c>
      <c r="G34" s="171">
        <f t="shared" ca="1" si="1"/>
        <v>3.1079184815184818E-2</v>
      </c>
      <c r="I34" s="221" t="str">
        <f t="shared" si="28"/>
        <v>GlassConcrete</v>
      </c>
      <c r="J34" s="222" t="str">
        <f t="shared" si="13"/>
        <v>AQ</v>
      </c>
      <c r="K34" s="222" t="str">
        <f t="shared" si="13"/>
        <v>AR</v>
      </c>
      <c r="L34" s="222" t="str">
        <f t="shared" ref="L34" si="33">+L27</f>
        <v>AS</v>
      </c>
      <c r="M34" s="223">
        <f t="shared" si="13"/>
        <v>62</v>
      </c>
      <c r="N34" s="224"/>
      <c r="P34" s="226"/>
    </row>
    <row r="35" spans="2:16" ht="12.75" customHeight="1">
      <c r="B35" s="251" t="str">
        <f>+Commodities!D34</f>
        <v>ITDPH</v>
      </c>
      <c r="C35" s="251" t="str">
        <f>+Commodities!E34</f>
        <v>Transport industry Demand Process heat</v>
      </c>
      <c r="D35" s="252" t="str">
        <f>+Commodities!F34</f>
        <v>PJ</v>
      </c>
      <c r="E35" s="253">
        <f t="shared" ca="1" si="2"/>
        <v>35.831212651348658</v>
      </c>
      <c r="F35" s="253">
        <f t="shared" ca="1" si="0"/>
        <v>1.9906430529470531</v>
      </c>
      <c r="G35" s="253">
        <f t="shared" ca="1" si="1"/>
        <v>1.9906430529470531</v>
      </c>
      <c r="I35" s="382" t="str">
        <f>Commodities!AE10</f>
        <v>Transport</v>
      </c>
      <c r="J35" s="222" t="str">
        <f t="shared" si="13"/>
        <v>AQ</v>
      </c>
      <c r="K35" s="222" t="str">
        <f t="shared" si="13"/>
        <v>AR</v>
      </c>
      <c r="L35" s="222" t="str">
        <f t="shared" ref="L35" si="34">+L28</f>
        <v>AS</v>
      </c>
      <c r="M35" s="223">
        <f t="shared" si="13"/>
        <v>26</v>
      </c>
      <c r="N35" s="224">
        <f>+N28</f>
        <v>37</v>
      </c>
      <c r="P35" s="226">
        <f ca="1">+SUM(INDIRECT("'" &amp; I35 &amp; "'!" &amp; "AQ26:AR62")) - SUM(E35:F41)</f>
        <v>0</v>
      </c>
    </row>
    <row r="36" spans="2:16" ht="12.75" customHeight="1">
      <c r="B36" s="164" t="str">
        <f>+Commodities!D35</f>
        <v>ITDCO</v>
      </c>
      <c r="C36" s="164" t="str">
        <f>+Commodities!E35</f>
        <v>Transport industry Demand Cooling</v>
      </c>
      <c r="D36" s="166" t="str">
        <f>+Commodities!F35</f>
        <v>PJ</v>
      </c>
      <c r="E36" s="171">
        <f t="shared" ca="1" si="2"/>
        <v>5.2731121918081927</v>
      </c>
      <c r="F36" s="171">
        <f t="shared" ca="1" si="0"/>
        <v>0.58590485514485524</v>
      </c>
      <c r="G36" s="171">
        <f t="shared" ca="1" si="1"/>
        <v>0</v>
      </c>
      <c r="I36" s="221" t="str">
        <f>+I35</f>
        <v>Transport</v>
      </c>
      <c r="J36" s="222" t="str">
        <f t="shared" si="13"/>
        <v>AQ</v>
      </c>
      <c r="K36" s="222" t="str">
        <f t="shared" si="13"/>
        <v>AR</v>
      </c>
      <c r="L36" s="222" t="str">
        <f t="shared" ref="L36" si="35">+L29</f>
        <v>AS</v>
      </c>
      <c r="M36" s="223">
        <f t="shared" si="13"/>
        <v>38</v>
      </c>
      <c r="N36" s="224">
        <f>+N29</f>
        <v>46</v>
      </c>
      <c r="P36" s="225"/>
    </row>
    <row r="37" spans="2:16" ht="12.75" customHeight="1">
      <c r="B37" s="164" t="str">
        <f>+Commodities!D36</f>
        <v>ITDSH</v>
      </c>
      <c r="C37" s="164" t="str">
        <f>+Commodities!E36</f>
        <v>Transport industry Demand Spatial Heat</v>
      </c>
      <c r="D37" s="166" t="str">
        <f>+Commodities!F36</f>
        <v>PJ</v>
      </c>
      <c r="E37" s="171">
        <f t="shared" ca="1" si="2"/>
        <v>4.2403160679320688</v>
      </c>
      <c r="F37" s="171">
        <f t="shared" ca="1" si="0"/>
        <v>0.22062598201798206</v>
      </c>
      <c r="G37" s="171">
        <f t="shared" ca="1" si="1"/>
        <v>0.22062598201798206</v>
      </c>
      <c r="I37" s="221" t="str">
        <f t="shared" ref="I37:I41" si="36">+I36</f>
        <v>Transport</v>
      </c>
      <c r="J37" s="222" t="str">
        <f t="shared" ref="J37:M56" si="37">+J30</f>
        <v>AQ</v>
      </c>
      <c r="K37" s="222" t="str">
        <f t="shared" si="37"/>
        <v>AR</v>
      </c>
      <c r="L37" s="222" t="str">
        <f t="shared" ref="L37" si="38">+L30</f>
        <v>AS</v>
      </c>
      <c r="M37" s="223">
        <f t="shared" si="37"/>
        <v>47</v>
      </c>
      <c r="N37" s="224">
        <f>+N30</f>
        <v>58</v>
      </c>
    </row>
    <row r="38" spans="2:16" ht="12.75" customHeight="1">
      <c r="B38" s="164" t="str">
        <f>+Commodities!D37</f>
        <v>ITDLA</v>
      </c>
      <c r="C38" s="164" t="str">
        <f>+Commodities!E37</f>
        <v>Transport industry Demand Light</v>
      </c>
      <c r="D38" s="166" t="str">
        <f>+Commodities!F37</f>
        <v>PJ</v>
      </c>
      <c r="E38" s="171">
        <f t="shared" ca="1" si="2"/>
        <v>5.7795154525474528</v>
      </c>
      <c r="F38" s="171">
        <f t="shared" ca="1" si="0"/>
        <v>0.3210938181818182</v>
      </c>
      <c r="G38" s="171">
        <f t="shared" ca="1" si="1"/>
        <v>0.3210938181818182</v>
      </c>
      <c r="I38" s="221" t="str">
        <f t="shared" si="36"/>
        <v>Transport</v>
      </c>
      <c r="J38" s="222" t="str">
        <f t="shared" si="37"/>
        <v>AQ</v>
      </c>
      <c r="K38" s="222" t="str">
        <f t="shared" si="37"/>
        <v>AR</v>
      </c>
      <c r="L38" s="222" t="str">
        <f t="shared" ref="L38" si="39">+L31</f>
        <v>AS</v>
      </c>
      <c r="M38" s="223">
        <f t="shared" si="37"/>
        <v>59</v>
      </c>
      <c r="N38" s="224"/>
    </row>
    <row r="39" spans="2:16" ht="12.75" customHeight="1">
      <c r="B39" s="164" t="str">
        <f>+Commodities!D38</f>
        <v>ITDEM</v>
      </c>
      <c r="C39" s="164" t="str">
        <f>+Commodities!E38</f>
        <v>Transport industry Demand Electric Motors</v>
      </c>
      <c r="D39" s="166" t="str">
        <f>+Commodities!F38</f>
        <v>PJ</v>
      </c>
      <c r="E39" s="171">
        <f t="shared" ref="E39:E70" ca="1" si="40">+SUM(INDIRECT("'" &amp; $I39 &amp; "'!" &amp; J39 &amp; $M39 &amp; IF(ISBLANK($N39),"",":" &amp; J39 &amp; $N39)))</f>
        <v>28.319611540459544</v>
      </c>
      <c r="F39" s="171">
        <f t="shared" ref="F39:F70" ca="1" si="41">+SUM(INDIRECT("'" &amp; $I39 &amp; "'!" &amp; K39 &amp; $M39 &amp; IF(ISBLANK($N39),"",":" &amp; K39 &amp; $N39)))</f>
        <v>1.5733187532467536</v>
      </c>
      <c r="G39" s="171">
        <f t="shared" ref="G39:G70" ca="1" si="42">+SUM(INDIRECT("'" &amp; $I39 &amp; "'!" &amp; L39 &amp; $M39 &amp; IF(ISBLANK($N39),"",":" &amp; L39 &amp; $N39)))</f>
        <v>1.5733187532467536</v>
      </c>
      <c r="I39" s="221" t="str">
        <f t="shared" si="36"/>
        <v>Transport</v>
      </c>
      <c r="J39" s="222" t="str">
        <f t="shared" si="37"/>
        <v>AQ</v>
      </c>
      <c r="K39" s="222" t="str">
        <f t="shared" si="37"/>
        <v>AR</v>
      </c>
      <c r="L39" s="222" t="str">
        <f t="shared" ref="L39" si="43">+L32</f>
        <v>AS</v>
      </c>
      <c r="M39" s="223">
        <f t="shared" si="37"/>
        <v>60</v>
      </c>
      <c r="N39" s="224"/>
    </row>
    <row r="40" spans="2:16" ht="12.75" customHeight="1">
      <c r="B40" s="164" t="str">
        <f>+Commodities!D39</f>
        <v>ITDTF</v>
      </c>
      <c r="C40" s="164" t="str">
        <f>+Commodities!E39</f>
        <v>Transport industry Demand Haulage Tractors, Trucks, Fishing boats, Forest machines</v>
      </c>
      <c r="D40" s="166" t="str">
        <f>+Commodities!F39</f>
        <v>PJ</v>
      </c>
      <c r="E40" s="171">
        <f t="shared" ca="1" si="40"/>
        <v>3.3972872727272736</v>
      </c>
      <c r="F40" s="171">
        <f t="shared" ca="1" si="41"/>
        <v>0.18874343256743259</v>
      </c>
      <c r="G40" s="171">
        <f t="shared" ca="1" si="42"/>
        <v>0.18874343256743259</v>
      </c>
      <c r="I40" s="221" t="str">
        <f t="shared" si="36"/>
        <v>Transport</v>
      </c>
      <c r="J40" s="222" t="str">
        <f t="shared" si="37"/>
        <v>AQ</v>
      </c>
      <c r="K40" s="222" t="str">
        <f t="shared" si="37"/>
        <v>AR</v>
      </c>
      <c r="L40" s="222" t="str">
        <f t="shared" ref="L40" si="44">+L33</f>
        <v>AS</v>
      </c>
      <c r="M40" s="223">
        <f t="shared" si="37"/>
        <v>61</v>
      </c>
      <c r="N40" s="224"/>
    </row>
    <row r="41" spans="2:16" ht="12.75" customHeight="1">
      <c r="B41" s="164" t="str">
        <f>+Commodities!D40</f>
        <v>ITDFL</v>
      </c>
      <c r="C41" s="164" t="str">
        <f>+Commodities!E40</f>
        <v>Transport industry Demand Haulage Forklifts</v>
      </c>
      <c r="D41" s="166" t="str">
        <f>+Commodities!F40</f>
        <v>PJ</v>
      </c>
      <c r="E41" s="171">
        <f t="shared" ca="1" si="40"/>
        <v>0.1553644195804196</v>
      </c>
      <c r="F41" s="171">
        <f t="shared" ca="1" si="41"/>
        <v>8.6322317682317705E-3</v>
      </c>
      <c r="G41" s="171">
        <f t="shared" ca="1" si="42"/>
        <v>8.6322317682317705E-3</v>
      </c>
      <c r="I41" s="221" t="str">
        <f t="shared" si="36"/>
        <v>Transport</v>
      </c>
      <c r="J41" s="222" t="str">
        <f t="shared" si="37"/>
        <v>AQ</v>
      </c>
      <c r="K41" s="222" t="str">
        <f t="shared" si="37"/>
        <v>AR</v>
      </c>
      <c r="L41" s="222" t="str">
        <f t="shared" ref="L41" si="45">+L34</f>
        <v>AS</v>
      </c>
      <c r="M41" s="223">
        <f t="shared" si="37"/>
        <v>62</v>
      </c>
      <c r="N41" s="224"/>
      <c r="P41" s="226"/>
    </row>
    <row r="42" spans="2:16" ht="12.75" customHeight="1">
      <c r="B42" s="251" t="str">
        <f>+Commodities!D41</f>
        <v>IMDPH</v>
      </c>
      <c r="C42" s="251" t="str">
        <f>+Commodities!E41</f>
        <v>Machinery industry Demand Process heat</v>
      </c>
      <c r="D42" s="252" t="str">
        <f>+Commodities!F41</f>
        <v>PJ</v>
      </c>
      <c r="E42" s="253">
        <f t="shared" ca="1" si="40"/>
        <v>61.970902129870154</v>
      </c>
      <c r="F42" s="253">
        <f t="shared" ca="1" si="41"/>
        <v>3.4428742777222774</v>
      </c>
      <c r="G42" s="253">
        <f t="shared" ca="1" si="42"/>
        <v>3.4428742777222774</v>
      </c>
      <c r="I42" s="382" t="str">
        <f>Commodities!AE11</f>
        <v>Machinery</v>
      </c>
      <c r="J42" s="222" t="str">
        <f t="shared" si="37"/>
        <v>AQ</v>
      </c>
      <c r="K42" s="222" t="str">
        <f t="shared" si="37"/>
        <v>AR</v>
      </c>
      <c r="L42" s="222" t="str">
        <f t="shared" ref="L42" si="46">+L35</f>
        <v>AS</v>
      </c>
      <c r="M42" s="223">
        <f t="shared" si="37"/>
        <v>26</v>
      </c>
      <c r="N42" s="224">
        <f>+N35</f>
        <v>37</v>
      </c>
      <c r="P42" s="226">
        <f ca="1">+SUM(INDIRECT("'" &amp; I42 &amp; "'!" &amp; "AQ26:AR62")) - SUM(E42:F48)</f>
        <v>0</v>
      </c>
    </row>
    <row r="43" spans="2:16" ht="12.75" customHeight="1">
      <c r="B43" s="164" t="str">
        <f>+Commodities!D42</f>
        <v>IMDCO</v>
      </c>
      <c r="C43" s="164" t="str">
        <f>+Commodities!E42</f>
        <v>Machinery industry Demand Cooling</v>
      </c>
      <c r="D43" s="254" t="str">
        <f>+Commodities!F42</f>
        <v>PJ</v>
      </c>
      <c r="E43" s="255">
        <f t="shared" ca="1" si="40"/>
        <v>0</v>
      </c>
      <c r="F43" s="255">
        <f t="shared" ca="1" si="41"/>
        <v>0</v>
      </c>
      <c r="G43" s="255">
        <f t="shared" ca="1" si="42"/>
        <v>0</v>
      </c>
      <c r="I43" s="221" t="str">
        <f>+I42</f>
        <v>Machinery</v>
      </c>
      <c r="J43" s="222" t="str">
        <f t="shared" si="37"/>
        <v>AQ</v>
      </c>
      <c r="K43" s="222" t="str">
        <f t="shared" si="37"/>
        <v>AR</v>
      </c>
      <c r="L43" s="222" t="str">
        <f t="shared" ref="L43" si="47">+L36</f>
        <v>AS</v>
      </c>
      <c r="M43" s="223">
        <f t="shared" si="37"/>
        <v>38</v>
      </c>
      <c r="N43" s="224">
        <f>+N36</f>
        <v>46</v>
      </c>
    </row>
    <row r="44" spans="2:16" ht="12.75" customHeight="1">
      <c r="B44" s="164" t="str">
        <f>+Commodities!D43</f>
        <v>IMDSH</v>
      </c>
      <c r="C44" s="164" t="str">
        <f>+Commodities!E43</f>
        <v>Machinery industry Demand Spatial Heat</v>
      </c>
      <c r="D44" s="166" t="str">
        <f>+Commodities!F43</f>
        <v>PJ</v>
      </c>
      <c r="E44" s="171">
        <f t="shared" ca="1" si="40"/>
        <v>23.403602805194808</v>
      </c>
      <c r="F44" s="171">
        <f t="shared" ca="1" si="41"/>
        <v>0.59962506293706297</v>
      </c>
      <c r="G44" s="171">
        <f t="shared" ca="1" si="42"/>
        <v>0.59962506293706297</v>
      </c>
      <c r="I44" s="221" t="str">
        <f t="shared" ref="I44:I48" si="48">+I43</f>
        <v>Machinery</v>
      </c>
      <c r="J44" s="222" t="str">
        <f t="shared" si="37"/>
        <v>AQ</v>
      </c>
      <c r="K44" s="222" t="str">
        <f t="shared" si="37"/>
        <v>AR</v>
      </c>
      <c r="L44" s="222" t="str">
        <f t="shared" ref="L44" si="49">+L37</f>
        <v>AS</v>
      </c>
      <c r="M44" s="223">
        <f t="shared" si="37"/>
        <v>47</v>
      </c>
      <c r="N44" s="224">
        <f>+N37</f>
        <v>58</v>
      </c>
    </row>
    <row r="45" spans="2:16" ht="12.75" customHeight="1">
      <c r="B45" s="164" t="str">
        <f>+Commodities!D44</f>
        <v>IMDLA</v>
      </c>
      <c r="C45" s="164" t="str">
        <f>+Commodities!E44</f>
        <v>Machinery industry Demand Light</v>
      </c>
      <c r="D45" s="166" t="str">
        <f>+Commodities!F44</f>
        <v>PJ</v>
      </c>
      <c r="E45" s="171">
        <f t="shared" ca="1" si="40"/>
        <v>15.99426528671329</v>
      </c>
      <c r="F45" s="171">
        <f t="shared" ca="1" si="41"/>
        <v>0.88858429570429587</v>
      </c>
      <c r="G45" s="171">
        <f t="shared" ca="1" si="42"/>
        <v>0.88858429570429587</v>
      </c>
      <c r="I45" s="221" t="str">
        <f t="shared" si="48"/>
        <v>Machinery</v>
      </c>
      <c r="J45" s="222" t="str">
        <f t="shared" si="37"/>
        <v>AQ</v>
      </c>
      <c r="K45" s="222" t="str">
        <f t="shared" si="37"/>
        <v>AR</v>
      </c>
      <c r="L45" s="222" t="str">
        <f t="shared" ref="L45" si="50">+L38</f>
        <v>AS</v>
      </c>
      <c r="M45" s="223">
        <f t="shared" si="37"/>
        <v>59</v>
      </c>
      <c r="N45" s="224"/>
    </row>
    <row r="46" spans="2:16" ht="12.75" customHeight="1">
      <c r="B46" s="164" t="str">
        <f>+Commodities!D45</f>
        <v>IMDEM</v>
      </c>
      <c r="C46" s="164" t="str">
        <f>+Commodities!E45</f>
        <v>Machinery industry Demand Electric Motors</v>
      </c>
      <c r="D46" s="166" t="str">
        <f>+Commodities!F45</f>
        <v>PJ</v>
      </c>
      <c r="E46" s="171">
        <f t="shared" ca="1" si="40"/>
        <v>86.369007344655358</v>
      </c>
      <c r="F46" s="171">
        <f t="shared" ca="1" si="41"/>
        <v>4.798292187812188</v>
      </c>
      <c r="G46" s="171">
        <f t="shared" ca="1" si="42"/>
        <v>4.798292187812188</v>
      </c>
      <c r="I46" s="221" t="str">
        <f t="shared" si="48"/>
        <v>Machinery</v>
      </c>
      <c r="J46" s="222" t="str">
        <f t="shared" si="37"/>
        <v>AQ</v>
      </c>
      <c r="K46" s="222" t="str">
        <f t="shared" si="37"/>
        <v>AR</v>
      </c>
      <c r="L46" s="222" t="str">
        <f t="shared" ref="L46" si="51">+L39</f>
        <v>AS</v>
      </c>
      <c r="M46" s="223">
        <f t="shared" si="37"/>
        <v>60</v>
      </c>
      <c r="N46" s="224"/>
      <c r="P46" s="226"/>
    </row>
    <row r="47" spans="2:16" ht="12.75" customHeight="1">
      <c r="B47" s="164" t="str">
        <f>+Commodities!D46</f>
        <v>IMDTF</v>
      </c>
      <c r="C47" s="164" t="str">
        <f>+Commodities!E46</f>
        <v>Machinery industry Demand Haulage Tractors, Trucks, Fishing boats, Forest machines</v>
      </c>
      <c r="D47" s="166" t="str">
        <f>+Commodities!F46</f>
        <v>PJ</v>
      </c>
      <c r="E47" s="171">
        <f t="shared" ca="1" si="40"/>
        <v>18.646471240759244</v>
      </c>
      <c r="F47" s="171">
        <f t="shared" ca="1" si="41"/>
        <v>1.0359150689310692</v>
      </c>
      <c r="G47" s="171">
        <f t="shared" ca="1" si="42"/>
        <v>1.0359150689310692</v>
      </c>
      <c r="I47" s="221" t="str">
        <f t="shared" si="48"/>
        <v>Machinery</v>
      </c>
      <c r="J47" s="222" t="str">
        <f t="shared" si="37"/>
        <v>AQ</v>
      </c>
      <c r="K47" s="222" t="str">
        <f t="shared" si="37"/>
        <v>AR</v>
      </c>
      <c r="L47" s="222" t="str">
        <f t="shared" ref="L47" si="52">+L40</f>
        <v>AS</v>
      </c>
      <c r="M47" s="223">
        <f t="shared" si="37"/>
        <v>61</v>
      </c>
      <c r="N47" s="224"/>
    </row>
    <row r="48" spans="2:16" ht="12.75" customHeight="1">
      <c r="B48" s="164" t="str">
        <f>+Commodities!D47</f>
        <v>IMDFL</v>
      </c>
      <c r="C48" s="164" t="str">
        <f>+Commodities!E47</f>
        <v>Machinery industry Demand Haulage Forklifts</v>
      </c>
      <c r="D48" s="166" t="str">
        <f>+Commodities!F47</f>
        <v>PJ</v>
      </c>
      <c r="E48" s="171">
        <f t="shared" ca="1" si="40"/>
        <v>1.653261410589411</v>
      </c>
      <c r="F48" s="171">
        <f t="shared" ca="1" si="41"/>
        <v>9.1851356643356669E-2</v>
      </c>
      <c r="G48" s="171">
        <f t="shared" ca="1" si="42"/>
        <v>9.1851356643356669E-2</v>
      </c>
      <c r="I48" s="221" t="str">
        <f t="shared" si="48"/>
        <v>Machinery</v>
      </c>
      <c r="J48" s="222" t="str">
        <f t="shared" si="37"/>
        <v>AQ</v>
      </c>
      <c r="K48" s="222" t="str">
        <f t="shared" si="37"/>
        <v>AR</v>
      </c>
      <c r="L48" s="222" t="str">
        <f t="shared" ref="L48" si="53">+L41</f>
        <v>AS</v>
      </c>
      <c r="M48" s="223">
        <f t="shared" si="37"/>
        <v>62</v>
      </c>
      <c r="N48" s="224"/>
    </row>
    <row r="49" spans="2:16" ht="12.75" customHeight="1">
      <c r="B49" s="251" t="str">
        <f>+Commodities!D48</f>
        <v>IIDPH</v>
      </c>
      <c r="C49" s="251" t="str">
        <f>+Commodities!E48</f>
        <v>Mining Demand Process heat</v>
      </c>
      <c r="D49" s="252" t="str">
        <f>+Commodities!F48</f>
        <v>PJ</v>
      </c>
      <c r="E49" s="253">
        <f t="shared" ca="1" si="40"/>
        <v>7.8775100739260742</v>
      </c>
      <c r="F49" s="253">
        <f t="shared" ca="1" si="41"/>
        <v>0.43767620379620387</v>
      </c>
      <c r="G49" s="253">
        <f t="shared" ca="1" si="42"/>
        <v>0.43767620379620387</v>
      </c>
      <c r="I49" s="382" t="str">
        <f>Commodities!AE12</f>
        <v>Mining</v>
      </c>
      <c r="J49" s="222" t="str">
        <f t="shared" si="37"/>
        <v>AQ</v>
      </c>
      <c r="K49" s="222" t="str">
        <f t="shared" si="37"/>
        <v>AR</v>
      </c>
      <c r="L49" s="222" t="str">
        <f t="shared" ref="L49" si="54">+L42</f>
        <v>AS</v>
      </c>
      <c r="M49" s="223">
        <f t="shared" si="37"/>
        <v>26</v>
      </c>
      <c r="N49" s="224">
        <f>+N42</f>
        <v>37</v>
      </c>
      <c r="P49" s="226">
        <f ca="1">+SUM(INDIRECT("'" &amp; I49 &amp; "'!" &amp; "AQ26:AR62")) - SUM(E49:F55)</f>
        <v>0</v>
      </c>
    </row>
    <row r="50" spans="2:16" ht="12.75" customHeight="1">
      <c r="B50" s="164" t="str">
        <f>+Commodities!D49</f>
        <v>IIDCO</v>
      </c>
      <c r="C50" s="164" t="str">
        <f>+Commodities!E49</f>
        <v>Mining Demand Cooling</v>
      </c>
      <c r="D50" s="254" t="str">
        <f>+Commodities!F49</f>
        <v>PJ</v>
      </c>
      <c r="E50" s="255">
        <f t="shared" ca="1" si="40"/>
        <v>0</v>
      </c>
      <c r="F50" s="255">
        <f t="shared" ca="1" si="41"/>
        <v>0</v>
      </c>
      <c r="G50" s="255">
        <f t="shared" ca="1" si="42"/>
        <v>0</v>
      </c>
      <c r="I50" s="221" t="str">
        <f>+I49</f>
        <v>Mining</v>
      </c>
      <c r="J50" s="222" t="str">
        <f t="shared" si="37"/>
        <v>AQ</v>
      </c>
      <c r="K50" s="222" t="str">
        <f t="shared" si="37"/>
        <v>AR</v>
      </c>
      <c r="L50" s="222" t="str">
        <f t="shared" ref="L50" si="55">+L43</f>
        <v>AS</v>
      </c>
      <c r="M50" s="223">
        <f t="shared" si="37"/>
        <v>38</v>
      </c>
      <c r="N50" s="224">
        <f>+N43</f>
        <v>46</v>
      </c>
      <c r="P50" s="225"/>
    </row>
    <row r="51" spans="2:16" ht="12.75" customHeight="1">
      <c r="B51" s="164" t="str">
        <f>+Commodities!D50</f>
        <v>IIDSH</v>
      </c>
      <c r="C51" s="164" t="str">
        <f>+Commodities!E50</f>
        <v>Mining Demand Spatial Heat</v>
      </c>
      <c r="D51" s="166" t="str">
        <f>+Commodities!F50</f>
        <v>PJ</v>
      </c>
      <c r="E51" s="171">
        <f t="shared" ca="1" si="40"/>
        <v>7.6162117882117894E-2</v>
      </c>
      <c r="F51" s="171">
        <f t="shared" ca="1" si="41"/>
        <v>1.2444275724275726E-3</v>
      </c>
      <c r="G51" s="171">
        <f t="shared" ca="1" si="42"/>
        <v>1.2444275724275726E-3</v>
      </c>
      <c r="I51" s="221" t="str">
        <f t="shared" ref="I51:I55" si="56">+I50</f>
        <v>Mining</v>
      </c>
      <c r="J51" s="222" t="str">
        <f t="shared" si="37"/>
        <v>AQ</v>
      </c>
      <c r="K51" s="222" t="str">
        <f t="shared" si="37"/>
        <v>AR</v>
      </c>
      <c r="L51" s="222" t="str">
        <f t="shared" ref="L51" si="57">+L44</f>
        <v>AS</v>
      </c>
      <c r="M51" s="223">
        <f t="shared" si="37"/>
        <v>47</v>
      </c>
      <c r="N51" s="224">
        <f>+N44</f>
        <v>58</v>
      </c>
    </row>
    <row r="52" spans="2:16" ht="12.75" customHeight="1">
      <c r="B52" s="164" t="str">
        <f>+Commodities!D51</f>
        <v>IIDLA</v>
      </c>
      <c r="C52" s="164" t="str">
        <f>+Commodities!E51</f>
        <v>Mining Demand Light</v>
      </c>
      <c r="D52" s="166" t="str">
        <f>+Commodities!F51</f>
        <v>PJ</v>
      </c>
      <c r="E52" s="171">
        <f t="shared" ca="1" si="40"/>
        <v>0.69919502097902109</v>
      </c>
      <c r="F52" s="171">
        <f t="shared" ca="1" si="41"/>
        <v>3.8845042957042962E-2</v>
      </c>
      <c r="G52" s="171">
        <f t="shared" ca="1" si="42"/>
        <v>3.8845042957042962E-2</v>
      </c>
      <c r="I52" s="221" t="str">
        <f t="shared" si="56"/>
        <v>Mining</v>
      </c>
      <c r="J52" s="222" t="str">
        <f t="shared" si="37"/>
        <v>AQ</v>
      </c>
      <c r="K52" s="222" t="str">
        <f t="shared" si="37"/>
        <v>AR</v>
      </c>
      <c r="L52" s="222" t="str">
        <f t="shared" ref="L52" si="58">+L45</f>
        <v>AS</v>
      </c>
      <c r="M52" s="223">
        <f t="shared" si="37"/>
        <v>59</v>
      </c>
      <c r="N52" s="224"/>
    </row>
    <row r="53" spans="2:16" ht="12.75" customHeight="1">
      <c r="B53" s="164" t="str">
        <f>+Commodities!D52</f>
        <v>IIDEM</v>
      </c>
      <c r="C53" s="164" t="str">
        <f>+Commodities!E52</f>
        <v>Mining Demand Electric Motors</v>
      </c>
      <c r="D53" s="166" t="str">
        <f>+Commodities!F52</f>
        <v>PJ</v>
      </c>
      <c r="E53" s="171">
        <f t="shared" ca="1" si="40"/>
        <v>6.292739436563437</v>
      </c>
      <c r="F53" s="171">
        <f t="shared" ca="1" si="41"/>
        <v>0.34960538661338675</v>
      </c>
      <c r="G53" s="171">
        <f t="shared" ca="1" si="42"/>
        <v>0.34960538661338675</v>
      </c>
      <c r="I53" s="221" t="str">
        <f t="shared" si="56"/>
        <v>Mining</v>
      </c>
      <c r="J53" s="222" t="str">
        <f t="shared" si="37"/>
        <v>AQ</v>
      </c>
      <c r="K53" s="222" t="str">
        <f t="shared" si="37"/>
        <v>AR</v>
      </c>
      <c r="L53" s="222" t="str">
        <f t="shared" ref="L53" si="59">+L46</f>
        <v>AS</v>
      </c>
      <c r="M53" s="223">
        <f t="shared" si="37"/>
        <v>60</v>
      </c>
      <c r="N53" s="224"/>
    </row>
    <row r="54" spans="2:16" ht="12.75" customHeight="1">
      <c r="B54" s="164" t="str">
        <f>+Commodities!D53</f>
        <v>IIDTF</v>
      </c>
      <c r="C54" s="164" t="str">
        <f>+Commodities!E53</f>
        <v>Mining Demand Haulage Tractors, Trucks, Fishing boats, Forest machines</v>
      </c>
      <c r="D54" s="166" t="str">
        <f>+Commodities!F53</f>
        <v>PJ</v>
      </c>
      <c r="E54" s="171">
        <f t="shared" ca="1" si="40"/>
        <v>0.96514021978021991</v>
      </c>
      <c r="F54" s="171">
        <f t="shared" ca="1" si="41"/>
        <v>5.3620651348651356E-2</v>
      </c>
      <c r="G54" s="171">
        <f t="shared" ca="1" si="42"/>
        <v>5.3620651348651356E-2</v>
      </c>
      <c r="I54" s="221" t="str">
        <f t="shared" si="56"/>
        <v>Mining</v>
      </c>
      <c r="J54" s="222" t="str">
        <f t="shared" si="37"/>
        <v>AQ</v>
      </c>
      <c r="K54" s="222" t="str">
        <f t="shared" si="37"/>
        <v>AR</v>
      </c>
      <c r="L54" s="222" t="str">
        <f t="shared" ref="L54" si="60">+L47</f>
        <v>AS</v>
      </c>
      <c r="M54" s="223">
        <f t="shared" si="37"/>
        <v>61</v>
      </c>
      <c r="N54" s="224"/>
    </row>
    <row r="55" spans="2:16" ht="12.75" customHeight="1">
      <c r="B55" s="164" t="str">
        <f>+Commodities!D54</f>
        <v>IIDFL</v>
      </c>
      <c r="C55" s="164" t="str">
        <f>+Commodities!E54</f>
        <v>Mining Demand Haulage Forklifts</v>
      </c>
      <c r="D55" s="166" t="str">
        <f>+Commodities!F54</f>
        <v>PJ</v>
      </c>
      <c r="E55" s="171">
        <f t="shared" ca="1" si="40"/>
        <v>0</v>
      </c>
      <c r="F55" s="171">
        <f t="shared" ca="1" si="41"/>
        <v>0</v>
      </c>
      <c r="G55" s="171">
        <f t="shared" ca="1" si="42"/>
        <v>0</v>
      </c>
      <c r="I55" s="221" t="str">
        <f t="shared" si="56"/>
        <v>Mining</v>
      </c>
      <c r="J55" s="222" t="str">
        <f t="shared" si="37"/>
        <v>AQ</v>
      </c>
      <c r="K55" s="222" t="str">
        <f t="shared" si="37"/>
        <v>AR</v>
      </c>
      <c r="L55" s="222" t="str">
        <f t="shared" ref="L55" si="61">+L48</f>
        <v>AS</v>
      </c>
      <c r="M55" s="223">
        <f t="shared" si="37"/>
        <v>62</v>
      </c>
      <c r="N55" s="224"/>
      <c r="P55" s="226"/>
    </row>
    <row r="56" spans="2:16" ht="12.75" customHeight="1">
      <c r="B56" s="251" t="str">
        <f>+Commodities!D55</f>
        <v>IFDPH</v>
      </c>
      <c r="C56" s="251" t="str">
        <f>+Commodities!E55</f>
        <v>Food industry Demand Process heat</v>
      </c>
      <c r="D56" s="252" t="str">
        <f>+Commodities!F55</f>
        <v>PJ</v>
      </c>
      <c r="E56" s="253">
        <f t="shared" ca="1" si="40"/>
        <v>100.03614581418582</v>
      </c>
      <c r="F56" s="253">
        <f t="shared" ca="1" si="41"/>
        <v>0</v>
      </c>
      <c r="G56" s="253">
        <f t="shared" ca="1" si="42"/>
        <v>5.2651100499500503</v>
      </c>
      <c r="I56" s="382" t="str">
        <f>Commodities!AE13</f>
        <v>Food</v>
      </c>
      <c r="J56" s="222" t="str">
        <f t="shared" si="37"/>
        <v>AQ</v>
      </c>
      <c r="K56" s="222" t="str">
        <f t="shared" si="37"/>
        <v>AR</v>
      </c>
      <c r="L56" s="222" t="str">
        <f t="shared" ref="L56" si="62">+L49</f>
        <v>AS</v>
      </c>
      <c r="M56" s="223">
        <f t="shared" si="37"/>
        <v>26</v>
      </c>
      <c r="N56" s="224">
        <f>+N49</f>
        <v>37</v>
      </c>
      <c r="P56" s="226">
        <f ca="1">+SUM(INDIRECT("'" &amp; I56 &amp; "'!" &amp; "AQ26:AR62")) - SUM(E56:F62)</f>
        <v>0</v>
      </c>
    </row>
    <row r="57" spans="2:16" ht="12.75" customHeight="1">
      <c r="B57" s="164" t="str">
        <f>+Commodities!D56</f>
        <v>IFDCO</v>
      </c>
      <c r="C57" s="164" t="str">
        <f>+Commodities!E56</f>
        <v>Food industry Demand Cooling</v>
      </c>
      <c r="D57" s="254" t="str">
        <f>+Commodities!F56</f>
        <v>PJ</v>
      </c>
      <c r="E57" s="255">
        <f t="shared" ca="1" si="40"/>
        <v>10.936801366633366</v>
      </c>
      <c r="F57" s="255">
        <f t="shared" ca="1" si="41"/>
        <v>0.57563438961038971</v>
      </c>
      <c r="G57" s="255">
        <f t="shared" ca="1" si="42"/>
        <v>0</v>
      </c>
      <c r="I57" s="221" t="str">
        <f>+I56</f>
        <v>Food</v>
      </c>
      <c r="J57" s="222" t="str">
        <f t="shared" ref="J57:M76" si="63">+J50</f>
        <v>AQ</v>
      </c>
      <c r="K57" s="222" t="str">
        <f t="shared" si="63"/>
        <v>AR</v>
      </c>
      <c r="L57" s="222" t="str">
        <f t="shared" ref="L57" si="64">+L50</f>
        <v>AS</v>
      </c>
      <c r="M57" s="223">
        <f t="shared" si="63"/>
        <v>38</v>
      </c>
      <c r="N57" s="224">
        <f>+N50</f>
        <v>46</v>
      </c>
    </row>
    <row r="58" spans="2:16" ht="12.75" customHeight="1">
      <c r="B58" s="164" t="str">
        <f>+Commodities!D57</f>
        <v>IFDSH</v>
      </c>
      <c r="C58" s="164" t="str">
        <f>+Commodities!E57</f>
        <v>Food industry Demand Spatial Heat</v>
      </c>
      <c r="D58" s="166" t="str">
        <f>+Commodities!F57</f>
        <v>PJ</v>
      </c>
      <c r="E58" s="171">
        <f t="shared" ca="1" si="40"/>
        <v>16.699414657342658</v>
      </c>
      <c r="F58" s="171">
        <f t="shared" ca="1" si="41"/>
        <v>0</v>
      </c>
      <c r="G58" s="171">
        <f t="shared" ca="1" si="42"/>
        <v>0.59592328471528477</v>
      </c>
      <c r="I58" s="221" t="str">
        <f t="shared" ref="I58:I62" si="65">+I57</f>
        <v>Food</v>
      </c>
      <c r="J58" s="222" t="str">
        <f t="shared" si="63"/>
        <v>AQ</v>
      </c>
      <c r="K58" s="222" t="str">
        <f t="shared" si="63"/>
        <v>AR</v>
      </c>
      <c r="L58" s="222" t="str">
        <f t="shared" ref="L58" si="66">+L51</f>
        <v>AS</v>
      </c>
      <c r="M58" s="223">
        <f t="shared" si="63"/>
        <v>47</v>
      </c>
      <c r="N58" s="224">
        <f>+N51</f>
        <v>58</v>
      </c>
    </row>
    <row r="59" spans="2:16" ht="12.75" customHeight="1">
      <c r="B59" s="164" t="str">
        <f>+Commodities!D58</f>
        <v>IFDLA</v>
      </c>
      <c r="C59" s="164" t="str">
        <f>+Commodities!E58</f>
        <v>Food industry Demand Light</v>
      </c>
      <c r="D59" s="166" t="str">
        <f>+Commodities!F58</f>
        <v>PJ</v>
      </c>
      <c r="E59" s="171">
        <f t="shared" ca="1" si="40"/>
        <v>4.7948424455544458</v>
      </c>
      <c r="F59" s="171">
        <f t="shared" ca="1" si="41"/>
        <v>0</v>
      </c>
      <c r="G59" s="171">
        <f t="shared" ca="1" si="42"/>
        <v>0.25236676123876128</v>
      </c>
      <c r="I59" s="221" t="str">
        <f t="shared" si="65"/>
        <v>Food</v>
      </c>
      <c r="J59" s="222" t="str">
        <f t="shared" si="63"/>
        <v>AQ</v>
      </c>
      <c r="K59" s="222" t="str">
        <f t="shared" si="63"/>
        <v>AR</v>
      </c>
      <c r="L59" s="222" t="str">
        <f t="shared" ref="L59" si="67">+L52</f>
        <v>AS</v>
      </c>
      <c r="M59" s="223">
        <f t="shared" si="63"/>
        <v>59</v>
      </c>
      <c r="N59" s="224"/>
    </row>
    <row r="60" spans="2:16" ht="12.75" customHeight="1">
      <c r="B60" s="164" t="str">
        <f>+Commodities!D59</f>
        <v>IFDEM</v>
      </c>
      <c r="C60" s="164" t="str">
        <f>+Commodities!E59</f>
        <v>Food industry Demand Electric Motors</v>
      </c>
      <c r="D60" s="166" t="str">
        <f>+Commodities!F59</f>
        <v>PJ</v>
      </c>
      <c r="E60" s="171">
        <f t="shared" ca="1" si="40"/>
        <v>41.954851708291713</v>
      </c>
      <c r="F60" s="171">
        <f t="shared" ca="1" si="41"/>
        <v>0</v>
      </c>
      <c r="G60" s="171">
        <f t="shared" ca="1" si="42"/>
        <v>2.2081500899100903</v>
      </c>
      <c r="I60" s="221" t="str">
        <f t="shared" si="65"/>
        <v>Food</v>
      </c>
      <c r="J60" s="222" t="str">
        <f t="shared" si="63"/>
        <v>AQ</v>
      </c>
      <c r="K60" s="222" t="str">
        <f t="shared" si="63"/>
        <v>AR</v>
      </c>
      <c r="L60" s="222" t="str">
        <f t="shared" ref="L60" si="68">+L53</f>
        <v>AS</v>
      </c>
      <c r="M60" s="223">
        <f t="shared" si="63"/>
        <v>60</v>
      </c>
      <c r="N60" s="224"/>
    </row>
    <row r="61" spans="2:16" ht="12.75" customHeight="1">
      <c r="B61" s="164" t="str">
        <f>+Commodities!D60</f>
        <v>IFDTF</v>
      </c>
      <c r="C61" s="164" t="str">
        <f>+Commodities!E60</f>
        <v>Food industry Demand Haulage Tractors, Trucks, Fishing boats, Forest machines</v>
      </c>
      <c r="D61" s="166" t="str">
        <f>+Commodities!F60</f>
        <v>PJ</v>
      </c>
      <c r="E61" s="171">
        <f t="shared" ca="1" si="40"/>
        <v>12.347336391608394</v>
      </c>
      <c r="F61" s="171">
        <f t="shared" ca="1" si="41"/>
        <v>0</v>
      </c>
      <c r="G61" s="171">
        <f t="shared" ca="1" si="42"/>
        <v>0.6498747332667334</v>
      </c>
      <c r="I61" s="221" t="str">
        <f t="shared" si="65"/>
        <v>Food</v>
      </c>
      <c r="J61" s="222" t="str">
        <f t="shared" si="63"/>
        <v>AQ</v>
      </c>
      <c r="K61" s="222" t="str">
        <f t="shared" si="63"/>
        <v>AR</v>
      </c>
      <c r="L61" s="222" t="str">
        <f t="shared" ref="L61" si="69">+L54</f>
        <v>AS</v>
      </c>
      <c r="M61" s="223">
        <f t="shared" si="63"/>
        <v>61</v>
      </c>
      <c r="N61" s="224"/>
    </row>
    <row r="62" spans="2:16" ht="12.75" customHeight="1">
      <c r="B62" s="164" t="str">
        <f>+Commodities!D61</f>
        <v>IFDFL</v>
      </c>
      <c r="C62" s="164" t="str">
        <f>+Commodities!E61</f>
        <v>Food industry Demand Haulage Forklifts</v>
      </c>
      <c r="D62" s="166" t="str">
        <f>+Commodities!F61</f>
        <v>PJ</v>
      </c>
      <c r="E62" s="171">
        <f t="shared" ca="1" si="40"/>
        <v>0.85273217982018001</v>
      </c>
      <c r="F62" s="171">
        <f t="shared" ca="1" si="41"/>
        <v>0</v>
      </c>
      <c r="G62" s="171">
        <f t="shared" ca="1" si="42"/>
        <v>4.4893906093906102E-2</v>
      </c>
      <c r="I62" s="221" t="str">
        <f t="shared" si="65"/>
        <v>Food</v>
      </c>
      <c r="J62" s="222" t="str">
        <f t="shared" si="63"/>
        <v>AQ</v>
      </c>
      <c r="K62" s="222" t="str">
        <f t="shared" si="63"/>
        <v>AR</v>
      </c>
      <c r="L62" s="222" t="str">
        <f t="shared" ref="L62" si="70">+L55</f>
        <v>AS</v>
      </c>
      <c r="M62" s="223">
        <f t="shared" si="63"/>
        <v>62</v>
      </c>
      <c r="N62" s="224"/>
    </row>
    <row r="63" spans="2:16" ht="12.75" customHeight="1">
      <c r="B63" s="251" t="str">
        <f>+Commodities!D62</f>
        <v>IRDPH</v>
      </c>
      <c r="C63" s="251" t="str">
        <f>+Commodities!E62</f>
        <v>Paper &amp; Pulp industry Demand Process heat</v>
      </c>
      <c r="D63" s="252" t="str">
        <f>+Commodities!F62</f>
        <v>PJ</v>
      </c>
      <c r="E63" s="253">
        <f t="shared" ca="1" si="40"/>
        <v>129.76949008591413</v>
      </c>
      <c r="F63" s="253">
        <f t="shared" ca="1" si="41"/>
        <v>7.209472999001</v>
      </c>
      <c r="G63" s="253">
        <f t="shared" ca="1" si="42"/>
        <v>7.209472999001</v>
      </c>
      <c r="I63" s="382" t="str">
        <f>Commodities!AE14</f>
        <v>PulpPaper</v>
      </c>
      <c r="J63" s="222" t="str">
        <f t="shared" si="63"/>
        <v>AQ</v>
      </c>
      <c r="K63" s="222" t="str">
        <f t="shared" si="63"/>
        <v>AR</v>
      </c>
      <c r="L63" s="222" t="str">
        <f t="shared" ref="L63" si="71">+L56</f>
        <v>AS</v>
      </c>
      <c r="M63" s="223">
        <f t="shared" si="63"/>
        <v>26</v>
      </c>
      <c r="N63" s="224">
        <f>+N56</f>
        <v>37</v>
      </c>
      <c r="P63" s="226">
        <f ca="1">+SUM(INDIRECT("'" &amp; I63 &amp; "'!" &amp; "AQ26:AR62")) - SUM(E63:F69)</f>
        <v>0</v>
      </c>
    </row>
    <row r="64" spans="2:16" ht="12.75" customHeight="1">
      <c r="B64" s="164" t="str">
        <f>+Commodities!D63</f>
        <v>IRDCO</v>
      </c>
      <c r="C64" s="164" t="str">
        <f>+Commodities!E63</f>
        <v>Paper &amp; Pulp industry Demand Cooling</v>
      </c>
      <c r="D64" s="166" t="str">
        <f>+Commodities!F63</f>
        <v>PJ</v>
      </c>
      <c r="E64" s="171">
        <f t="shared" ca="1" si="40"/>
        <v>0</v>
      </c>
      <c r="F64" s="171">
        <f t="shared" ca="1" si="41"/>
        <v>0</v>
      </c>
      <c r="G64" s="171">
        <f t="shared" ca="1" si="42"/>
        <v>0</v>
      </c>
      <c r="I64" s="221" t="str">
        <f>+I63</f>
        <v>PulpPaper</v>
      </c>
      <c r="J64" s="222" t="str">
        <f t="shared" si="63"/>
        <v>AQ</v>
      </c>
      <c r="K64" s="222" t="str">
        <f t="shared" si="63"/>
        <v>AR</v>
      </c>
      <c r="L64" s="222" t="str">
        <f t="shared" ref="L64" si="72">+L57</f>
        <v>AS</v>
      </c>
      <c r="M64" s="223">
        <f t="shared" si="63"/>
        <v>38</v>
      </c>
      <c r="N64" s="224">
        <f>+N57</f>
        <v>46</v>
      </c>
    </row>
    <row r="65" spans="2:16" ht="12.75" customHeight="1">
      <c r="B65" s="164" t="str">
        <f>+Commodities!D64</f>
        <v>IRDSH</v>
      </c>
      <c r="C65" s="164" t="str">
        <f>+Commodities!E64</f>
        <v>Paper &amp; Pulp industry Demand Spatial Heat</v>
      </c>
      <c r="D65" s="166" t="str">
        <f>+Commodities!F64</f>
        <v>PJ</v>
      </c>
      <c r="E65" s="171">
        <f t="shared" ca="1" si="40"/>
        <v>17.268039296703304</v>
      </c>
      <c r="F65" s="171">
        <f t="shared" ca="1" si="41"/>
        <v>1.4003748251748254E-2</v>
      </c>
      <c r="G65" s="171">
        <f t="shared" ca="1" si="42"/>
        <v>1.4003748251748254E-2</v>
      </c>
      <c r="I65" s="221" t="str">
        <f t="shared" ref="I65:I69" si="73">+I64</f>
        <v>PulpPaper</v>
      </c>
      <c r="J65" s="222" t="str">
        <f t="shared" si="63"/>
        <v>AQ</v>
      </c>
      <c r="K65" s="222" t="str">
        <f t="shared" si="63"/>
        <v>AR</v>
      </c>
      <c r="L65" s="222" t="str">
        <f t="shared" ref="L65" si="74">+L58</f>
        <v>AS</v>
      </c>
      <c r="M65" s="223">
        <f t="shared" si="63"/>
        <v>47</v>
      </c>
      <c r="N65" s="224">
        <f>+N58</f>
        <v>58</v>
      </c>
    </row>
    <row r="66" spans="2:16" ht="12.75" customHeight="1">
      <c r="B66" s="164" t="str">
        <f>+Commodities!D65</f>
        <v>IRDLA</v>
      </c>
      <c r="C66" s="164" t="str">
        <f>+Commodities!E65</f>
        <v>Paper &amp; Pulp industry Demand Light</v>
      </c>
      <c r="D66" s="166" t="str">
        <f>+Commodities!F65</f>
        <v>PJ</v>
      </c>
      <c r="E66" s="171">
        <f t="shared" ca="1" si="40"/>
        <v>7.872233070929072</v>
      </c>
      <c r="F66" s="171">
        <f t="shared" ca="1" si="41"/>
        <v>0.43736115884115889</v>
      </c>
      <c r="G66" s="171">
        <f t="shared" ca="1" si="42"/>
        <v>0.43736115884115889</v>
      </c>
      <c r="I66" s="221" t="str">
        <f t="shared" si="73"/>
        <v>PulpPaper</v>
      </c>
      <c r="J66" s="222" t="str">
        <f t="shared" si="63"/>
        <v>AQ</v>
      </c>
      <c r="K66" s="222" t="str">
        <f t="shared" si="63"/>
        <v>AR</v>
      </c>
      <c r="L66" s="222" t="str">
        <f t="shared" ref="L66" si="75">+L59</f>
        <v>AS</v>
      </c>
      <c r="M66" s="223">
        <f t="shared" si="63"/>
        <v>59</v>
      </c>
      <c r="N66" s="224"/>
    </row>
    <row r="67" spans="2:16" ht="12.75" customHeight="1">
      <c r="B67" s="164" t="str">
        <f>+Commodities!D66</f>
        <v>IRDEM</v>
      </c>
      <c r="C67" s="164" t="str">
        <f>+Commodities!E66</f>
        <v>Paper &amp; Pulp industry Demand Electric Motors</v>
      </c>
      <c r="D67" s="166" t="str">
        <f>+Commodities!F66</f>
        <v>PJ</v>
      </c>
      <c r="E67" s="171">
        <f t="shared" ca="1" si="40"/>
        <v>70.85006613386615</v>
      </c>
      <c r="F67" s="171">
        <f t="shared" ca="1" si="41"/>
        <v>3.9361244115884122</v>
      </c>
      <c r="G67" s="171">
        <f t="shared" ca="1" si="42"/>
        <v>3.9361244115884122</v>
      </c>
      <c r="I67" s="221" t="str">
        <f t="shared" si="73"/>
        <v>PulpPaper</v>
      </c>
      <c r="J67" s="222" t="str">
        <f t="shared" si="63"/>
        <v>AQ</v>
      </c>
      <c r="K67" s="222" t="str">
        <f t="shared" si="63"/>
        <v>AR</v>
      </c>
      <c r="L67" s="222" t="str">
        <f t="shared" ref="L67" si="76">+L60</f>
        <v>AS</v>
      </c>
      <c r="M67" s="223">
        <f t="shared" si="63"/>
        <v>60</v>
      </c>
      <c r="N67" s="224"/>
      <c r="P67" s="226"/>
    </row>
    <row r="68" spans="2:16" ht="12.75" customHeight="1">
      <c r="B68" s="164" t="str">
        <f>+Commodities!D67</f>
        <v>IRDTF</v>
      </c>
      <c r="C68" s="164" t="str">
        <f>+Commodities!E67</f>
        <v>Paper &amp; Pulp industry Demand Haulage Tractors, Trucks, Fishing boats, Forest machines</v>
      </c>
      <c r="D68" s="166" t="str">
        <f>+Commodities!F67</f>
        <v>PJ</v>
      </c>
      <c r="E68" s="171">
        <f t="shared" ca="1" si="40"/>
        <v>2.6251750969030971</v>
      </c>
      <c r="F68" s="171">
        <f t="shared" ca="1" si="41"/>
        <v>0.14585006193806194</v>
      </c>
      <c r="G68" s="171">
        <f t="shared" ca="1" si="42"/>
        <v>0.14585006193806194</v>
      </c>
      <c r="I68" s="221" t="str">
        <f t="shared" si="73"/>
        <v>PulpPaper</v>
      </c>
      <c r="J68" s="222" t="str">
        <f t="shared" si="63"/>
        <v>AQ</v>
      </c>
      <c r="K68" s="222" t="str">
        <f t="shared" si="63"/>
        <v>AR</v>
      </c>
      <c r="L68" s="222" t="str">
        <f t="shared" ref="L68" si="77">+L61</f>
        <v>AS</v>
      </c>
      <c r="M68" s="223">
        <f t="shared" si="63"/>
        <v>61</v>
      </c>
      <c r="N68" s="224"/>
    </row>
    <row r="69" spans="2:16" ht="12.75" customHeight="1">
      <c r="B69" s="164" t="str">
        <f>+Commodities!D68</f>
        <v>IRDFL</v>
      </c>
      <c r="C69" s="164" t="str">
        <f>+Commodities!E68</f>
        <v>Paper &amp; Pulp industry Demand Haulage Forklifts</v>
      </c>
      <c r="D69" s="166" t="str">
        <f>+Commodities!F68</f>
        <v>PJ</v>
      </c>
      <c r="E69" s="171">
        <f t="shared" ca="1" si="40"/>
        <v>0.24857046953046955</v>
      </c>
      <c r="F69" s="171">
        <f t="shared" ca="1" si="41"/>
        <v>1.3814721278721281E-2</v>
      </c>
      <c r="G69" s="171">
        <f t="shared" ca="1" si="42"/>
        <v>1.3814721278721281E-2</v>
      </c>
      <c r="I69" s="221" t="str">
        <f t="shared" si="73"/>
        <v>PulpPaper</v>
      </c>
      <c r="J69" s="222" t="str">
        <f t="shared" si="63"/>
        <v>AQ</v>
      </c>
      <c r="K69" s="222" t="str">
        <f t="shared" si="63"/>
        <v>AR</v>
      </c>
      <c r="L69" s="222" t="str">
        <f t="shared" ref="L69" si="78">+L62</f>
        <v>AS</v>
      </c>
      <c r="M69" s="223">
        <f t="shared" si="63"/>
        <v>62</v>
      </c>
      <c r="N69" s="224"/>
    </row>
    <row r="70" spans="2:16" ht="12.75" customHeight="1">
      <c r="B70" s="251" t="str">
        <f>+Commodities!D69</f>
        <v>IWDPH</v>
      </c>
      <c r="C70" s="251" t="str">
        <f>+Commodities!E69</f>
        <v>Wood products industry Demand Process heat</v>
      </c>
      <c r="D70" s="252" t="str">
        <f>+Commodities!F69</f>
        <v>PJ</v>
      </c>
      <c r="E70" s="253">
        <f t="shared" ca="1" si="40"/>
        <v>40.844932579420586</v>
      </c>
      <c r="F70" s="253">
        <f t="shared" ca="1" si="41"/>
        <v>2.2692058021978028</v>
      </c>
      <c r="G70" s="253">
        <f t="shared" ca="1" si="42"/>
        <v>2.2692058021978028</v>
      </c>
      <c r="I70" s="382" t="str">
        <f>Commodities!AE15</f>
        <v>Wood</v>
      </c>
      <c r="J70" s="222" t="str">
        <f t="shared" si="63"/>
        <v>AQ</v>
      </c>
      <c r="K70" s="222" t="str">
        <f t="shared" si="63"/>
        <v>AR</v>
      </c>
      <c r="L70" s="222" t="str">
        <f t="shared" ref="L70" si="79">+L63</f>
        <v>AS</v>
      </c>
      <c r="M70" s="223">
        <f t="shared" si="63"/>
        <v>26</v>
      </c>
      <c r="N70" s="224">
        <f>+N63</f>
        <v>37</v>
      </c>
      <c r="P70" s="226">
        <f ca="1">+SUM(INDIRECT("'" &amp; I70 &amp; "'!" &amp; "AQ26:AR62")) - SUM(E70:F76)</f>
        <v>0</v>
      </c>
    </row>
    <row r="71" spans="2:16" ht="12.75" customHeight="1">
      <c r="B71" s="164" t="str">
        <f>+Commodities!D70</f>
        <v>IWDCO</v>
      </c>
      <c r="C71" s="164" t="str">
        <f>+Commodities!E70</f>
        <v>Wood products industry Demand Cooling</v>
      </c>
      <c r="D71" s="166" t="str">
        <f>+Commodities!F70</f>
        <v>PJ</v>
      </c>
      <c r="E71" s="171">
        <f t="shared" ref="E71:E97" ca="1" si="80">+SUM(INDIRECT("'" &amp; $I71 &amp; "'!" &amp; J71 &amp; $M71 &amp; IF(ISBLANK($N71),"",":" &amp; J71 &amp; $N71)))</f>
        <v>0</v>
      </c>
      <c r="F71" s="171">
        <f t="shared" ref="F71:F97" ca="1" si="81">+SUM(INDIRECT("'" &amp; $I71 &amp; "'!" &amp; K71 &amp; $M71 &amp; IF(ISBLANK($N71),"",":" &amp; K71 &amp; $N71)))</f>
        <v>0</v>
      </c>
      <c r="G71" s="171">
        <f t="shared" ref="G71:G97" ca="1" si="82">+SUM(INDIRECT("'" &amp; $I71 &amp; "'!" &amp; L71 &amp; $M71 &amp; IF(ISBLANK($N71),"",":" &amp; L71 &amp; $N71)))</f>
        <v>0</v>
      </c>
      <c r="I71" s="221" t="str">
        <f>+I70</f>
        <v>Wood</v>
      </c>
      <c r="J71" s="222" t="str">
        <f t="shared" si="63"/>
        <v>AQ</v>
      </c>
      <c r="K71" s="222" t="str">
        <f t="shared" si="63"/>
        <v>AR</v>
      </c>
      <c r="L71" s="222" t="str">
        <f t="shared" ref="L71" si="83">+L64</f>
        <v>AS</v>
      </c>
      <c r="M71" s="223">
        <f t="shared" si="63"/>
        <v>38</v>
      </c>
      <c r="N71" s="224">
        <f>+N64</f>
        <v>46</v>
      </c>
    </row>
    <row r="72" spans="2:16" ht="12.75" customHeight="1">
      <c r="B72" s="164" t="str">
        <f>+Commodities!D71</f>
        <v>IWDSH</v>
      </c>
      <c r="C72" s="164" t="str">
        <f>+Commodities!E71</f>
        <v>Wood products industry Demand Spatial Heat</v>
      </c>
      <c r="D72" s="166" t="str">
        <f>+Commodities!F71</f>
        <v>PJ</v>
      </c>
      <c r="E72" s="171">
        <f t="shared" ca="1" si="80"/>
        <v>4.0634340779220794</v>
      </c>
      <c r="F72" s="171">
        <f t="shared" ca="1" si="81"/>
        <v>2.5991208791208793E-3</v>
      </c>
      <c r="G72" s="171">
        <f t="shared" ca="1" si="82"/>
        <v>2.5991208791208793E-3</v>
      </c>
      <c r="I72" s="221" t="str">
        <f t="shared" ref="I72:I76" si="84">+I71</f>
        <v>Wood</v>
      </c>
      <c r="J72" s="222" t="str">
        <f t="shared" si="63"/>
        <v>AQ</v>
      </c>
      <c r="K72" s="222" t="str">
        <f t="shared" si="63"/>
        <v>AR</v>
      </c>
      <c r="L72" s="222" t="str">
        <f t="shared" ref="L72" si="85">+L65</f>
        <v>AS</v>
      </c>
      <c r="M72" s="223">
        <f t="shared" si="63"/>
        <v>47</v>
      </c>
      <c r="N72" s="224">
        <f>+N65</f>
        <v>58</v>
      </c>
    </row>
    <row r="73" spans="2:16" ht="12.75" customHeight="1">
      <c r="B73" s="164" t="str">
        <f>+Commodities!D72</f>
        <v>IWDLA</v>
      </c>
      <c r="C73" s="164" t="str">
        <f>+Commodities!E72</f>
        <v>Wood products industry Demand Light</v>
      </c>
      <c r="D73" s="166" t="str">
        <f>+Commodities!F72</f>
        <v>PJ</v>
      </c>
      <c r="E73" s="171">
        <f t="shared" ca="1" si="80"/>
        <v>1.4612415104895109</v>
      </c>
      <c r="F73" s="171">
        <f t="shared" ca="1" si="81"/>
        <v>8.1187084915084931E-2</v>
      </c>
      <c r="G73" s="171">
        <f t="shared" ca="1" si="82"/>
        <v>8.1187084915084931E-2</v>
      </c>
      <c r="I73" s="221" t="str">
        <f t="shared" si="84"/>
        <v>Wood</v>
      </c>
      <c r="J73" s="222" t="str">
        <f t="shared" si="63"/>
        <v>AQ</v>
      </c>
      <c r="K73" s="222" t="str">
        <f t="shared" si="63"/>
        <v>AR</v>
      </c>
      <c r="L73" s="222" t="str">
        <f t="shared" ref="L73" si="86">+L66</f>
        <v>AS</v>
      </c>
      <c r="M73" s="223">
        <f t="shared" si="63"/>
        <v>59</v>
      </c>
      <c r="N73" s="224"/>
    </row>
    <row r="74" spans="2:16" ht="12.75" customHeight="1">
      <c r="B74" s="164" t="str">
        <f>+Commodities!D73</f>
        <v>IWDEM</v>
      </c>
      <c r="C74" s="164" t="str">
        <f>+Commodities!E73</f>
        <v>Wood products industry Demand Electric Motors</v>
      </c>
      <c r="D74" s="166" t="str">
        <f>+Commodities!F73</f>
        <v>PJ</v>
      </c>
      <c r="E74" s="171">
        <f t="shared" ca="1" si="80"/>
        <v>13.151173594405597</v>
      </c>
      <c r="F74" s="171">
        <f t="shared" ca="1" si="81"/>
        <v>0.73062075524475534</v>
      </c>
      <c r="G74" s="171">
        <f t="shared" ca="1" si="82"/>
        <v>0.73062075524475534</v>
      </c>
      <c r="I74" s="221" t="str">
        <f t="shared" si="84"/>
        <v>Wood</v>
      </c>
      <c r="J74" s="222" t="str">
        <f t="shared" si="63"/>
        <v>AQ</v>
      </c>
      <c r="K74" s="222" t="str">
        <f t="shared" si="63"/>
        <v>AR</v>
      </c>
      <c r="L74" s="222" t="str">
        <f t="shared" ref="L74" si="87">+L67</f>
        <v>AS</v>
      </c>
      <c r="M74" s="223">
        <f t="shared" si="63"/>
        <v>60</v>
      </c>
      <c r="N74" s="224"/>
    </row>
    <row r="75" spans="2:16" ht="12.75" customHeight="1">
      <c r="B75" s="164" t="str">
        <f>+Commodities!D74</f>
        <v>IWDTF</v>
      </c>
      <c r="C75" s="164" t="str">
        <f>+Commodities!E74</f>
        <v>Wood products industry Demand Haulage Tractors, Trucks, Fishing boats, Forest machines</v>
      </c>
      <c r="D75" s="166" t="str">
        <f>+Commodities!F74</f>
        <v>PJ</v>
      </c>
      <c r="E75" s="171">
        <f t="shared" ca="1" si="80"/>
        <v>1.5828331108891112</v>
      </c>
      <c r="F75" s="171">
        <f t="shared" ca="1" si="81"/>
        <v>8.7944799200799215E-2</v>
      </c>
      <c r="G75" s="171">
        <f t="shared" ca="1" si="82"/>
        <v>8.7944799200799215E-2</v>
      </c>
      <c r="I75" s="221" t="str">
        <f t="shared" si="84"/>
        <v>Wood</v>
      </c>
      <c r="J75" s="222" t="str">
        <f t="shared" si="63"/>
        <v>AQ</v>
      </c>
      <c r="K75" s="222" t="str">
        <f t="shared" si="63"/>
        <v>AR</v>
      </c>
      <c r="L75" s="222" t="str">
        <f t="shared" ref="L75" si="88">+L68</f>
        <v>AS</v>
      </c>
      <c r="M75" s="223">
        <f t="shared" si="63"/>
        <v>61</v>
      </c>
      <c r="N75" s="224"/>
    </row>
    <row r="76" spans="2:16" ht="12.75" customHeight="1">
      <c r="B76" s="164" t="str">
        <f>+Commodities!D75</f>
        <v>IWDFL</v>
      </c>
      <c r="C76" s="164" t="str">
        <f>+Commodities!E75</f>
        <v>Wood products industry Demand Haulage Forklifts</v>
      </c>
      <c r="D76" s="166" t="str">
        <f>+Commodities!F75</f>
        <v>PJ</v>
      </c>
      <c r="E76" s="171">
        <f t="shared" ca="1" si="80"/>
        <v>3.1079184815184818E-2</v>
      </c>
      <c r="F76" s="171">
        <f t="shared" ca="1" si="81"/>
        <v>1.732747252747253E-3</v>
      </c>
      <c r="G76" s="171">
        <f t="shared" ca="1" si="82"/>
        <v>1.732747252747253E-3</v>
      </c>
      <c r="I76" s="221" t="str">
        <f t="shared" si="84"/>
        <v>Wood</v>
      </c>
      <c r="J76" s="222" t="str">
        <f t="shared" si="63"/>
        <v>AQ</v>
      </c>
      <c r="K76" s="222" t="str">
        <f t="shared" si="63"/>
        <v>AR</v>
      </c>
      <c r="L76" s="222" t="str">
        <f t="shared" ref="L76" si="89">+L69</f>
        <v>AS</v>
      </c>
      <c r="M76" s="223">
        <f t="shared" si="63"/>
        <v>62</v>
      </c>
      <c r="N76" s="224"/>
    </row>
    <row r="77" spans="2:16" ht="12.75" customHeight="1">
      <c r="B77" s="251" t="str">
        <f>+Commodities!D76</f>
        <v>ILDPH</v>
      </c>
      <c r="C77" s="251" t="str">
        <f>+Commodities!E76</f>
        <v>Textile &amp; Leather Demand Process heat</v>
      </c>
      <c r="D77" s="252" t="str">
        <f>+Commodities!F76</f>
        <v>PJ</v>
      </c>
      <c r="E77" s="253">
        <f t="shared" ca="1" si="80"/>
        <v>11.895042101898104</v>
      </c>
      <c r="F77" s="253">
        <f t="shared" ca="1" si="81"/>
        <v>0.6608855544455543</v>
      </c>
      <c r="G77" s="253">
        <f t="shared" ca="1" si="82"/>
        <v>0.6608855544455543</v>
      </c>
      <c r="I77" s="382" t="str">
        <f>Commodities!AE16</f>
        <v>TextileLeather</v>
      </c>
      <c r="J77" s="222" t="str">
        <f t="shared" ref="J77:M90" si="90">+J70</f>
        <v>AQ</v>
      </c>
      <c r="K77" s="222" t="str">
        <f t="shared" si="90"/>
        <v>AR</v>
      </c>
      <c r="L77" s="222" t="str">
        <f t="shared" ref="L77" si="91">+L70</f>
        <v>AS</v>
      </c>
      <c r="M77" s="223">
        <f t="shared" si="90"/>
        <v>26</v>
      </c>
      <c r="N77" s="224">
        <f>+N70</f>
        <v>37</v>
      </c>
      <c r="P77" s="226">
        <f ca="1">+SUM(INDIRECT("'" &amp; I77 &amp; "'!" &amp; "AQ26:AR62")) - SUM(E77:F83)</f>
        <v>0</v>
      </c>
    </row>
    <row r="78" spans="2:16" ht="12.75" customHeight="1">
      <c r="B78" s="164" t="str">
        <f>+Commodities!D77</f>
        <v>ILDCO</v>
      </c>
      <c r="C78" s="164" t="str">
        <f>+Commodities!E77</f>
        <v>Textile &amp; Leather Demand Cooling</v>
      </c>
      <c r="D78" s="254" t="str">
        <f>+Commodities!F77</f>
        <v>PJ</v>
      </c>
      <c r="E78" s="255">
        <f t="shared" ca="1" si="80"/>
        <v>0.73370819580419588</v>
      </c>
      <c r="F78" s="255">
        <f t="shared" ca="1" si="81"/>
        <v>8.1533634365634378E-2</v>
      </c>
      <c r="G78" s="255">
        <f t="shared" ca="1" si="82"/>
        <v>0</v>
      </c>
      <c r="I78" s="221" t="str">
        <f>+I77</f>
        <v>TextileLeather</v>
      </c>
      <c r="J78" s="222" t="str">
        <f t="shared" si="90"/>
        <v>AQ</v>
      </c>
      <c r="K78" s="222" t="str">
        <f t="shared" si="90"/>
        <v>AR</v>
      </c>
      <c r="L78" s="222" t="str">
        <f t="shared" ref="L78" si="92">+L71</f>
        <v>AS</v>
      </c>
      <c r="M78" s="223">
        <f t="shared" si="90"/>
        <v>38</v>
      </c>
      <c r="N78" s="224">
        <f>+N71</f>
        <v>46</v>
      </c>
    </row>
    <row r="79" spans="2:16" ht="12.75" customHeight="1">
      <c r="B79" s="164" t="str">
        <f>+Commodities!D78</f>
        <v>ILDSH</v>
      </c>
      <c r="C79" s="164" t="str">
        <f>+Commodities!E78</f>
        <v>Textile &amp; Leather Demand Spatial Heat</v>
      </c>
      <c r="D79" s="166" t="str">
        <f>+Commodities!F78</f>
        <v>PJ</v>
      </c>
      <c r="E79" s="171">
        <f t="shared" ca="1" si="80"/>
        <v>2.7257689510489516</v>
      </c>
      <c r="F79" s="171">
        <f t="shared" ca="1" si="81"/>
        <v>1.6980923076923077E-2</v>
      </c>
      <c r="G79" s="171">
        <f t="shared" ca="1" si="82"/>
        <v>1.6980923076923077E-2</v>
      </c>
      <c r="I79" s="221" t="str">
        <f t="shared" ref="I79:I83" si="93">+I78</f>
        <v>TextileLeather</v>
      </c>
      <c r="J79" s="222" t="str">
        <f t="shared" si="90"/>
        <v>AQ</v>
      </c>
      <c r="K79" s="222" t="str">
        <f t="shared" si="90"/>
        <v>AR</v>
      </c>
      <c r="L79" s="222" t="str">
        <f t="shared" ref="L79" si="94">+L72</f>
        <v>AS</v>
      </c>
      <c r="M79" s="223">
        <f t="shared" si="90"/>
        <v>47</v>
      </c>
      <c r="N79" s="224">
        <f>+N72</f>
        <v>58</v>
      </c>
    </row>
    <row r="80" spans="2:16" ht="12.75" customHeight="1">
      <c r="B80" s="164" t="str">
        <f>+Commodities!D79</f>
        <v>ILDLA</v>
      </c>
      <c r="C80" s="164" t="str">
        <f>+Commodities!E79</f>
        <v>Textile &amp; Leather Demand Light</v>
      </c>
      <c r="D80" s="166" t="str">
        <f>+Commodities!F79</f>
        <v>PJ</v>
      </c>
      <c r="E80" s="171">
        <f t="shared" ca="1" si="80"/>
        <v>1.3670903256743261</v>
      </c>
      <c r="F80" s="171">
        <f t="shared" ca="1" si="81"/>
        <v>7.5957338661338664E-2</v>
      </c>
      <c r="G80" s="171">
        <f t="shared" ca="1" si="82"/>
        <v>7.5957338661338664E-2</v>
      </c>
      <c r="I80" s="221" t="str">
        <f t="shared" si="93"/>
        <v>TextileLeather</v>
      </c>
      <c r="J80" s="222" t="str">
        <f t="shared" si="90"/>
        <v>AQ</v>
      </c>
      <c r="K80" s="222" t="str">
        <f t="shared" si="90"/>
        <v>AR</v>
      </c>
      <c r="L80" s="222" t="str">
        <f t="shared" ref="L80" si="95">+L73</f>
        <v>AS</v>
      </c>
      <c r="M80" s="223">
        <f t="shared" si="90"/>
        <v>59</v>
      </c>
      <c r="N80" s="224"/>
    </row>
    <row r="81" spans="2:16" ht="12.75" customHeight="1">
      <c r="B81" s="164" t="str">
        <f>+Commodities!D80</f>
        <v>ILDEM</v>
      </c>
      <c r="C81" s="164" t="str">
        <f>+Commodities!E80</f>
        <v>Textile &amp; Leather Demand Electric Motors</v>
      </c>
      <c r="D81" s="166" t="str">
        <f>+Commodities!F80</f>
        <v>PJ</v>
      </c>
      <c r="E81" s="171">
        <f t="shared" ca="1" si="80"/>
        <v>3.9404247752247761</v>
      </c>
      <c r="F81" s="171">
        <f t="shared" ca="1" si="81"/>
        <v>0.2189247392607393</v>
      </c>
      <c r="G81" s="171">
        <f t="shared" ca="1" si="82"/>
        <v>0.2189247392607393</v>
      </c>
      <c r="I81" s="221" t="str">
        <f t="shared" si="93"/>
        <v>TextileLeather</v>
      </c>
      <c r="J81" s="222" t="str">
        <f t="shared" si="90"/>
        <v>AQ</v>
      </c>
      <c r="K81" s="222" t="str">
        <f t="shared" si="90"/>
        <v>AR</v>
      </c>
      <c r="L81" s="222" t="str">
        <f t="shared" ref="L81" si="96">+L74</f>
        <v>AS</v>
      </c>
      <c r="M81" s="223">
        <f t="shared" si="90"/>
        <v>60</v>
      </c>
      <c r="N81" s="224"/>
    </row>
    <row r="82" spans="2:16" ht="12.75" customHeight="1">
      <c r="B82" s="164" t="str">
        <f>+Commodities!D81</f>
        <v>ILDTF</v>
      </c>
      <c r="C82" s="164" t="str">
        <f>+Commodities!E81</f>
        <v>Textile &amp; Leather Demand Haulage Tractors, Trucks, Fishing boats, Forest machines</v>
      </c>
      <c r="D82" s="166" t="str">
        <f>+Commodities!F81</f>
        <v>PJ</v>
      </c>
      <c r="E82" s="171">
        <f t="shared" ca="1" si="80"/>
        <v>1.2353857822177825</v>
      </c>
      <c r="F82" s="171">
        <f t="shared" ca="1" si="81"/>
        <v>6.863254345654346E-2</v>
      </c>
      <c r="G82" s="171">
        <f t="shared" ca="1" si="82"/>
        <v>6.863254345654346E-2</v>
      </c>
      <c r="I82" s="221" t="str">
        <f t="shared" si="93"/>
        <v>TextileLeather</v>
      </c>
      <c r="J82" s="222" t="str">
        <f t="shared" si="90"/>
        <v>AQ</v>
      </c>
      <c r="K82" s="222" t="str">
        <f t="shared" si="90"/>
        <v>AR</v>
      </c>
      <c r="L82" s="222" t="str">
        <f t="shared" ref="L82" si="97">+L75</f>
        <v>AS</v>
      </c>
      <c r="M82" s="223">
        <f t="shared" si="90"/>
        <v>61</v>
      </c>
      <c r="N82" s="224"/>
    </row>
    <row r="83" spans="2:16" ht="12.75" customHeight="1">
      <c r="B83" s="164" t="str">
        <f>+Commodities!D82</f>
        <v>ILDFL</v>
      </c>
      <c r="C83" s="164" t="str">
        <f>+Commodities!E82</f>
        <v>Textile &amp; Leather Demand Haulage Forklifts</v>
      </c>
      <c r="D83" s="166" t="str">
        <f>+Commodities!F82</f>
        <v>PJ</v>
      </c>
      <c r="E83" s="171">
        <f t="shared" ca="1" si="80"/>
        <v>3.1079184815184818E-2</v>
      </c>
      <c r="F83" s="171">
        <f t="shared" ca="1" si="81"/>
        <v>1.732747252747253E-3</v>
      </c>
      <c r="G83" s="171">
        <f t="shared" ca="1" si="82"/>
        <v>1.732747252747253E-3</v>
      </c>
      <c r="I83" s="221" t="str">
        <f t="shared" si="93"/>
        <v>TextileLeather</v>
      </c>
      <c r="J83" s="222" t="str">
        <f t="shared" si="90"/>
        <v>AQ</v>
      </c>
      <c r="K83" s="222" t="str">
        <f t="shared" si="90"/>
        <v>AR</v>
      </c>
      <c r="L83" s="222" t="str">
        <f t="shared" ref="L83" si="98">+L76</f>
        <v>AS</v>
      </c>
      <c r="M83" s="223">
        <f t="shared" si="90"/>
        <v>62</v>
      </c>
      <c r="N83" s="224"/>
    </row>
    <row r="84" spans="2:16" ht="12.75" customHeight="1">
      <c r="B84" s="251" t="str">
        <f>+Commodities!D83</f>
        <v>INDPH</v>
      </c>
      <c r="C84" s="251" t="str">
        <f>+Commodities!E83</f>
        <v>Construction Demand Process heat</v>
      </c>
      <c r="D84" s="252" t="str">
        <f>+Commodities!F83</f>
        <v>PJ</v>
      </c>
      <c r="E84" s="253">
        <f t="shared" ca="1" si="80"/>
        <v>19.253058797202801</v>
      </c>
      <c r="F84" s="253">
        <f t="shared" ca="1" si="81"/>
        <v>1.0696248791208796</v>
      </c>
      <c r="G84" s="253">
        <f t="shared" ca="1" si="82"/>
        <v>1.0696248791208796</v>
      </c>
      <c r="I84" s="382" t="str">
        <f>Commodities!AE17</f>
        <v>Construction</v>
      </c>
      <c r="J84" s="222" t="str">
        <f t="shared" si="90"/>
        <v>AQ</v>
      </c>
      <c r="K84" s="222" t="str">
        <f t="shared" si="90"/>
        <v>AR</v>
      </c>
      <c r="L84" s="222" t="str">
        <f t="shared" ref="L84" si="99">+L77</f>
        <v>AS</v>
      </c>
      <c r="M84" s="223">
        <f t="shared" si="90"/>
        <v>26</v>
      </c>
      <c r="N84" s="224">
        <f>+N77</f>
        <v>37</v>
      </c>
      <c r="P84" s="226">
        <f ca="1">+SUM(INDIRECT("'" &amp; I84 &amp; "'!" &amp; "AQ26:AR62")) - SUM(E84:F90)</f>
        <v>0</v>
      </c>
    </row>
    <row r="85" spans="2:16" ht="12.75" customHeight="1">
      <c r="B85" s="164" t="str">
        <f>+Commodities!D84</f>
        <v>INDCO</v>
      </c>
      <c r="C85" s="164" t="str">
        <f>+Commodities!E84</f>
        <v>Construction Demand Cooling</v>
      </c>
      <c r="D85" s="166" t="str">
        <f>+Commodities!F84</f>
        <v>PJ</v>
      </c>
      <c r="E85" s="171">
        <f t="shared" ca="1" si="80"/>
        <v>0</v>
      </c>
      <c r="F85" s="171">
        <f t="shared" ca="1" si="81"/>
        <v>0</v>
      </c>
      <c r="G85" s="171">
        <f t="shared" ca="1" si="82"/>
        <v>0</v>
      </c>
      <c r="I85" s="221" t="str">
        <f>+I84</f>
        <v>Construction</v>
      </c>
      <c r="J85" s="222" t="str">
        <f t="shared" si="90"/>
        <v>AQ</v>
      </c>
      <c r="K85" s="222" t="str">
        <f t="shared" si="90"/>
        <v>AR</v>
      </c>
      <c r="L85" s="222" t="str">
        <f t="shared" ref="L85" si="100">+L78</f>
        <v>AS</v>
      </c>
      <c r="M85" s="223">
        <f t="shared" si="90"/>
        <v>38</v>
      </c>
      <c r="N85" s="224">
        <f>+N78</f>
        <v>46</v>
      </c>
    </row>
    <row r="86" spans="2:16" ht="12.75" customHeight="1">
      <c r="B86" s="164" t="str">
        <f>+Commodities!D85</f>
        <v>INDSH</v>
      </c>
      <c r="C86" s="164" t="str">
        <f>+Commodities!E85</f>
        <v>Construction Demand Spatial Heat</v>
      </c>
      <c r="D86" s="166" t="str">
        <f>+Commodities!F85</f>
        <v>PJ</v>
      </c>
      <c r="E86" s="171">
        <f t="shared" ca="1" si="80"/>
        <v>0.48940658541458554</v>
      </c>
      <c r="F86" s="171">
        <f t="shared" ca="1" si="81"/>
        <v>2.7204131868131868E-2</v>
      </c>
      <c r="G86" s="171">
        <f t="shared" ca="1" si="82"/>
        <v>2.7204131868131868E-2</v>
      </c>
      <c r="I86" s="221" t="str">
        <f t="shared" ref="I86:I90" si="101">+I85</f>
        <v>Construction</v>
      </c>
      <c r="J86" s="222" t="str">
        <f t="shared" si="90"/>
        <v>AQ</v>
      </c>
      <c r="K86" s="222" t="str">
        <f t="shared" si="90"/>
        <v>AR</v>
      </c>
      <c r="L86" s="222" t="str">
        <f t="shared" ref="L86" si="102">+L79</f>
        <v>AS</v>
      </c>
      <c r="M86" s="223">
        <f t="shared" si="90"/>
        <v>47</v>
      </c>
      <c r="N86" s="224">
        <f>+N79</f>
        <v>58</v>
      </c>
    </row>
    <row r="87" spans="2:16" ht="12.75" customHeight="1">
      <c r="B87" s="164" t="str">
        <f>+Commodities!D86</f>
        <v>INDLA</v>
      </c>
      <c r="C87" s="164" t="str">
        <f>+Commodities!E86</f>
        <v>Construction Demand Light</v>
      </c>
      <c r="D87" s="166" t="str">
        <f>+Commodities!F86</f>
        <v>PJ</v>
      </c>
      <c r="E87" s="171">
        <f t="shared" ca="1" si="80"/>
        <v>2.1894364195804203</v>
      </c>
      <c r="F87" s="171">
        <f t="shared" ca="1" si="81"/>
        <v>0.12163885714285716</v>
      </c>
      <c r="G87" s="171">
        <f t="shared" ca="1" si="82"/>
        <v>0.12163885714285716</v>
      </c>
      <c r="I87" s="221" t="str">
        <f t="shared" si="101"/>
        <v>Construction</v>
      </c>
      <c r="J87" s="222" t="str">
        <f t="shared" si="90"/>
        <v>AQ</v>
      </c>
      <c r="K87" s="222" t="str">
        <f t="shared" si="90"/>
        <v>AR</v>
      </c>
      <c r="L87" s="222" t="str">
        <f t="shared" ref="L87" si="103">+L80</f>
        <v>AS</v>
      </c>
      <c r="M87" s="223">
        <f t="shared" si="90"/>
        <v>59</v>
      </c>
      <c r="N87" s="224"/>
    </row>
    <row r="88" spans="2:16" ht="12.75" customHeight="1">
      <c r="B88" s="164" t="str">
        <f>+Commodities!D87</f>
        <v>INDEM</v>
      </c>
      <c r="C88" s="164" t="str">
        <f>+Commodities!E87</f>
        <v>Construction Demand Electric Motors</v>
      </c>
      <c r="D88" s="166" t="str">
        <f>+Commodities!F87</f>
        <v>PJ</v>
      </c>
      <c r="E88" s="171">
        <f t="shared" ca="1" si="80"/>
        <v>10.174424079920081</v>
      </c>
      <c r="F88" s="171">
        <f t="shared" ca="1" si="81"/>
        <v>0.56525365834165842</v>
      </c>
      <c r="G88" s="171">
        <f t="shared" ca="1" si="82"/>
        <v>0.56525365834165842</v>
      </c>
      <c r="I88" s="221" t="str">
        <f t="shared" si="101"/>
        <v>Construction</v>
      </c>
      <c r="J88" s="222" t="str">
        <f t="shared" si="90"/>
        <v>AQ</v>
      </c>
      <c r="K88" s="222" t="str">
        <f t="shared" si="90"/>
        <v>AR</v>
      </c>
      <c r="L88" s="222" t="str">
        <f t="shared" ref="L88" si="104">+L81</f>
        <v>AS</v>
      </c>
      <c r="M88" s="223">
        <f t="shared" si="90"/>
        <v>60</v>
      </c>
      <c r="N88" s="224"/>
    </row>
    <row r="89" spans="2:16" ht="12.75" customHeight="1">
      <c r="B89" s="164" t="str">
        <f>+Commodities!D88</f>
        <v>INDTF</v>
      </c>
      <c r="C89" s="164" t="str">
        <f>+Commodities!E88</f>
        <v>Construction Demand Haulage Tractors, Trucks, Fishing boats, Forest machines</v>
      </c>
      <c r="D89" s="166" t="str">
        <f>+Commodities!F88</f>
        <v>PJ</v>
      </c>
      <c r="E89" s="171">
        <f t="shared" ca="1" si="80"/>
        <v>0</v>
      </c>
      <c r="F89" s="171">
        <f t="shared" ca="1" si="81"/>
        <v>0</v>
      </c>
      <c r="G89" s="171">
        <f t="shared" ca="1" si="82"/>
        <v>0</v>
      </c>
      <c r="I89" s="221" t="str">
        <f t="shared" si="101"/>
        <v>Construction</v>
      </c>
      <c r="J89" s="222" t="str">
        <f t="shared" si="90"/>
        <v>AQ</v>
      </c>
      <c r="K89" s="222" t="str">
        <f t="shared" si="90"/>
        <v>AR</v>
      </c>
      <c r="L89" s="222" t="str">
        <f t="shared" ref="L89" si="105">+L82</f>
        <v>AS</v>
      </c>
      <c r="M89" s="223">
        <f t="shared" si="90"/>
        <v>61</v>
      </c>
      <c r="N89" s="224"/>
    </row>
    <row r="90" spans="2:16" ht="12.75" customHeight="1">
      <c r="B90" s="164" t="str">
        <f>+Commodities!D89</f>
        <v>INDFL</v>
      </c>
      <c r="C90" s="164" t="str">
        <f>+Commodities!E89</f>
        <v>Construction Demand Haulage Forklifts</v>
      </c>
      <c r="D90" s="166" t="str">
        <f>+Commodities!F89</f>
        <v>PJ</v>
      </c>
      <c r="E90" s="171">
        <f t="shared" ca="1" si="80"/>
        <v>0</v>
      </c>
      <c r="F90" s="171">
        <f t="shared" ca="1" si="81"/>
        <v>0</v>
      </c>
      <c r="G90" s="171">
        <f t="shared" ca="1" si="82"/>
        <v>0</v>
      </c>
      <c r="I90" s="221" t="str">
        <f t="shared" si="101"/>
        <v>Construction</v>
      </c>
      <c r="J90" s="222" t="str">
        <f t="shared" si="90"/>
        <v>AQ</v>
      </c>
      <c r="K90" s="222" t="str">
        <f t="shared" si="90"/>
        <v>AR</v>
      </c>
      <c r="L90" s="222" t="str">
        <f t="shared" ref="L90" si="106">+L83</f>
        <v>AS</v>
      </c>
      <c r="M90" s="223">
        <f t="shared" si="90"/>
        <v>62</v>
      </c>
      <c r="N90" s="224"/>
    </row>
    <row r="91" spans="2:16" ht="12.75" customHeight="1">
      <c r="B91" s="251" t="str">
        <f>+Commodities!D90</f>
        <v>IODPH</v>
      </c>
      <c r="C91" s="251" t="str">
        <f>+Commodities!E90</f>
        <v>Other comm Demand Process heat</v>
      </c>
      <c r="D91" s="252" t="str">
        <f>+Commodities!F90</f>
        <v>PJ</v>
      </c>
      <c r="E91" s="253">
        <f t="shared" ca="1" si="80"/>
        <v>33.540394765234765</v>
      </c>
      <c r="F91" s="253">
        <f t="shared" ca="1" si="81"/>
        <v>1.8634279000999006</v>
      </c>
      <c r="G91" s="253">
        <f t="shared" ca="1" si="82"/>
        <v>1.8634279000999006</v>
      </c>
      <c r="I91" s="382" t="str">
        <f>Commodities!AE18</f>
        <v>Other</v>
      </c>
      <c r="J91" s="222" t="str">
        <f t="shared" ref="J91:M91" si="107">+J84</f>
        <v>AQ</v>
      </c>
      <c r="K91" s="222" t="str">
        <f t="shared" si="107"/>
        <v>AR</v>
      </c>
      <c r="L91" s="222" t="str">
        <f t="shared" ref="L91" si="108">+L84</f>
        <v>AS</v>
      </c>
      <c r="M91" s="223">
        <f t="shared" si="107"/>
        <v>26</v>
      </c>
      <c r="N91" s="224">
        <f>+N84</f>
        <v>37</v>
      </c>
      <c r="P91" s="226">
        <f ca="1">+SUM(INDIRECT("'" &amp; I91 &amp; "'!" &amp; "AQ26:AR62")) - SUM(E91:F97)</f>
        <v>0</v>
      </c>
    </row>
    <row r="92" spans="2:16" ht="12.75" customHeight="1">
      <c r="B92" s="164" t="str">
        <f>+Commodities!D91</f>
        <v>IODCO</v>
      </c>
      <c r="C92" s="164" t="str">
        <f>+Commodities!E91</f>
        <v>Other comm Demand Cooling</v>
      </c>
      <c r="D92" s="166" t="str">
        <f>+Commodities!F91</f>
        <v>PJ</v>
      </c>
      <c r="E92" s="171">
        <f t="shared" ca="1" si="80"/>
        <v>5.1734949770229779</v>
      </c>
      <c r="F92" s="171">
        <f t="shared" ca="1" si="81"/>
        <v>0.57484677722277722</v>
      </c>
      <c r="G92" s="171">
        <f t="shared" ca="1" si="82"/>
        <v>0</v>
      </c>
      <c r="I92" s="383" t="str">
        <f>+I91</f>
        <v>Other</v>
      </c>
      <c r="J92" s="222" t="str">
        <f t="shared" ref="J92:M92" si="109">+J85</f>
        <v>AQ</v>
      </c>
      <c r="K92" s="222" t="str">
        <f t="shared" si="109"/>
        <v>AR</v>
      </c>
      <c r="L92" s="222" t="str">
        <f t="shared" ref="L92" si="110">+L85</f>
        <v>AS</v>
      </c>
      <c r="M92" s="223">
        <f t="shared" si="109"/>
        <v>38</v>
      </c>
      <c r="N92" s="224">
        <f>+N85</f>
        <v>46</v>
      </c>
    </row>
    <row r="93" spans="2:16" ht="12.75" customHeight="1">
      <c r="B93" s="164" t="str">
        <f>+Commodities!D92</f>
        <v>IODSH</v>
      </c>
      <c r="C93" s="164" t="str">
        <f>+Commodities!E92</f>
        <v>Other comm Demand Spatial Heat</v>
      </c>
      <c r="D93" s="166" t="str">
        <f>+Commodities!F92</f>
        <v>PJ</v>
      </c>
      <c r="E93" s="171">
        <f t="shared" ca="1" si="80"/>
        <v>7.7926999720279717</v>
      </c>
      <c r="F93" s="171">
        <f t="shared" ca="1" si="81"/>
        <v>8.9787812187812205E-2</v>
      </c>
      <c r="G93" s="171">
        <f t="shared" ca="1" si="82"/>
        <v>8.9787812187812205E-2</v>
      </c>
      <c r="I93" s="383" t="str">
        <f t="shared" ref="I93:I97" si="111">+I92</f>
        <v>Other</v>
      </c>
      <c r="J93" s="222" t="str">
        <f t="shared" ref="J93:M93" si="112">+J86</f>
        <v>AQ</v>
      </c>
      <c r="K93" s="222" t="str">
        <f t="shared" si="112"/>
        <v>AR</v>
      </c>
      <c r="L93" s="222" t="str">
        <f t="shared" ref="L93" si="113">+L86</f>
        <v>AS</v>
      </c>
      <c r="M93" s="223">
        <f t="shared" si="112"/>
        <v>47</v>
      </c>
      <c r="N93" s="224">
        <f>+N86</f>
        <v>58</v>
      </c>
    </row>
    <row r="94" spans="2:16" ht="12.75" customHeight="1">
      <c r="B94" s="164" t="str">
        <f>+Commodities!D93</f>
        <v>IODLA</v>
      </c>
      <c r="C94" s="164" t="str">
        <f>+Commodities!E93</f>
        <v>Other comm Demand Light</v>
      </c>
      <c r="D94" s="166" t="str">
        <f>+Commodities!F93</f>
        <v>PJ</v>
      </c>
      <c r="E94" s="171">
        <f t="shared" ca="1" si="80"/>
        <v>9.0725228451548467</v>
      </c>
      <c r="F94" s="171">
        <f t="shared" ca="1" si="81"/>
        <v>0.50404042357642376</v>
      </c>
      <c r="G94" s="171">
        <f t="shared" ca="1" si="82"/>
        <v>0.50404042357642376</v>
      </c>
      <c r="I94" s="383" t="str">
        <f t="shared" si="111"/>
        <v>Other</v>
      </c>
      <c r="J94" s="222" t="str">
        <f t="shared" ref="J94:M94" si="114">+J87</f>
        <v>AQ</v>
      </c>
      <c r="K94" s="222" t="str">
        <f t="shared" si="114"/>
        <v>AR</v>
      </c>
      <c r="L94" s="222" t="str">
        <f t="shared" ref="L94" si="115">+L87</f>
        <v>AS</v>
      </c>
      <c r="M94" s="223">
        <f t="shared" si="114"/>
        <v>59</v>
      </c>
      <c r="N94" s="224"/>
    </row>
    <row r="95" spans="2:16" ht="12.75" customHeight="1">
      <c r="B95" s="164" t="str">
        <f>+Commodities!D94</f>
        <v>IODEM</v>
      </c>
      <c r="C95" s="164" t="str">
        <f>+Commodities!E94</f>
        <v>Other comm Demand Electric Motors</v>
      </c>
      <c r="D95" s="166" t="str">
        <f>+Commodities!F94</f>
        <v>PJ</v>
      </c>
      <c r="E95" s="171">
        <f t="shared" ca="1" si="80"/>
        <v>34.588990393606402</v>
      </c>
      <c r="F95" s="171">
        <f t="shared" ca="1" si="81"/>
        <v>1.9216167032967038</v>
      </c>
      <c r="G95" s="171">
        <f t="shared" ca="1" si="82"/>
        <v>1.9216167032967038</v>
      </c>
      <c r="I95" s="383" t="str">
        <f t="shared" si="111"/>
        <v>Other</v>
      </c>
      <c r="J95" s="222" t="str">
        <f t="shared" ref="J95:M95" si="116">+J88</f>
        <v>AQ</v>
      </c>
      <c r="K95" s="222" t="str">
        <f t="shared" si="116"/>
        <v>AR</v>
      </c>
      <c r="L95" s="222" t="str">
        <f t="shared" ref="L95" si="117">+L88</f>
        <v>AS</v>
      </c>
      <c r="M95" s="223">
        <f t="shared" si="116"/>
        <v>60</v>
      </c>
      <c r="N95" s="224"/>
    </row>
    <row r="96" spans="2:16" ht="12.75" customHeight="1">
      <c r="B96" s="164" t="str">
        <f>+Commodities!D95</f>
        <v>IODTF</v>
      </c>
      <c r="C96" s="164" t="str">
        <f>+Commodities!E95</f>
        <v>Other comm Demand Haulage Tractors, Trucks, Fishing boats, Forest machines</v>
      </c>
      <c r="D96" s="166" t="str">
        <f>+Commodities!F95</f>
        <v>PJ</v>
      </c>
      <c r="E96" s="171">
        <f t="shared" ca="1" si="80"/>
        <v>9.2653303576423607</v>
      </c>
      <c r="F96" s="171">
        <f t="shared" ca="1" si="81"/>
        <v>0.5147519520479521</v>
      </c>
      <c r="G96" s="171">
        <f t="shared" ca="1" si="82"/>
        <v>0.5147519520479521</v>
      </c>
      <c r="I96" s="383" t="str">
        <f t="shared" si="111"/>
        <v>Other</v>
      </c>
      <c r="J96" s="222" t="str">
        <f t="shared" ref="J96:M96" si="118">+J89</f>
        <v>AQ</v>
      </c>
      <c r="K96" s="222" t="str">
        <f t="shared" si="118"/>
        <v>AR</v>
      </c>
      <c r="L96" s="222" t="str">
        <f t="shared" ref="L96" si="119">+L89</f>
        <v>AS</v>
      </c>
      <c r="M96" s="223">
        <f t="shared" si="118"/>
        <v>61</v>
      </c>
      <c r="N96" s="224"/>
    </row>
    <row r="97" spans="2:16" ht="12.75" customHeight="1">
      <c r="B97" s="164" t="str">
        <f>+Commodities!D96</f>
        <v>IODFL</v>
      </c>
      <c r="C97" s="164" t="str">
        <f>+Commodities!E96</f>
        <v>Other comm Demand Haulage Forklifts</v>
      </c>
      <c r="D97" s="166" t="str">
        <f>+Commodities!F96</f>
        <v>PJ</v>
      </c>
      <c r="E97" s="171">
        <f t="shared" ca="1" si="80"/>
        <v>1.0605830889110892</v>
      </c>
      <c r="F97" s="171">
        <f t="shared" ca="1" si="81"/>
        <v>5.8929158841158846E-2</v>
      </c>
      <c r="G97" s="171">
        <f t="shared" ca="1" si="82"/>
        <v>5.8929158841158846E-2</v>
      </c>
      <c r="I97" s="383" t="str">
        <f t="shared" si="111"/>
        <v>Other</v>
      </c>
      <c r="J97" s="222" t="str">
        <f t="shared" ref="J97:M97" si="120">+J90</f>
        <v>AQ</v>
      </c>
      <c r="K97" s="222" t="str">
        <f t="shared" si="120"/>
        <v>AR</v>
      </c>
      <c r="L97" s="222" t="str">
        <f t="shared" ref="L97" si="121">+L90</f>
        <v>AS</v>
      </c>
      <c r="M97" s="223">
        <f t="shared" si="120"/>
        <v>62</v>
      </c>
      <c r="N97" s="224"/>
    </row>
    <row r="100" spans="2:16" ht="26.25" customHeight="1"/>
    <row r="102" spans="2:16" ht="12.75" customHeight="1">
      <c r="B102" s="262">
        <v>2015</v>
      </c>
      <c r="C102" s="262" t="s">
        <v>86</v>
      </c>
    </row>
    <row r="103" spans="2:16" ht="12.75" customHeight="1">
      <c r="B103" s="285"/>
      <c r="C103" s="285"/>
      <c r="D103" s="285"/>
      <c r="E103" s="285"/>
      <c r="F103" s="285"/>
      <c r="G103" s="285"/>
      <c r="I103" s="211" t="s">
        <v>244</v>
      </c>
      <c r="J103" s="211"/>
      <c r="K103" s="211"/>
      <c r="L103" s="211"/>
      <c r="M103" s="211"/>
      <c r="N103" s="211"/>
    </row>
    <row r="104" spans="2:16" ht="12.75" customHeight="1">
      <c r="B104" s="168" t="s">
        <v>202</v>
      </c>
      <c r="D104" s="235" t="s">
        <v>154</v>
      </c>
      <c r="E104" s="234">
        <v>7</v>
      </c>
      <c r="F104" s="285"/>
      <c r="G104" s="285"/>
    </row>
    <row r="105" spans="2:16" ht="12.75" customHeight="1">
      <c r="B105" s="285"/>
      <c r="C105" s="285"/>
      <c r="D105" s="285"/>
      <c r="E105" s="285"/>
      <c r="F105" s="285"/>
      <c r="G105" s="285"/>
      <c r="I105" s="213" t="s">
        <v>188</v>
      </c>
      <c r="J105" s="213"/>
      <c r="K105" s="213"/>
      <c r="L105" s="213"/>
      <c r="M105" s="213"/>
      <c r="N105" s="213"/>
    </row>
    <row r="106" spans="2:16" ht="12.75" customHeight="1">
      <c r="B106" s="49" t="s">
        <v>8</v>
      </c>
      <c r="C106" s="49"/>
      <c r="D106" s="50"/>
      <c r="E106" s="285"/>
      <c r="F106" s="285"/>
      <c r="G106" s="285"/>
    </row>
    <row r="107" spans="2:16" ht="12.75" customHeight="1">
      <c r="B107" s="51" t="s">
        <v>4</v>
      </c>
      <c r="C107" s="51" t="s">
        <v>129</v>
      </c>
      <c r="D107" s="165" t="s">
        <v>27</v>
      </c>
      <c r="E107" s="165" t="s">
        <v>559</v>
      </c>
      <c r="F107" s="51" t="s">
        <v>567</v>
      </c>
      <c r="G107" s="51" t="s">
        <v>568</v>
      </c>
      <c r="I107" s="214" t="s">
        <v>241</v>
      </c>
      <c r="J107" s="215" t="s">
        <v>419</v>
      </c>
      <c r="K107" s="215" t="s">
        <v>508</v>
      </c>
      <c r="L107" s="215" t="s">
        <v>508</v>
      </c>
      <c r="M107" s="216" t="s">
        <v>242</v>
      </c>
      <c r="N107" s="216" t="s">
        <v>243</v>
      </c>
      <c r="P107" s="227" t="s">
        <v>95</v>
      </c>
    </row>
    <row r="108" spans="2:16" ht="12.75" customHeight="1">
      <c r="B108" s="164" t="str">
        <f t="shared" ref="B108:D127" si="122">B7</f>
        <v>ISDPH</v>
      </c>
      <c r="C108" s="164" t="str">
        <f t="shared" si="122"/>
        <v>Iron &amp; Steel  Demand Process heat</v>
      </c>
      <c r="D108" s="361" t="str">
        <f t="shared" si="122"/>
        <v>PJ</v>
      </c>
      <c r="E108" s="171">
        <f ca="1">+SUM(INDIRECT("'" &amp; $I108 &amp; "'!" &amp; J108 &amp; $M108 &amp; IF(ISBLANK($N108),"",":" &amp; J108 &amp; $N108)))</f>
        <v>136.96362691485152</v>
      </c>
      <c r="F108" s="171">
        <f t="shared" ref="F108:F139" ca="1" si="123">+SUM(INDIRECT("'" &amp; $I108 &amp; "'!" &amp; K108 &amp; $M108 &amp; IF(ISBLANK($N108),"",":" &amp; K108 &amp; $N108)))</f>
        <v>0</v>
      </c>
      <c r="G108" s="171">
        <f t="shared" ref="G108:G139" ca="1" si="124">+SUM(INDIRECT("'" &amp; $I108 &amp; "'!" &amp; L108 &amp; $M108 &amp; IF(ISBLANK($N108),"",":" &amp; L108 &amp; $N108)))</f>
        <v>0</v>
      </c>
      <c r="I108" s="382" t="str">
        <f>I7</f>
        <v>IronSteel</v>
      </c>
      <c r="J108" s="218" t="str">
        <f>SUBSTITUTE(ADDRESS(1,COLUMN(IronSteel!BD1),4),"1","")</f>
        <v>BD</v>
      </c>
      <c r="K108" s="218" t="str">
        <f>SUBSTITUTE(ADDRESS(1,COLUMN(IronSteel!BE1),4),"1","")</f>
        <v>BE</v>
      </c>
      <c r="L108" s="218" t="str">
        <f>SUBSTITUTE(ADDRESS(1,COLUMN(IronSteel!BF1),4),"1","")</f>
        <v>BF</v>
      </c>
      <c r="M108" s="219">
        <f t="shared" ref="M108:N110" si="125">M7</f>
        <v>26</v>
      </c>
      <c r="N108" s="363">
        <f t="shared" si="125"/>
        <v>37</v>
      </c>
      <c r="P108" s="226">
        <f ca="1">+SUM(INDIRECT("'" &amp; I108 &amp; "'!" &amp; "BD26:BE62")) - SUM(E108:F114)</f>
        <v>0</v>
      </c>
    </row>
    <row r="109" spans="2:16" ht="12.75" customHeight="1">
      <c r="B109" s="164" t="str">
        <f t="shared" si="122"/>
        <v>ISDCO</v>
      </c>
      <c r="C109" s="164" t="str">
        <f t="shared" si="122"/>
        <v>Iron &amp; Steel  Demand Cooling</v>
      </c>
      <c r="D109" s="166" t="str">
        <f t="shared" si="122"/>
        <v>PJ</v>
      </c>
      <c r="E109" s="171">
        <f t="shared" ref="E109:E139" ca="1" si="126">+SUM(INDIRECT("'" &amp; $I109 &amp; "'!" &amp; J109 &amp; $M109 &amp; IF(ISBLANK($N109),"",":" &amp; J109 &amp; $N109)))</f>
        <v>8.5605720950495048</v>
      </c>
      <c r="F109" s="171">
        <f t="shared" ca="1" si="123"/>
        <v>0</v>
      </c>
      <c r="G109" s="171">
        <f t="shared" ca="1" si="124"/>
        <v>0</v>
      </c>
      <c r="H109" s="616"/>
      <c r="I109" s="382" t="str">
        <f t="shared" ref="I109:I172" si="127">I8</f>
        <v>IronSteel</v>
      </c>
      <c r="J109" s="222" t="str">
        <f>+J108</f>
        <v>BD</v>
      </c>
      <c r="K109" s="222" t="str">
        <f>+K108</f>
        <v>BE</v>
      </c>
      <c r="L109" s="222" t="str">
        <f>+L108</f>
        <v>BF</v>
      </c>
      <c r="M109" s="363">
        <f t="shared" si="125"/>
        <v>38</v>
      </c>
      <c r="N109" s="363">
        <f t="shared" si="125"/>
        <v>46</v>
      </c>
      <c r="P109" s="225"/>
    </row>
    <row r="110" spans="2:16" ht="12.75" customHeight="1">
      <c r="B110" s="164" t="str">
        <f t="shared" si="122"/>
        <v>ISDSH</v>
      </c>
      <c r="C110" s="164" t="str">
        <f t="shared" si="122"/>
        <v>Iron &amp; Steel  Demand Spatial Heat</v>
      </c>
      <c r="D110" s="166" t="str">
        <f t="shared" si="122"/>
        <v>PJ</v>
      </c>
      <c r="E110" s="171">
        <f t="shared" ca="1" si="126"/>
        <v>4.1332767683168319</v>
      </c>
      <c r="F110" s="171">
        <f t="shared" ca="1" si="123"/>
        <v>0</v>
      </c>
      <c r="G110" s="171">
        <f t="shared" ca="1" si="124"/>
        <v>0</v>
      </c>
      <c r="I110" s="382" t="str">
        <f t="shared" si="127"/>
        <v>IronSteel</v>
      </c>
      <c r="J110" s="222" t="str">
        <f t="shared" ref="J110:K110" si="128">+J109</f>
        <v>BD</v>
      </c>
      <c r="K110" s="222" t="str">
        <f t="shared" si="128"/>
        <v>BE</v>
      </c>
      <c r="L110" s="222" t="str">
        <f t="shared" ref="L110" si="129">+L109</f>
        <v>BF</v>
      </c>
      <c r="M110" s="363">
        <f t="shared" si="125"/>
        <v>47</v>
      </c>
      <c r="N110" s="363">
        <f t="shared" si="125"/>
        <v>58</v>
      </c>
    </row>
    <row r="111" spans="2:16" ht="12.75" customHeight="1">
      <c r="B111" s="164" t="str">
        <f t="shared" si="122"/>
        <v>ISDLA</v>
      </c>
      <c r="C111" s="164" t="str">
        <f t="shared" si="122"/>
        <v>Iron &amp; Steel  Demand Light</v>
      </c>
      <c r="D111" s="166" t="str">
        <f t="shared" si="122"/>
        <v>PJ</v>
      </c>
      <c r="E111" s="171">
        <f t="shared" ca="1" si="126"/>
        <v>20.641904411881189</v>
      </c>
      <c r="F111" s="171">
        <f t="shared" ca="1" si="123"/>
        <v>0</v>
      </c>
      <c r="G111" s="171">
        <f t="shared" ca="1" si="124"/>
        <v>0</v>
      </c>
      <c r="H111" s="616"/>
      <c r="I111" s="382" t="str">
        <f t="shared" si="127"/>
        <v>IronSteel</v>
      </c>
      <c r="J111" s="222" t="str">
        <f t="shared" ref="J111:K111" si="130">+J110</f>
        <v>BD</v>
      </c>
      <c r="K111" s="222" t="str">
        <f t="shared" si="130"/>
        <v>BE</v>
      </c>
      <c r="L111" s="222" t="str">
        <f t="shared" ref="L111" si="131">+L110</f>
        <v>BF</v>
      </c>
      <c r="M111" s="363">
        <f>M10</f>
        <v>59</v>
      </c>
      <c r="N111" s="219"/>
    </row>
    <row r="112" spans="2:16" ht="12.75" customHeight="1">
      <c r="B112" s="164" t="str">
        <f t="shared" si="122"/>
        <v>ISDEM</v>
      </c>
      <c r="C112" s="164" t="str">
        <f t="shared" si="122"/>
        <v>Iron &amp; Steel  Demand Electric Motors</v>
      </c>
      <c r="D112" s="166" t="str">
        <f t="shared" si="122"/>
        <v>PJ</v>
      </c>
      <c r="E112" s="171">
        <f t="shared" ca="1" si="126"/>
        <v>45.975132285148518</v>
      </c>
      <c r="F112" s="171">
        <f t="shared" ca="1" si="123"/>
        <v>0</v>
      </c>
      <c r="G112" s="171">
        <f t="shared" ca="1" si="124"/>
        <v>0</v>
      </c>
      <c r="H112" s="616"/>
      <c r="I112" s="382" t="str">
        <f t="shared" si="127"/>
        <v>IronSteel</v>
      </c>
      <c r="J112" s="222" t="str">
        <f t="shared" ref="J112:K112" si="132">+J111</f>
        <v>BD</v>
      </c>
      <c r="K112" s="222" t="str">
        <f t="shared" si="132"/>
        <v>BE</v>
      </c>
      <c r="L112" s="222" t="str">
        <f t="shared" ref="L112" si="133">+L111</f>
        <v>BF</v>
      </c>
      <c r="M112" s="363">
        <f>M11</f>
        <v>60</v>
      </c>
      <c r="N112" s="219"/>
    </row>
    <row r="113" spans="2:16" ht="12.75" customHeight="1">
      <c r="B113" s="164" t="str">
        <f t="shared" si="122"/>
        <v>ISDTF</v>
      </c>
      <c r="C113" s="164" t="str">
        <f t="shared" si="122"/>
        <v>Iron &amp; Steel  Demand Haulage Tractors, Trucks, Fishing boats, Forest machines</v>
      </c>
      <c r="D113" s="166" t="str">
        <f t="shared" si="122"/>
        <v>PJ</v>
      </c>
      <c r="E113" s="171">
        <f t="shared" ca="1" si="126"/>
        <v>2.5367433504950498</v>
      </c>
      <c r="F113" s="171">
        <f t="shared" ca="1" si="123"/>
        <v>0</v>
      </c>
      <c r="G113" s="171">
        <f t="shared" ca="1" si="124"/>
        <v>0</v>
      </c>
      <c r="I113" s="382" t="str">
        <f t="shared" si="127"/>
        <v>IronSteel</v>
      </c>
      <c r="J113" s="222" t="str">
        <f t="shared" ref="J113:K113" si="134">+J112</f>
        <v>BD</v>
      </c>
      <c r="K113" s="222" t="str">
        <f t="shared" si="134"/>
        <v>BE</v>
      </c>
      <c r="L113" s="222" t="str">
        <f t="shared" ref="L113" si="135">+L112</f>
        <v>BF</v>
      </c>
      <c r="M113" s="363">
        <f>M12</f>
        <v>61</v>
      </c>
      <c r="N113" s="219"/>
    </row>
    <row r="114" spans="2:16" ht="12.75" customHeight="1">
      <c r="B114" s="263" t="str">
        <f t="shared" si="122"/>
        <v>ISDFL</v>
      </c>
      <c r="C114" s="263" t="str">
        <f t="shared" si="122"/>
        <v>Iron &amp; Steel  Demand Haulage Forklifts</v>
      </c>
      <c r="D114" s="264" t="str">
        <f t="shared" si="122"/>
        <v>PJ</v>
      </c>
      <c r="E114" s="265">
        <f t="shared" ca="1" si="126"/>
        <v>1.5767999999999997E-2</v>
      </c>
      <c r="F114" s="265">
        <f t="shared" ca="1" si="123"/>
        <v>0</v>
      </c>
      <c r="G114" s="265">
        <f t="shared" ca="1" si="124"/>
        <v>0</v>
      </c>
      <c r="I114" s="382" t="str">
        <f t="shared" si="127"/>
        <v>IronSteel</v>
      </c>
      <c r="J114" s="222" t="str">
        <f t="shared" ref="J114:K114" si="136">+J113</f>
        <v>BD</v>
      </c>
      <c r="K114" s="222" t="str">
        <f t="shared" si="136"/>
        <v>BE</v>
      </c>
      <c r="L114" s="222" t="str">
        <f t="shared" ref="L114" si="137">+L113</f>
        <v>BF</v>
      </c>
      <c r="M114" s="363">
        <f>M13</f>
        <v>62</v>
      </c>
      <c r="N114" s="219"/>
      <c r="P114" s="226"/>
    </row>
    <row r="115" spans="2:16" ht="12.75" customHeight="1">
      <c r="B115" s="164" t="str">
        <f t="shared" si="122"/>
        <v>ICDPH</v>
      </c>
      <c r="C115" s="164" t="str">
        <f t="shared" si="122"/>
        <v>Chemical industry Demand Process heat</v>
      </c>
      <c r="D115" s="166" t="str">
        <f t="shared" si="122"/>
        <v>PJ</v>
      </c>
      <c r="E115" s="255">
        <f t="shared" ca="1" si="126"/>
        <v>277.88191506534656</v>
      </c>
      <c r="F115" s="255">
        <f t="shared" ca="1" si="123"/>
        <v>0</v>
      </c>
      <c r="G115" s="255">
        <f t="shared" ca="1" si="124"/>
        <v>0</v>
      </c>
      <c r="I115" s="382" t="str">
        <f t="shared" si="127"/>
        <v>Chemical</v>
      </c>
      <c r="J115" s="222" t="str">
        <f t="shared" ref="J115:N115" si="138">+J108</f>
        <v>BD</v>
      </c>
      <c r="K115" s="222" t="str">
        <f t="shared" si="138"/>
        <v>BE</v>
      </c>
      <c r="L115" s="222" t="str">
        <f t="shared" ref="L115" si="139">+L108</f>
        <v>BF</v>
      </c>
      <c r="M115" s="223">
        <f t="shared" si="138"/>
        <v>26</v>
      </c>
      <c r="N115" s="224">
        <f t="shared" si="138"/>
        <v>37</v>
      </c>
      <c r="P115" s="226">
        <f ca="1">+SUM(INDIRECT("'" &amp; I115 &amp; "'!" &amp; "BD26:BE62")) - SUM(E115:F121)</f>
        <v>0</v>
      </c>
    </row>
    <row r="116" spans="2:16" ht="12.75" customHeight="1">
      <c r="B116" s="164" t="str">
        <f t="shared" si="122"/>
        <v>ICDCO</v>
      </c>
      <c r="C116" s="164" t="str">
        <f t="shared" si="122"/>
        <v>Chemical industry Demand Cooling</v>
      </c>
      <c r="D116" s="166" t="str">
        <f t="shared" si="122"/>
        <v>PJ</v>
      </c>
      <c r="E116" s="171">
        <f t="shared" ca="1" si="126"/>
        <v>19.31704895049505</v>
      </c>
      <c r="F116" s="171">
        <f t="shared" ca="1" si="123"/>
        <v>0</v>
      </c>
      <c r="G116" s="171">
        <f t="shared" ca="1" si="124"/>
        <v>0</v>
      </c>
      <c r="H116" s="616"/>
      <c r="I116" s="382" t="str">
        <f t="shared" si="127"/>
        <v>Chemical</v>
      </c>
      <c r="J116" s="222" t="str">
        <f t="shared" ref="J116:N116" si="140">+J109</f>
        <v>BD</v>
      </c>
      <c r="K116" s="222" t="str">
        <f t="shared" si="140"/>
        <v>BE</v>
      </c>
      <c r="L116" s="222" t="str">
        <f t="shared" ref="L116" si="141">+L109</f>
        <v>BF</v>
      </c>
      <c r="M116" s="223">
        <f t="shared" si="140"/>
        <v>38</v>
      </c>
      <c r="N116" s="224">
        <f t="shared" si="140"/>
        <v>46</v>
      </c>
    </row>
    <row r="117" spans="2:16" ht="12.75" customHeight="1">
      <c r="B117" s="164" t="str">
        <f t="shared" si="122"/>
        <v>ICDSH</v>
      </c>
      <c r="C117" s="164" t="str">
        <f t="shared" si="122"/>
        <v>Chemical industry Demand Spatial Heat</v>
      </c>
      <c r="D117" s="166" t="str">
        <f t="shared" si="122"/>
        <v>PJ</v>
      </c>
      <c r="E117" s="171">
        <f t="shared" ca="1" si="126"/>
        <v>115.60243630099011</v>
      </c>
      <c r="F117" s="171">
        <f t="shared" ca="1" si="123"/>
        <v>0</v>
      </c>
      <c r="G117" s="171">
        <f t="shared" ca="1" si="124"/>
        <v>0</v>
      </c>
      <c r="I117" s="382" t="str">
        <f t="shared" si="127"/>
        <v>Chemical</v>
      </c>
      <c r="J117" s="222" t="str">
        <f t="shared" ref="J117:N117" si="142">+J110</f>
        <v>BD</v>
      </c>
      <c r="K117" s="222" t="str">
        <f t="shared" si="142"/>
        <v>BE</v>
      </c>
      <c r="L117" s="222" t="str">
        <f t="shared" ref="L117" si="143">+L110</f>
        <v>BF</v>
      </c>
      <c r="M117" s="223">
        <f t="shared" si="142"/>
        <v>47</v>
      </c>
      <c r="N117" s="224">
        <f t="shared" si="142"/>
        <v>58</v>
      </c>
    </row>
    <row r="118" spans="2:16" ht="12.75" customHeight="1">
      <c r="B118" s="164" t="str">
        <f t="shared" si="122"/>
        <v>ICDLA</v>
      </c>
      <c r="C118" s="164" t="str">
        <f t="shared" si="122"/>
        <v>Chemical industry Demand Light</v>
      </c>
      <c r="D118" s="166" t="str">
        <f t="shared" si="122"/>
        <v>PJ</v>
      </c>
      <c r="E118" s="171">
        <f t="shared" ca="1" si="126"/>
        <v>13.473193972277228</v>
      </c>
      <c r="F118" s="171">
        <f t="shared" ca="1" si="123"/>
        <v>0</v>
      </c>
      <c r="G118" s="171">
        <f t="shared" ca="1" si="124"/>
        <v>0</v>
      </c>
      <c r="H118" s="616"/>
      <c r="I118" s="382" t="str">
        <f t="shared" si="127"/>
        <v>Chemical</v>
      </c>
      <c r="J118" s="222" t="str">
        <f t="shared" ref="J118:M118" si="144">+J111</f>
        <v>BD</v>
      </c>
      <c r="K118" s="222" t="str">
        <f t="shared" si="144"/>
        <v>BE</v>
      </c>
      <c r="L118" s="222" t="str">
        <f t="shared" ref="L118" si="145">+L111</f>
        <v>BF</v>
      </c>
      <c r="M118" s="223">
        <f t="shared" si="144"/>
        <v>59</v>
      </c>
      <c r="N118" s="224"/>
    </row>
    <row r="119" spans="2:16" ht="12.75" customHeight="1">
      <c r="B119" s="164" t="str">
        <f t="shared" si="122"/>
        <v>ICDEM</v>
      </c>
      <c r="C119" s="164" t="str">
        <f t="shared" si="122"/>
        <v>Chemical industry Demand Electric Motors</v>
      </c>
      <c r="D119" s="166" t="str">
        <f t="shared" si="122"/>
        <v>PJ</v>
      </c>
      <c r="E119" s="171">
        <f t="shared" ca="1" si="126"/>
        <v>155.90394556039607</v>
      </c>
      <c r="F119" s="171">
        <f t="shared" ca="1" si="123"/>
        <v>0</v>
      </c>
      <c r="G119" s="171">
        <f t="shared" ca="1" si="124"/>
        <v>0</v>
      </c>
      <c r="H119" s="616"/>
      <c r="I119" s="382" t="str">
        <f t="shared" si="127"/>
        <v>Chemical</v>
      </c>
      <c r="J119" s="222" t="str">
        <f t="shared" ref="J119:M119" si="146">+J112</f>
        <v>BD</v>
      </c>
      <c r="K119" s="222" t="str">
        <f t="shared" si="146"/>
        <v>BE</v>
      </c>
      <c r="L119" s="222" t="str">
        <f t="shared" ref="L119" si="147">+L112</f>
        <v>BF</v>
      </c>
      <c r="M119" s="223">
        <f t="shared" si="146"/>
        <v>60</v>
      </c>
      <c r="N119" s="224"/>
      <c r="P119" s="226"/>
    </row>
    <row r="120" spans="2:16" ht="12.75" customHeight="1">
      <c r="B120" s="164" t="str">
        <f t="shared" si="122"/>
        <v>ICDTF</v>
      </c>
      <c r="C120" s="164" t="str">
        <f t="shared" si="122"/>
        <v>Chemical industry Demand Haulage Tractors, Trucks, Fishing boats, Forest machines</v>
      </c>
      <c r="D120" s="166" t="str">
        <f t="shared" si="122"/>
        <v>PJ</v>
      </c>
      <c r="E120" s="171">
        <f t="shared" ca="1" si="126"/>
        <v>0.81347268118811877</v>
      </c>
      <c r="F120" s="171">
        <f t="shared" ca="1" si="123"/>
        <v>0</v>
      </c>
      <c r="G120" s="171">
        <f t="shared" ca="1" si="124"/>
        <v>0</v>
      </c>
      <c r="I120" s="382" t="str">
        <f t="shared" si="127"/>
        <v>Chemical</v>
      </c>
      <c r="J120" s="222" t="str">
        <f t="shared" ref="J120:M120" si="148">+J113</f>
        <v>BD</v>
      </c>
      <c r="K120" s="222" t="str">
        <f t="shared" si="148"/>
        <v>BE</v>
      </c>
      <c r="L120" s="222" t="str">
        <f t="shared" ref="L120" si="149">+L113</f>
        <v>BF</v>
      </c>
      <c r="M120" s="223">
        <f t="shared" si="148"/>
        <v>61</v>
      </c>
      <c r="N120" s="224"/>
    </row>
    <row r="121" spans="2:16" ht="12.75" customHeight="1">
      <c r="B121" s="263" t="str">
        <f t="shared" si="122"/>
        <v>ICDFL</v>
      </c>
      <c r="C121" s="263" t="str">
        <f t="shared" si="122"/>
        <v>Chemical industry Demand Haulage Forklifts</v>
      </c>
      <c r="D121" s="264" t="str">
        <f t="shared" si="122"/>
        <v>PJ</v>
      </c>
      <c r="E121" s="265">
        <f t="shared" ca="1" si="126"/>
        <v>0</v>
      </c>
      <c r="F121" s="265">
        <f t="shared" ca="1" si="123"/>
        <v>0</v>
      </c>
      <c r="G121" s="265">
        <f t="shared" ca="1" si="124"/>
        <v>0</v>
      </c>
      <c r="I121" s="382" t="str">
        <f t="shared" si="127"/>
        <v>Chemical</v>
      </c>
      <c r="J121" s="222" t="str">
        <f t="shared" ref="J121:M121" si="150">+J114</f>
        <v>BD</v>
      </c>
      <c r="K121" s="222" t="str">
        <f t="shared" si="150"/>
        <v>BE</v>
      </c>
      <c r="L121" s="222" t="str">
        <f t="shared" ref="L121" si="151">+L114</f>
        <v>BF</v>
      </c>
      <c r="M121" s="223">
        <f t="shared" si="150"/>
        <v>62</v>
      </c>
      <c r="N121" s="224"/>
    </row>
    <row r="122" spans="2:16" ht="12.75" customHeight="1">
      <c r="B122" s="164" t="str">
        <f t="shared" si="122"/>
        <v>IADPH</v>
      </c>
      <c r="C122" s="164" t="str">
        <f t="shared" si="122"/>
        <v>Aluminium industry Demand Process heat</v>
      </c>
      <c r="D122" s="166" t="str">
        <f t="shared" si="122"/>
        <v>PJ</v>
      </c>
      <c r="E122" s="255">
        <f t="shared" ca="1" si="126"/>
        <v>67.709165845544575</v>
      </c>
      <c r="F122" s="255">
        <f t="shared" ca="1" si="123"/>
        <v>0</v>
      </c>
      <c r="G122" s="255">
        <f t="shared" ca="1" si="124"/>
        <v>0</v>
      </c>
      <c r="I122" s="382" t="str">
        <f t="shared" si="127"/>
        <v>Aluminium</v>
      </c>
      <c r="J122" s="222" t="str">
        <f t="shared" ref="J122:M122" si="152">+J115</f>
        <v>BD</v>
      </c>
      <c r="K122" s="222" t="str">
        <f t="shared" si="152"/>
        <v>BE</v>
      </c>
      <c r="L122" s="222" t="str">
        <f t="shared" ref="L122" si="153">+L115</f>
        <v>BF</v>
      </c>
      <c r="M122" s="223">
        <f t="shared" si="152"/>
        <v>26</v>
      </c>
      <c r="N122" s="224">
        <f>+N115</f>
        <v>37</v>
      </c>
      <c r="P122" s="226">
        <f ca="1">+SUM(INDIRECT("'" &amp; I122 &amp; "'!" &amp; "BD26:BE62")) - SUM(E122:F128)</f>
        <v>0</v>
      </c>
    </row>
    <row r="123" spans="2:16" ht="12.75" customHeight="1">
      <c r="B123" s="164" t="str">
        <f t="shared" si="122"/>
        <v>IADCO</v>
      </c>
      <c r="C123" s="164" t="str">
        <f t="shared" si="122"/>
        <v>Aluminium industry Demand Cooling</v>
      </c>
      <c r="D123" s="166" t="str">
        <f t="shared" si="122"/>
        <v>PJ</v>
      </c>
      <c r="E123" s="171">
        <f t="shared" ca="1" si="126"/>
        <v>0</v>
      </c>
      <c r="F123" s="171">
        <f t="shared" ca="1" si="123"/>
        <v>0</v>
      </c>
      <c r="G123" s="171">
        <f t="shared" ca="1" si="124"/>
        <v>0</v>
      </c>
      <c r="H123" s="616"/>
      <c r="I123" s="382" t="str">
        <f t="shared" si="127"/>
        <v>Aluminium</v>
      </c>
      <c r="J123" s="222" t="str">
        <f t="shared" ref="J123:M123" si="154">+J116</f>
        <v>BD</v>
      </c>
      <c r="K123" s="222" t="str">
        <f t="shared" si="154"/>
        <v>BE</v>
      </c>
      <c r="L123" s="222" t="str">
        <f t="shared" ref="L123" si="155">+L116</f>
        <v>BF</v>
      </c>
      <c r="M123" s="223">
        <f t="shared" si="154"/>
        <v>38</v>
      </c>
      <c r="N123" s="224">
        <f>+N116</f>
        <v>46</v>
      </c>
      <c r="P123" s="225"/>
    </row>
    <row r="124" spans="2:16" ht="12.75" customHeight="1">
      <c r="B124" s="164" t="str">
        <f t="shared" si="122"/>
        <v>IADSH</v>
      </c>
      <c r="C124" s="164" t="str">
        <f t="shared" si="122"/>
        <v>Aluminium industry Demand Spatial Heat</v>
      </c>
      <c r="D124" s="166" t="str">
        <f t="shared" si="122"/>
        <v>PJ</v>
      </c>
      <c r="E124" s="171">
        <f t="shared" ca="1" si="126"/>
        <v>1.8788430653465349</v>
      </c>
      <c r="F124" s="171">
        <f t="shared" ca="1" si="123"/>
        <v>0</v>
      </c>
      <c r="G124" s="171">
        <f t="shared" ca="1" si="124"/>
        <v>0</v>
      </c>
      <c r="I124" s="382" t="str">
        <f t="shared" si="127"/>
        <v>Aluminium</v>
      </c>
      <c r="J124" s="222" t="str">
        <f t="shared" ref="J124:M124" si="156">+J117</f>
        <v>BD</v>
      </c>
      <c r="K124" s="222" t="str">
        <f t="shared" si="156"/>
        <v>BE</v>
      </c>
      <c r="L124" s="222" t="str">
        <f t="shared" ref="L124" si="157">+L117</f>
        <v>BF</v>
      </c>
      <c r="M124" s="223">
        <f t="shared" si="156"/>
        <v>47</v>
      </c>
      <c r="N124" s="224">
        <f>+N117</f>
        <v>58</v>
      </c>
    </row>
    <row r="125" spans="2:16" ht="12.75" customHeight="1">
      <c r="B125" s="164" t="str">
        <f t="shared" si="122"/>
        <v>IADLA</v>
      </c>
      <c r="C125" s="164" t="str">
        <f t="shared" si="122"/>
        <v>Aluminium industry Demand Light</v>
      </c>
      <c r="D125" s="166" t="str">
        <f t="shared" si="122"/>
        <v>PJ</v>
      </c>
      <c r="E125" s="171">
        <f t="shared" ca="1" si="126"/>
        <v>3.7138167445544559</v>
      </c>
      <c r="F125" s="171">
        <f t="shared" ca="1" si="123"/>
        <v>0</v>
      </c>
      <c r="G125" s="171">
        <f t="shared" ca="1" si="124"/>
        <v>0</v>
      </c>
      <c r="H125" s="616"/>
      <c r="I125" s="382" t="str">
        <f t="shared" si="127"/>
        <v>Aluminium</v>
      </c>
      <c r="J125" s="222" t="str">
        <f t="shared" ref="J125:M125" si="158">+J118</f>
        <v>BD</v>
      </c>
      <c r="K125" s="222" t="str">
        <f t="shared" si="158"/>
        <v>BE</v>
      </c>
      <c r="L125" s="222" t="str">
        <f t="shared" ref="L125" si="159">+L118</f>
        <v>BF</v>
      </c>
      <c r="M125" s="223">
        <f t="shared" si="158"/>
        <v>59</v>
      </c>
      <c r="N125" s="224"/>
    </row>
    <row r="126" spans="2:16" ht="12.75" customHeight="1">
      <c r="B126" s="164" t="str">
        <f t="shared" si="122"/>
        <v>IADEM</v>
      </c>
      <c r="C126" s="164" t="str">
        <f t="shared" si="122"/>
        <v>Aluminium industry Demand Electric Motors</v>
      </c>
      <c r="D126" s="166" t="str">
        <f t="shared" si="122"/>
        <v>PJ</v>
      </c>
      <c r="E126" s="171">
        <f t="shared" ca="1" si="126"/>
        <v>18.283401908910889</v>
      </c>
      <c r="F126" s="171">
        <f t="shared" ca="1" si="123"/>
        <v>0</v>
      </c>
      <c r="G126" s="171">
        <f t="shared" ca="1" si="124"/>
        <v>0</v>
      </c>
      <c r="H126" s="616"/>
      <c r="I126" s="382" t="str">
        <f t="shared" si="127"/>
        <v>Aluminium</v>
      </c>
      <c r="J126" s="222" t="str">
        <f t="shared" ref="J126:M126" si="160">+J119</f>
        <v>BD</v>
      </c>
      <c r="K126" s="222" t="str">
        <f t="shared" si="160"/>
        <v>BE</v>
      </c>
      <c r="L126" s="222" t="str">
        <f t="shared" ref="L126" si="161">+L119</f>
        <v>BF</v>
      </c>
      <c r="M126" s="223">
        <f t="shared" si="160"/>
        <v>60</v>
      </c>
      <c r="N126" s="224"/>
    </row>
    <row r="127" spans="2:16" ht="12.75" customHeight="1">
      <c r="B127" s="164" t="str">
        <f t="shared" si="122"/>
        <v>IADTF</v>
      </c>
      <c r="C127" s="164" t="str">
        <f t="shared" si="122"/>
        <v>Aluminium industry Demand Haulage Tractors, Trucks, Fishing boats, Forest machines</v>
      </c>
      <c r="D127" s="166" t="str">
        <f t="shared" si="122"/>
        <v>PJ</v>
      </c>
      <c r="E127" s="171">
        <f t="shared" ca="1" si="126"/>
        <v>0.64221034455445536</v>
      </c>
      <c r="F127" s="171">
        <f t="shared" ca="1" si="123"/>
        <v>0</v>
      </c>
      <c r="G127" s="171">
        <f t="shared" ca="1" si="124"/>
        <v>0</v>
      </c>
      <c r="I127" s="382" t="str">
        <f t="shared" si="127"/>
        <v>Aluminium</v>
      </c>
      <c r="J127" s="222" t="str">
        <f t="shared" ref="J127:M127" si="162">+J120</f>
        <v>BD</v>
      </c>
      <c r="K127" s="222" t="str">
        <f t="shared" si="162"/>
        <v>BE</v>
      </c>
      <c r="L127" s="222" t="str">
        <f t="shared" ref="L127" si="163">+L120</f>
        <v>BF</v>
      </c>
      <c r="M127" s="223">
        <f t="shared" si="162"/>
        <v>61</v>
      </c>
      <c r="N127" s="224"/>
    </row>
    <row r="128" spans="2:16" ht="12.75" customHeight="1">
      <c r="B128" s="263" t="str">
        <f t="shared" ref="B128:D147" si="164">B27</f>
        <v>IADFL</v>
      </c>
      <c r="C128" s="263" t="str">
        <f t="shared" si="164"/>
        <v>Aluminium industry Demand Haulage Forklifts</v>
      </c>
      <c r="D128" s="264" t="str">
        <f t="shared" si="164"/>
        <v>PJ</v>
      </c>
      <c r="E128" s="171">
        <f t="shared" ca="1" si="126"/>
        <v>9.0736253465346542E-2</v>
      </c>
      <c r="F128" s="171">
        <f t="shared" ca="1" si="123"/>
        <v>0</v>
      </c>
      <c r="G128" s="171">
        <f t="shared" ca="1" si="124"/>
        <v>0</v>
      </c>
      <c r="I128" s="382" t="str">
        <f t="shared" si="127"/>
        <v>Aluminium</v>
      </c>
      <c r="J128" s="222" t="str">
        <f t="shared" ref="J128:M128" si="165">+J121</f>
        <v>BD</v>
      </c>
      <c r="K128" s="222" t="str">
        <f t="shared" si="165"/>
        <v>BE</v>
      </c>
      <c r="L128" s="222" t="str">
        <f t="shared" ref="L128" si="166">+L121</f>
        <v>BF</v>
      </c>
      <c r="M128" s="223">
        <f t="shared" si="165"/>
        <v>62</v>
      </c>
      <c r="N128" s="224"/>
      <c r="P128" s="226"/>
    </row>
    <row r="129" spans="2:16" ht="12.75" customHeight="1">
      <c r="B129" s="164" t="str">
        <f t="shared" si="164"/>
        <v>IGDPH</v>
      </c>
      <c r="C129" s="164" t="str">
        <f t="shared" si="164"/>
        <v>Glass &amp; Concrete industry Demand Process heat</v>
      </c>
      <c r="D129" s="166" t="str">
        <f t="shared" si="164"/>
        <v>PJ</v>
      </c>
      <c r="E129" s="253">
        <f t="shared" ca="1" si="126"/>
        <v>195.09852560792078</v>
      </c>
      <c r="F129" s="253">
        <f t="shared" ca="1" si="123"/>
        <v>0</v>
      </c>
      <c r="G129" s="253">
        <f t="shared" ca="1" si="124"/>
        <v>10.268387001980198</v>
      </c>
      <c r="I129" s="382" t="str">
        <f t="shared" si="127"/>
        <v>GlassConcrete</v>
      </c>
      <c r="J129" s="222" t="str">
        <f t="shared" ref="J129:M129" si="167">+J122</f>
        <v>BD</v>
      </c>
      <c r="K129" s="222" t="str">
        <f t="shared" si="167"/>
        <v>BE</v>
      </c>
      <c r="L129" s="222" t="str">
        <f t="shared" ref="L129" si="168">+L122</f>
        <v>BF</v>
      </c>
      <c r="M129" s="223">
        <f t="shared" si="167"/>
        <v>26</v>
      </c>
      <c r="N129" s="224">
        <f>+N122</f>
        <v>37</v>
      </c>
      <c r="P129" s="226">
        <f ca="1">+SUM(INDIRECT("'" &amp; I129 &amp; "'!" &amp; "BD26:BE62")) - SUM(E129:F135)</f>
        <v>0</v>
      </c>
    </row>
    <row r="130" spans="2:16" ht="12.75" customHeight="1">
      <c r="B130" s="164" t="str">
        <f t="shared" si="164"/>
        <v>IGDCO</v>
      </c>
      <c r="C130" s="164" t="str">
        <f t="shared" si="164"/>
        <v>Glass &amp; Concrete industry Demand Cooling</v>
      </c>
      <c r="D130" s="166" t="str">
        <f t="shared" si="164"/>
        <v>PJ</v>
      </c>
      <c r="E130" s="171">
        <f t="shared" ca="1" si="126"/>
        <v>0</v>
      </c>
      <c r="F130" s="171">
        <f t="shared" ca="1" si="123"/>
        <v>0</v>
      </c>
      <c r="G130" s="171">
        <f t="shared" ca="1" si="124"/>
        <v>0</v>
      </c>
      <c r="H130" s="616"/>
      <c r="I130" s="382" t="str">
        <f t="shared" si="127"/>
        <v>GlassConcrete</v>
      </c>
      <c r="J130" s="222" t="str">
        <f t="shared" ref="J130:M130" si="169">+J123</f>
        <v>BD</v>
      </c>
      <c r="K130" s="222" t="str">
        <f t="shared" si="169"/>
        <v>BE</v>
      </c>
      <c r="L130" s="222" t="str">
        <f t="shared" ref="L130" si="170">+L123</f>
        <v>BF</v>
      </c>
      <c r="M130" s="223">
        <f t="shared" si="169"/>
        <v>38</v>
      </c>
      <c r="N130" s="224">
        <f>+N123</f>
        <v>46</v>
      </c>
    </row>
    <row r="131" spans="2:16" ht="12.75" customHeight="1">
      <c r="B131" s="164" t="str">
        <f t="shared" si="164"/>
        <v>IGDSH</v>
      </c>
      <c r="C131" s="164" t="str">
        <f t="shared" si="164"/>
        <v>Glass &amp; Concrete industry Demand Spatial Heat</v>
      </c>
      <c r="D131" s="166" t="str">
        <f t="shared" si="164"/>
        <v>PJ</v>
      </c>
      <c r="E131" s="171">
        <f t="shared" ca="1" si="126"/>
        <v>0.8786522851485149</v>
      </c>
      <c r="F131" s="171">
        <f t="shared" ca="1" si="123"/>
        <v>0</v>
      </c>
      <c r="G131" s="171">
        <f t="shared" ca="1" si="124"/>
        <v>7.0877940594059408E-3</v>
      </c>
      <c r="I131" s="382" t="str">
        <f t="shared" si="127"/>
        <v>GlassConcrete</v>
      </c>
      <c r="J131" s="222" t="str">
        <f t="shared" ref="J131:M131" si="171">+J124</f>
        <v>BD</v>
      </c>
      <c r="K131" s="222" t="str">
        <f t="shared" si="171"/>
        <v>BE</v>
      </c>
      <c r="L131" s="222" t="str">
        <f t="shared" ref="L131" si="172">+L124</f>
        <v>BF</v>
      </c>
      <c r="M131" s="223">
        <f t="shared" si="171"/>
        <v>47</v>
      </c>
      <c r="N131" s="224">
        <f>+N124</f>
        <v>58</v>
      </c>
    </row>
    <row r="132" spans="2:16" ht="12.75" customHeight="1">
      <c r="B132" s="164" t="str">
        <f t="shared" si="164"/>
        <v>IGDLA</v>
      </c>
      <c r="C132" s="164" t="str">
        <f t="shared" si="164"/>
        <v>Glass &amp; Concrete industry Demand Light</v>
      </c>
      <c r="D132" s="166" t="str">
        <f t="shared" si="164"/>
        <v>PJ</v>
      </c>
      <c r="E132" s="171">
        <f t="shared" ca="1" si="126"/>
        <v>4.2052475405940593</v>
      </c>
      <c r="F132" s="171">
        <f t="shared" ca="1" si="123"/>
        <v>0</v>
      </c>
      <c r="G132" s="171">
        <f t="shared" ca="1" si="124"/>
        <v>0.2213296396039604</v>
      </c>
      <c r="H132" s="616"/>
      <c r="I132" s="382" t="str">
        <f t="shared" si="127"/>
        <v>GlassConcrete</v>
      </c>
      <c r="J132" s="222" t="str">
        <f t="shared" ref="J132:M132" si="173">+J125</f>
        <v>BD</v>
      </c>
      <c r="K132" s="222" t="str">
        <f t="shared" si="173"/>
        <v>BE</v>
      </c>
      <c r="L132" s="222" t="str">
        <f t="shared" ref="L132" si="174">+L125</f>
        <v>BF</v>
      </c>
      <c r="M132" s="223">
        <f t="shared" si="173"/>
        <v>59</v>
      </c>
      <c r="N132" s="224"/>
    </row>
    <row r="133" spans="2:16" ht="12.75" customHeight="1">
      <c r="B133" s="164" t="str">
        <f t="shared" si="164"/>
        <v>IGDEM</v>
      </c>
      <c r="C133" s="164" t="str">
        <f t="shared" si="164"/>
        <v>Glass &amp; Concrete industry Demand Electric Motors</v>
      </c>
      <c r="D133" s="166" t="str">
        <f t="shared" si="164"/>
        <v>PJ</v>
      </c>
      <c r="E133" s="171">
        <f t="shared" ca="1" si="126"/>
        <v>37.84710297029703</v>
      </c>
      <c r="F133" s="171">
        <f t="shared" ca="1" si="123"/>
        <v>0</v>
      </c>
      <c r="G133" s="171">
        <f t="shared" ca="1" si="124"/>
        <v>1.9919667564356436</v>
      </c>
      <c r="H133" s="616"/>
      <c r="I133" s="382" t="str">
        <f t="shared" si="127"/>
        <v>GlassConcrete</v>
      </c>
      <c r="J133" s="222" t="str">
        <f t="shared" ref="J133:M133" si="175">+J126</f>
        <v>BD</v>
      </c>
      <c r="K133" s="222" t="str">
        <f t="shared" si="175"/>
        <v>BE</v>
      </c>
      <c r="L133" s="222" t="str">
        <f t="shared" ref="L133" si="176">+L126</f>
        <v>BF</v>
      </c>
      <c r="M133" s="223">
        <f t="shared" si="175"/>
        <v>60</v>
      </c>
      <c r="N133" s="224"/>
    </row>
    <row r="134" spans="2:16" ht="12.75" customHeight="1">
      <c r="B134" s="164" t="str">
        <f t="shared" si="164"/>
        <v>IGDTF</v>
      </c>
      <c r="C134" s="164" t="str">
        <f t="shared" si="164"/>
        <v>Glass &amp; Concrete industry Demand Haulage Tractors, Trucks, Fishing boats, Forest machines</v>
      </c>
      <c r="D134" s="166" t="str">
        <f t="shared" si="164"/>
        <v>PJ</v>
      </c>
      <c r="E134" s="171">
        <f t="shared" ca="1" si="126"/>
        <v>3.1725216000000005</v>
      </c>
      <c r="F134" s="171">
        <f t="shared" ca="1" si="123"/>
        <v>0</v>
      </c>
      <c r="G134" s="171">
        <f t="shared" ca="1" si="124"/>
        <v>0.16698468118811882</v>
      </c>
      <c r="I134" s="382" t="str">
        <f t="shared" si="127"/>
        <v>GlassConcrete</v>
      </c>
      <c r="J134" s="222" t="str">
        <f t="shared" ref="J134:M134" si="177">+J127</f>
        <v>BD</v>
      </c>
      <c r="K134" s="222" t="str">
        <f t="shared" si="177"/>
        <v>BE</v>
      </c>
      <c r="L134" s="222" t="str">
        <f t="shared" ref="L134" si="178">+L127</f>
        <v>BF</v>
      </c>
      <c r="M134" s="223">
        <f t="shared" si="177"/>
        <v>61</v>
      </c>
      <c r="N134" s="224"/>
    </row>
    <row r="135" spans="2:16" ht="12.75" customHeight="1">
      <c r="B135" s="263" t="str">
        <f t="shared" si="164"/>
        <v>IGDFL</v>
      </c>
      <c r="C135" s="263" t="str">
        <f t="shared" si="164"/>
        <v>Glass &amp; Concrete industry Demand Haulage Forklifts</v>
      </c>
      <c r="D135" s="264" t="str">
        <f t="shared" si="164"/>
        <v>PJ</v>
      </c>
      <c r="E135" s="171">
        <f t="shared" ca="1" si="126"/>
        <v>0.21549079603960394</v>
      </c>
      <c r="F135" s="171">
        <f t="shared" ca="1" si="123"/>
        <v>0</v>
      </c>
      <c r="G135" s="171">
        <f t="shared" ca="1" si="124"/>
        <v>1.1349837623762377E-2</v>
      </c>
      <c r="I135" s="382" t="str">
        <f t="shared" si="127"/>
        <v>GlassConcrete</v>
      </c>
      <c r="J135" s="222" t="str">
        <f t="shared" ref="J135:M135" si="179">+J128</f>
        <v>BD</v>
      </c>
      <c r="K135" s="222" t="str">
        <f t="shared" si="179"/>
        <v>BE</v>
      </c>
      <c r="L135" s="222" t="str">
        <f t="shared" ref="L135" si="180">+L128</f>
        <v>BF</v>
      </c>
      <c r="M135" s="223">
        <f t="shared" si="179"/>
        <v>62</v>
      </c>
      <c r="N135" s="224"/>
      <c r="P135" s="226"/>
    </row>
    <row r="136" spans="2:16" ht="12.75" customHeight="1">
      <c r="B136" s="164" t="str">
        <f t="shared" si="164"/>
        <v>ITDPH</v>
      </c>
      <c r="C136" s="164" t="str">
        <f t="shared" si="164"/>
        <v>Transport industry Demand Process heat</v>
      </c>
      <c r="D136" s="166" t="str">
        <f t="shared" si="164"/>
        <v>PJ</v>
      </c>
      <c r="E136" s="253">
        <f t="shared" ca="1" si="126"/>
        <v>34.297132918811876</v>
      </c>
      <c r="F136" s="253">
        <f t="shared" ca="1" si="123"/>
        <v>1.9054300990099011</v>
      </c>
      <c r="G136" s="253">
        <f t="shared" ca="1" si="124"/>
        <v>1.9054300990099011</v>
      </c>
      <c r="I136" s="382" t="str">
        <f t="shared" si="127"/>
        <v>Transport</v>
      </c>
      <c r="J136" s="222" t="str">
        <f t="shared" ref="J136:M136" si="181">+J129</f>
        <v>BD</v>
      </c>
      <c r="K136" s="222" t="str">
        <f t="shared" si="181"/>
        <v>BE</v>
      </c>
      <c r="L136" s="222" t="str">
        <f t="shared" ref="L136" si="182">+L129</f>
        <v>BF</v>
      </c>
      <c r="M136" s="223">
        <f t="shared" si="181"/>
        <v>26</v>
      </c>
      <c r="N136" s="224">
        <f>+N129</f>
        <v>37</v>
      </c>
      <c r="P136" s="226">
        <f ca="1">+SUM(INDIRECT("'" &amp; I136 &amp; "'!" &amp; "BD26:BE62")) - SUM(E136:F142)</f>
        <v>0</v>
      </c>
    </row>
    <row r="137" spans="2:16" ht="12.75" customHeight="1">
      <c r="B137" s="164" t="str">
        <f t="shared" si="164"/>
        <v>ITDCO</v>
      </c>
      <c r="C137" s="164" t="str">
        <f t="shared" si="164"/>
        <v>Transport industry Demand Cooling</v>
      </c>
      <c r="D137" s="166" t="str">
        <f t="shared" si="164"/>
        <v>PJ</v>
      </c>
      <c r="E137" s="171">
        <f t="shared" ca="1" si="126"/>
        <v>5.4732445306930702</v>
      </c>
      <c r="F137" s="171">
        <f t="shared" ca="1" si="123"/>
        <v>0.30407260990099011</v>
      </c>
      <c r="G137" s="171">
        <f t="shared" ca="1" si="124"/>
        <v>0.30407260990099011</v>
      </c>
      <c r="H137" s="616"/>
      <c r="I137" s="382" t="str">
        <f t="shared" si="127"/>
        <v>Transport</v>
      </c>
      <c r="J137" s="222" t="str">
        <f t="shared" ref="J137:M137" si="183">+J130</f>
        <v>BD</v>
      </c>
      <c r="K137" s="222" t="str">
        <f t="shared" si="183"/>
        <v>BE</v>
      </c>
      <c r="L137" s="222" t="str">
        <f t="shared" ref="L137" si="184">+L130</f>
        <v>BF</v>
      </c>
      <c r="M137" s="223">
        <f t="shared" si="183"/>
        <v>38</v>
      </c>
      <c r="N137" s="224">
        <f>+N130</f>
        <v>46</v>
      </c>
      <c r="P137" s="225"/>
    </row>
    <row r="138" spans="2:16" ht="12.75" customHeight="1">
      <c r="B138" s="164" t="str">
        <f t="shared" si="164"/>
        <v>ITDSH</v>
      </c>
      <c r="C138" s="164" t="str">
        <f t="shared" si="164"/>
        <v>Transport industry Demand Spatial Heat</v>
      </c>
      <c r="D138" s="166" t="str">
        <f t="shared" si="164"/>
        <v>PJ</v>
      </c>
      <c r="E138" s="171">
        <f t="shared" ca="1" si="126"/>
        <v>4.0808364594059405</v>
      </c>
      <c r="F138" s="171">
        <f t="shared" ca="1" si="123"/>
        <v>0.21410133861386138</v>
      </c>
      <c r="G138" s="171">
        <f t="shared" ca="1" si="124"/>
        <v>0.21410133861386138</v>
      </c>
      <c r="I138" s="382" t="str">
        <f t="shared" si="127"/>
        <v>Transport</v>
      </c>
      <c r="J138" s="222" t="str">
        <f t="shared" ref="J138:M138" si="185">+J131</f>
        <v>BD</v>
      </c>
      <c r="K138" s="222" t="str">
        <f t="shared" si="185"/>
        <v>BE</v>
      </c>
      <c r="L138" s="222" t="str">
        <f t="shared" ref="L138" si="186">+L131</f>
        <v>BF</v>
      </c>
      <c r="M138" s="223">
        <f t="shared" si="185"/>
        <v>47</v>
      </c>
      <c r="N138" s="224">
        <f>+N131</f>
        <v>58</v>
      </c>
    </row>
    <row r="139" spans="2:16" ht="12.75" customHeight="1">
      <c r="B139" s="164" t="str">
        <f t="shared" si="164"/>
        <v>ITDLA</v>
      </c>
      <c r="C139" s="164" t="str">
        <f t="shared" si="164"/>
        <v>Transport industry Demand Light</v>
      </c>
      <c r="D139" s="166" t="str">
        <f t="shared" si="164"/>
        <v>PJ</v>
      </c>
      <c r="E139" s="171">
        <f t="shared" ca="1" si="126"/>
        <v>5.9988653465346538</v>
      </c>
      <c r="F139" s="171">
        <f t="shared" ca="1" si="123"/>
        <v>0.33328243960396048</v>
      </c>
      <c r="G139" s="171">
        <f t="shared" ca="1" si="124"/>
        <v>0.33328243960396048</v>
      </c>
      <c r="H139" s="616"/>
      <c r="I139" s="382" t="str">
        <f t="shared" si="127"/>
        <v>Transport</v>
      </c>
      <c r="J139" s="222" t="str">
        <f t="shared" ref="J139:M139" si="187">+J132</f>
        <v>BD</v>
      </c>
      <c r="K139" s="222" t="str">
        <f t="shared" si="187"/>
        <v>BE</v>
      </c>
      <c r="L139" s="222" t="str">
        <f t="shared" ref="L139" si="188">+L132</f>
        <v>BF</v>
      </c>
      <c r="M139" s="223">
        <f t="shared" si="187"/>
        <v>59</v>
      </c>
      <c r="N139" s="224"/>
    </row>
    <row r="140" spans="2:16" ht="12.75" customHeight="1">
      <c r="B140" s="164" t="str">
        <f t="shared" si="164"/>
        <v>ITDEM</v>
      </c>
      <c r="C140" s="164" t="str">
        <f t="shared" si="164"/>
        <v>Transport industry Demand Electric Motors</v>
      </c>
      <c r="D140" s="166" t="str">
        <f t="shared" si="164"/>
        <v>PJ</v>
      </c>
      <c r="E140" s="171">
        <f t="shared" ref="E140:E171" ca="1" si="189">+SUM(INDIRECT("'" &amp; $I140 &amp; "'!" &amp; J140 &amp; $M140 &amp; IF(ISBLANK($N140),"",":" &amp; J140 &amp; $N140)))</f>
        <v>29.394424586138616</v>
      </c>
      <c r="F140" s="171">
        <f t="shared" ref="F140:F171" ca="1" si="190">+SUM(INDIRECT("'" &amp; $I140 &amp; "'!" &amp; K140 &amp; $M140 &amp; IF(ISBLANK($N140),"",":" &amp; K140 &amp; $N140)))</f>
        <v>1.6330339960396041</v>
      </c>
      <c r="G140" s="171">
        <f t="shared" ref="G140:G171" ca="1" si="191">+SUM(INDIRECT("'" &amp; $I140 &amp; "'!" &amp; L140 &amp; $M140 &amp; IF(ISBLANK($N140),"",":" &amp; L140 &amp; $N140)))</f>
        <v>1.6330339960396041</v>
      </c>
      <c r="H140" s="616"/>
      <c r="I140" s="382" t="str">
        <f t="shared" si="127"/>
        <v>Transport</v>
      </c>
      <c r="J140" s="222" t="str">
        <f t="shared" ref="J140:M140" si="192">+J133</f>
        <v>BD</v>
      </c>
      <c r="K140" s="222" t="str">
        <f t="shared" si="192"/>
        <v>BE</v>
      </c>
      <c r="L140" s="222" t="str">
        <f t="shared" ref="L140" si="193">+L133</f>
        <v>BF</v>
      </c>
      <c r="M140" s="223">
        <f t="shared" si="192"/>
        <v>60</v>
      </c>
      <c r="N140" s="224"/>
    </row>
    <row r="141" spans="2:16" ht="12.75" customHeight="1">
      <c r="B141" s="164" t="str">
        <f t="shared" si="164"/>
        <v>ITDTF</v>
      </c>
      <c r="C141" s="164" t="str">
        <f t="shared" si="164"/>
        <v>Transport industry Demand Haulage Tractors, Trucks, Fishing boats, Forest machines</v>
      </c>
      <c r="D141" s="166" t="str">
        <f t="shared" si="164"/>
        <v>PJ</v>
      </c>
      <c r="E141" s="171">
        <f t="shared" ca="1" si="189"/>
        <v>1.4642539485148516</v>
      </c>
      <c r="F141" s="171">
        <f t="shared" ca="1" si="190"/>
        <v>8.1353512871287129E-2</v>
      </c>
      <c r="G141" s="171">
        <f t="shared" ca="1" si="191"/>
        <v>8.1353512871287129E-2</v>
      </c>
      <c r="I141" s="382" t="str">
        <f t="shared" si="127"/>
        <v>Transport</v>
      </c>
      <c r="J141" s="222" t="str">
        <f t="shared" ref="J141:M141" si="194">+J134</f>
        <v>BD</v>
      </c>
      <c r="K141" s="222" t="str">
        <f t="shared" si="194"/>
        <v>BE</v>
      </c>
      <c r="L141" s="222" t="str">
        <f t="shared" ref="L141" si="195">+L134</f>
        <v>BF</v>
      </c>
      <c r="M141" s="223">
        <f t="shared" si="194"/>
        <v>61</v>
      </c>
      <c r="N141" s="224"/>
    </row>
    <row r="142" spans="2:16" ht="12.75" customHeight="1">
      <c r="B142" s="263" t="str">
        <f t="shared" si="164"/>
        <v>ITDFL</v>
      </c>
      <c r="C142" s="263" t="str">
        <f t="shared" si="164"/>
        <v>Transport industry Demand Haulage Forklifts</v>
      </c>
      <c r="D142" s="264" t="str">
        <f t="shared" si="164"/>
        <v>PJ</v>
      </c>
      <c r="E142" s="171">
        <f t="shared" ca="1" si="189"/>
        <v>9.1875920792079221E-2</v>
      </c>
      <c r="F142" s="171">
        <f t="shared" ca="1" si="190"/>
        <v>5.105085148514852E-3</v>
      </c>
      <c r="G142" s="171">
        <f t="shared" ca="1" si="191"/>
        <v>5.105085148514852E-3</v>
      </c>
      <c r="I142" s="382" t="str">
        <f t="shared" si="127"/>
        <v>Transport</v>
      </c>
      <c r="J142" s="222" t="str">
        <f t="shared" ref="J142:M142" si="196">+J135</f>
        <v>BD</v>
      </c>
      <c r="K142" s="222" t="str">
        <f t="shared" si="196"/>
        <v>BE</v>
      </c>
      <c r="L142" s="222" t="str">
        <f t="shared" ref="L142" si="197">+L135</f>
        <v>BF</v>
      </c>
      <c r="M142" s="223">
        <f t="shared" si="196"/>
        <v>62</v>
      </c>
      <c r="N142" s="224"/>
      <c r="P142" s="226"/>
    </row>
    <row r="143" spans="2:16" ht="12.75" customHeight="1">
      <c r="B143" s="164" t="str">
        <f t="shared" si="164"/>
        <v>IMDPH</v>
      </c>
      <c r="C143" s="164" t="str">
        <f t="shared" si="164"/>
        <v>Machinery industry Demand Process heat</v>
      </c>
      <c r="D143" s="166" t="str">
        <f t="shared" si="164"/>
        <v>PJ</v>
      </c>
      <c r="E143" s="253">
        <f t="shared" ca="1" si="189"/>
        <v>58.728774653465358</v>
      </c>
      <c r="F143" s="253">
        <f t="shared" ca="1" si="190"/>
        <v>3.2627270495049507</v>
      </c>
      <c r="G143" s="253">
        <f t="shared" ca="1" si="191"/>
        <v>3.2627270495049507</v>
      </c>
      <c r="I143" s="382" t="str">
        <f t="shared" si="127"/>
        <v>Machinery</v>
      </c>
      <c r="J143" s="222" t="str">
        <f t="shared" ref="J143:M143" si="198">+J136</f>
        <v>BD</v>
      </c>
      <c r="K143" s="222" t="str">
        <f t="shared" si="198"/>
        <v>BE</v>
      </c>
      <c r="L143" s="222" t="str">
        <f t="shared" ref="L143" si="199">+L136</f>
        <v>BF</v>
      </c>
      <c r="M143" s="223">
        <f t="shared" si="198"/>
        <v>26</v>
      </c>
      <c r="N143" s="224">
        <f>+N136</f>
        <v>37</v>
      </c>
      <c r="P143" s="226">
        <f ca="1">+SUM(INDIRECT("'" &amp; I143 &amp; "'!" &amp; "BD26:BE62")) - SUM(E143:F149)</f>
        <v>0</v>
      </c>
    </row>
    <row r="144" spans="2:16" ht="12.75" customHeight="1">
      <c r="B144" s="164" t="str">
        <f t="shared" si="164"/>
        <v>IMDCO</v>
      </c>
      <c r="C144" s="164" t="str">
        <f t="shared" si="164"/>
        <v>Machinery industry Demand Cooling</v>
      </c>
      <c r="D144" s="166" t="str">
        <f t="shared" si="164"/>
        <v>PJ</v>
      </c>
      <c r="E144" s="255">
        <f t="shared" ca="1" si="189"/>
        <v>0</v>
      </c>
      <c r="F144" s="255">
        <f t="shared" ca="1" si="190"/>
        <v>0</v>
      </c>
      <c r="G144" s="255">
        <f t="shared" ca="1" si="191"/>
        <v>0</v>
      </c>
      <c r="H144" s="616"/>
      <c r="I144" s="382" t="str">
        <f t="shared" si="127"/>
        <v>Machinery</v>
      </c>
      <c r="J144" s="222" t="str">
        <f t="shared" ref="J144:M144" si="200">+J137</f>
        <v>BD</v>
      </c>
      <c r="K144" s="222" t="str">
        <f t="shared" si="200"/>
        <v>BE</v>
      </c>
      <c r="L144" s="222" t="str">
        <f t="shared" ref="L144" si="201">+L137</f>
        <v>BF</v>
      </c>
      <c r="M144" s="223">
        <f t="shared" si="200"/>
        <v>38</v>
      </c>
      <c r="N144" s="224">
        <f>+N137</f>
        <v>46</v>
      </c>
    </row>
    <row r="145" spans="2:16" ht="12.75" customHeight="1">
      <c r="B145" s="164" t="str">
        <f t="shared" si="164"/>
        <v>IMDSH</v>
      </c>
      <c r="C145" s="164" t="str">
        <f t="shared" si="164"/>
        <v>Machinery industry Demand Spatial Heat</v>
      </c>
      <c r="D145" s="166" t="str">
        <f t="shared" si="164"/>
        <v>PJ</v>
      </c>
      <c r="E145" s="171">
        <f t="shared" ca="1" si="189"/>
        <v>20.049636475247524</v>
      </c>
      <c r="F145" s="171">
        <f t="shared" ca="1" si="190"/>
        <v>0.58433710099009906</v>
      </c>
      <c r="G145" s="171">
        <f t="shared" ca="1" si="191"/>
        <v>0.58433710099009906</v>
      </c>
      <c r="I145" s="382" t="str">
        <f t="shared" si="127"/>
        <v>Machinery</v>
      </c>
      <c r="J145" s="222" t="str">
        <f t="shared" ref="J145:M145" si="202">+J138</f>
        <v>BD</v>
      </c>
      <c r="K145" s="222" t="str">
        <f t="shared" si="202"/>
        <v>BE</v>
      </c>
      <c r="L145" s="222" t="str">
        <f t="shared" ref="L145" si="203">+L138</f>
        <v>BF</v>
      </c>
      <c r="M145" s="223">
        <f t="shared" si="202"/>
        <v>47</v>
      </c>
      <c r="N145" s="224">
        <f>+N138</f>
        <v>58</v>
      </c>
    </row>
    <row r="146" spans="2:16" ht="12.75" customHeight="1">
      <c r="B146" s="164" t="str">
        <f t="shared" si="164"/>
        <v>IMDLA</v>
      </c>
      <c r="C146" s="164" t="str">
        <f t="shared" si="164"/>
        <v>Machinery industry Demand Light</v>
      </c>
      <c r="D146" s="166" t="str">
        <f t="shared" si="164"/>
        <v>PJ</v>
      </c>
      <c r="E146" s="171">
        <f t="shared" ca="1" si="189"/>
        <v>16.242616800000004</v>
      </c>
      <c r="F146" s="171">
        <f t="shared" ca="1" si="190"/>
        <v>0.90238234455445543</v>
      </c>
      <c r="G146" s="171">
        <f t="shared" ca="1" si="191"/>
        <v>0.90238234455445543</v>
      </c>
      <c r="H146" s="616"/>
      <c r="I146" s="382" t="str">
        <f t="shared" si="127"/>
        <v>Machinery</v>
      </c>
      <c r="J146" s="222" t="str">
        <f t="shared" ref="J146:M146" si="204">+J139</f>
        <v>BD</v>
      </c>
      <c r="K146" s="222" t="str">
        <f t="shared" si="204"/>
        <v>BE</v>
      </c>
      <c r="L146" s="222" t="str">
        <f t="shared" ref="L146" si="205">+L139</f>
        <v>BF</v>
      </c>
      <c r="M146" s="223">
        <f t="shared" si="204"/>
        <v>59</v>
      </c>
      <c r="N146" s="224"/>
    </row>
    <row r="147" spans="2:16" ht="12.75" customHeight="1">
      <c r="B147" s="164" t="str">
        <f t="shared" si="164"/>
        <v>IMDEM</v>
      </c>
      <c r="C147" s="164" t="str">
        <f t="shared" si="164"/>
        <v>Machinery industry Demand Electric Motors</v>
      </c>
      <c r="D147" s="166" t="str">
        <f t="shared" si="164"/>
        <v>PJ</v>
      </c>
      <c r="E147" s="171">
        <f t="shared" ca="1" si="189"/>
        <v>87.710077639603981</v>
      </c>
      <c r="F147" s="171">
        <f t="shared" ca="1" si="190"/>
        <v>4.872795968316832</v>
      </c>
      <c r="G147" s="171">
        <f t="shared" ca="1" si="191"/>
        <v>4.872795968316832</v>
      </c>
      <c r="H147" s="616"/>
      <c r="I147" s="382" t="str">
        <f t="shared" si="127"/>
        <v>Machinery</v>
      </c>
      <c r="J147" s="222" t="str">
        <f t="shared" ref="J147:M147" si="206">+J140</f>
        <v>BD</v>
      </c>
      <c r="K147" s="222" t="str">
        <f t="shared" si="206"/>
        <v>BE</v>
      </c>
      <c r="L147" s="222" t="str">
        <f t="shared" ref="L147" si="207">+L140</f>
        <v>BF</v>
      </c>
      <c r="M147" s="223">
        <f t="shared" si="206"/>
        <v>60</v>
      </c>
      <c r="N147" s="224"/>
      <c r="P147" s="226"/>
    </row>
    <row r="148" spans="2:16" ht="12.75" customHeight="1">
      <c r="B148" s="164" t="str">
        <f t="shared" ref="B148:D167" si="208">B47</f>
        <v>IMDTF</v>
      </c>
      <c r="C148" s="164" t="str">
        <f t="shared" si="208"/>
        <v>Machinery industry Demand Haulage Tractors, Trucks, Fishing boats, Forest machines</v>
      </c>
      <c r="D148" s="166" t="str">
        <f t="shared" si="208"/>
        <v>PJ</v>
      </c>
      <c r="E148" s="171">
        <f t="shared" ca="1" si="189"/>
        <v>7.4367976633663364</v>
      </c>
      <c r="F148" s="171">
        <f t="shared" ca="1" si="190"/>
        <v>0.41316843564356437</v>
      </c>
      <c r="G148" s="171">
        <f t="shared" ca="1" si="191"/>
        <v>0.41316843564356437</v>
      </c>
      <c r="I148" s="382" t="str">
        <f t="shared" si="127"/>
        <v>Machinery</v>
      </c>
      <c r="J148" s="222" t="str">
        <f t="shared" ref="J148:M148" si="209">+J141</f>
        <v>BD</v>
      </c>
      <c r="K148" s="222" t="str">
        <f t="shared" si="209"/>
        <v>BE</v>
      </c>
      <c r="L148" s="222" t="str">
        <f t="shared" ref="L148" si="210">+L141</f>
        <v>BF</v>
      </c>
      <c r="M148" s="223">
        <f t="shared" si="209"/>
        <v>61</v>
      </c>
      <c r="N148" s="224"/>
    </row>
    <row r="149" spans="2:16" ht="12.75" customHeight="1">
      <c r="B149" s="263" t="str">
        <f t="shared" si="208"/>
        <v>IMDFL</v>
      </c>
      <c r="C149" s="263" t="str">
        <f t="shared" si="208"/>
        <v>Machinery industry Demand Haulage Forklifts</v>
      </c>
      <c r="D149" s="264" t="str">
        <f t="shared" si="208"/>
        <v>PJ</v>
      </c>
      <c r="E149" s="171">
        <f t="shared" ca="1" si="189"/>
        <v>1.0145224871287131</v>
      </c>
      <c r="F149" s="171">
        <f t="shared" ca="1" si="190"/>
        <v>5.6374502970297023E-2</v>
      </c>
      <c r="G149" s="171">
        <f t="shared" ca="1" si="191"/>
        <v>5.6374502970297023E-2</v>
      </c>
      <c r="I149" s="382" t="str">
        <f t="shared" si="127"/>
        <v>Machinery</v>
      </c>
      <c r="J149" s="222" t="str">
        <f t="shared" ref="J149:M149" si="211">+J142</f>
        <v>BD</v>
      </c>
      <c r="K149" s="222" t="str">
        <f t="shared" si="211"/>
        <v>BE</v>
      </c>
      <c r="L149" s="222" t="str">
        <f t="shared" ref="L149" si="212">+L142</f>
        <v>BF</v>
      </c>
      <c r="M149" s="223">
        <f t="shared" si="211"/>
        <v>62</v>
      </c>
      <c r="N149" s="224"/>
    </row>
    <row r="150" spans="2:16" ht="12.75" customHeight="1">
      <c r="B150" s="164" t="str">
        <f t="shared" si="208"/>
        <v>IIDPH</v>
      </c>
      <c r="C150" s="164" t="str">
        <f t="shared" si="208"/>
        <v>Mining Demand Process heat</v>
      </c>
      <c r="D150" s="166" t="str">
        <f t="shared" si="208"/>
        <v>PJ</v>
      </c>
      <c r="E150" s="253">
        <f t="shared" ca="1" si="189"/>
        <v>6.6535495841584158</v>
      </c>
      <c r="F150" s="253">
        <f t="shared" ca="1" si="190"/>
        <v>0.36968934653465346</v>
      </c>
      <c r="G150" s="253">
        <f t="shared" ca="1" si="191"/>
        <v>0.36968934653465346</v>
      </c>
      <c r="I150" s="382" t="str">
        <f t="shared" si="127"/>
        <v>Mining</v>
      </c>
      <c r="J150" s="222" t="str">
        <f t="shared" ref="J150:M150" si="213">+J143</f>
        <v>BD</v>
      </c>
      <c r="K150" s="222" t="str">
        <f t="shared" si="213"/>
        <v>BE</v>
      </c>
      <c r="L150" s="222" t="str">
        <f t="shared" ref="L150" si="214">+L143</f>
        <v>BF</v>
      </c>
      <c r="M150" s="223">
        <f t="shared" si="213"/>
        <v>26</v>
      </c>
      <c r="N150" s="224">
        <f>+N143</f>
        <v>37</v>
      </c>
      <c r="P150" s="226">
        <f ca="1">+SUM(INDIRECT("'" &amp; I150 &amp; "'!" &amp; "BD26:BE62")) - SUM(E150:F156)</f>
        <v>0</v>
      </c>
    </row>
    <row r="151" spans="2:16" ht="12.75" customHeight="1">
      <c r="B151" s="164" t="str">
        <f t="shared" si="208"/>
        <v>IIDCO</v>
      </c>
      <c r="C151" s="164" t="str">
        <f t="shared" si="208"/>
        <v>Mining Demand Cooling</v>
      </c>
      <c r="D151" s="166" t="str">
        <f t="shared" si="208"/>
        <v>PJ</v>
      </c>
      <c r="E151" s="255">
        <f t="shared" ca="1" si="189"/>
        <v>0</v>
      </c>
      <c r="F151" s="255">
        <f t="shared" ca="1" si="190"/>
        <v>0</v>
      </c>
      <c r="G151" s="255">
        <f t="shared" ca="1" si="191"/>
        <v>0</v>
      </c>
      <c r="H151" s="616"/>
      <c r="I151" s="382" t="str">
        <f t="shared" si="127"/>
        <v>Mining</v>
      </c>
      <c r="J151" s="222" t="str">
        <f t="shared" ref="J151:M151" si="215">+J144</f>
        <v>BD</v>
      </c>
      <c r="K151" s="222" t="str">
        <f t="shared" si="215"/>
        <v>BE</v>
      </c>
      <c r="L151" s="222" t="str">
        <f t="shared" ref="L151" si="216">+L144</f>
        <v>BF</v>
      </c>
      <c r="M151" s="223">
        <f t="shared" si="215"/>
        <v>38</v>
      </c>
      <c r="N151" s="224">
        <f>+N144</f>
        <v>46</v>
      </c>
      <c r="P151" s="225"/>
    </row>
    <row r="152" spans="2:16" ht="12.75" customHeight="1">
      <c r="B152" s="164" t="str">
        <f t="shared" si="208"/>
        <v>IIDSH</v>
      </c>
      <c r="C152" s="164" t="str">
        <f t="shared" si="208"/>
        <v>Mining Demand Spatial Heat</v>
      </c>
      <c r="D152" s="166" t="str">
        <f t="shared" si="208"/>
        <v>PJ</v>
      </c>
      <c r="E152" s="171">
        <f t="shared" ca="1" si="189"/>
        <v>0.12943810693069308</v>
      </c>
      <c r="F152" s="171">
        <f t="shared" ca="1" si="190"/>
        <v>1.0147722772277229E-3</v>
      </c>
      <c r="G152" s="171">
        <f t="shared" ca="1" si="191"/>
        <v>1.0147722772277229E-3</v>
      </c>
      <c r="I152" s="382" t="str">
        <f t="shared" si="127"/>
        <v>Mining</v>
      </c>
      <c r="J152" s="222" t="str">
        <f t="shared" ref="J152:M152" si="217">+J145</f>
        <v>BD</v>
      </c>
      <c r="K152" s="222" t="str">
        <f t="shared" si="217"/>
        <v>BE</v>
      </c>
      <c r="L152" s="222" t="str">
        <f t="shared" ref="L152" si="218">+L145</f>
        <v>BF</v>
      </c>
      <c r="M152" s="223">
        <f t="shared" si="217"/>
        <v>47</v>
      </c>
      <c r="N152" s="224">
        <f>+N145</f>
        <v>58</v>
      </c>
    </row>
    <row r="153" spans="2:16" ht="12.75" customHeight="1">
      <c r="B153" s="164" t="str">
        <f t="shared" si="208"/>
        <v>IIDLA</v>
      </c>
      <c r="C153" s="164" t="str">
        <f t="shared" si="208"/>
        <v>Mining Demand Light</v>
      </c>
      <c r="D153" s="166" t="str">
        <f t="shared" si="208"/>
        <v>PJ</v>
      </c>
      <c r="E153" s="171">
        <f t="shared" ca="1" si="189"/>
        <v>0.5637606415841584</v>
      </c>
      <c r="F153" s="171">
        <f t="shared" ca="1" si="190"/>
        <v>3.1333045544554454E-2</v>
      </c>
      <c r="G153" s="171">
        <f t="shared" ca="1" si="191"/>
        <v>3.1333045544554454E-2</v>
      </c>
      <c r="H153" s="616"/>
      <c r="I153" s="382" t="str">
        <f t="shared" si="127"/>
        <v>Mining</v>
      </c>
      <c r="J153" s="222" t="str">
        <f t="shared" ref="J153:M153" si="219">+J146</f>
        <v>BD</v>
      </c>
      <c r="K153" s="222" t="str">
        <f t="shared" si="219"/>
        <v>BE</v>
      </c>
      <c r="L153" s="222" t="str">
        <f t="shared" ref="L153" si="220">+L146</f>
        <v>BF</v>
      </c>
      <c r="M153" s="223">
        <f t="shared" si="219"/>
        <v>59</v>
      </c>
      <c r="N153" s="224"/>
    </row>
    <row r="154" spans="2:16" ht="12.75" customHeight="1">
      <c r="B154" s="164" t="str">
        <f t="shared" si="208"/>
        <v>IIDEM</v>
      </c>
      <c r="C154" s="164" t="str">
        <f t="shared" si="208"/>
        <v>Mining Demand Electric Motors</v>
      </c>
      <c r="D154" s="166" t="str">
        <f t="shared" si="208"/>
        <v>PJ</v>
      </c>
      <c r="E154" s="171">
        <f t="shared" ca="1" si="189"/>
        <v>5.0738457742574257</v>
      </c>
      <c r="F154" s="171">
        <f t="shared" ca="1" si="190"/>
        <v>0.28188812673267333</v>
      </c>
      <c r="G154" s="171">
        <f t="shared" ca="1" si="191"/>
        <v>0.28188812673267333</v>
      </c>
      <c r="H154" s="616"/>
      <c r="I154" s="382" t="str">
        <f t="shared" si="127"/>
        <v>Mining</v>
      </c>
      <c r="J154" s="222" t="str">
        <f t="shared" ref="J154:M154" si="221">+J147</f>
        <v>BD</v>
      </c>
      <c r="K154" s="222" t="str">
        <f t="shared" si="221"/>
        <v>BE</v>
      </c>
      <c r="L154" s="222" t="str">
        <f t="shared" ref="L154" si="222">+L147</f>
        <v>BF</v>
      </c>
      <c r="M154" s="223">
        <f t="shared" si="221"/>
        <v>60</v>
      </c>
      <c r="N154" s="224"/>
    </row>
    <row r="155" spans="2:16" ht="12.75" customHeight="1">
      <c r="B155" s="164" t="str">
        <f t="shared" si="208"/>
        <v>IIDTF</v>
      </c>
      <c r="C155" s="164" t="str">
        <f t="shared" si="208"/>
        <v>Mining Demand Haulage Tractors, Trucks, Fishing boats, Forest machines</v>
      </c>
      <c r="D155" s="166" t="str">
        <f t="shared" si="208"/>
        <v>PJ</v>
      </c>
      <c r="E155" s="171">
        <f t="shared" ca="1" si="189"/>
        <v>0.5779986772277228</v>
      </c>
      <c r="F155" s="171">
        <f t="shared" ca="1" si="190"/>
        <v>3.2113639603960395E-2</v>
      </c>
      <c r="G155" s="171">
        <f t="shared" ca="1" si="191"/>
        <v>3.2113639603960395E-2</v>
      </c>
      <c r="I155" s="382" t="str">
        <f t="shared" si="127"/>
        <v>Mining</v>
      </c>
      <c r="J155" s="222" t="str">
        <f t="shared" ref="J155:M155" si="223">+J148</f>
        <v>BD</v>
      </c>
      <c r="K155" s="222" t="str">
        <f t="shared" si="223"/>
        <v>BE</v>
      </c>
      <c r="L155" s="222" t="str">
        <f t="shared" ref="L155" si="224">+L148</f>
        <v>BF</v>
      </c>
      <c r="M155" s="223">
        <f t="shared" si="223"/>
        <v>61</v>
      </c>
      <c r="N155" s="224"/>
    </row>
    <row r="156" spans="2:16" ht="12.75" customHeight="1">
      <c r="B156" s="263" t="str">
        <f t="shared" si="208"/>
        <v>IIDFL</v>
      </c>
      <c r="C156" s="263" t="str">
        <f t="shared" si="208"/>
        <v>Mining Demand Haulage Forklifts</v>
      </c>
      <c r="D156" s="264" t="str">
        <f t="shared" si="208"/>
        <v>PJ</v>
      </c>
      <c r="E156" s="171">
        <f t="shared" ca="1" si="189"/>
        <v>0</v>
      </c>
      <c r="F156" s="171">
        <f t="shared" ca="1" si="190"/>
        <v>0</v>
      </c>
      <c r="G156" s="171">
        <f t="shared" ca="1" si="191"/>
        <v>0</v>
      </c>
      <c r="I156" s="382" t="str">
        <f t="shared" si="127"/>
        <v>Mining</v>
      </c>
      <c r="J156" s="222" t="str">
        <f t="shared" ref="J156:M156" si="225">+J149</f>
        <v>BD</v>
      </c>
      <c r="K156" s="222" t="str">
        <f t="shared" si="225"/>
        <v>BE</v>
      </c>
      <c r="L156" s="222" t="str">
        <f t="shared" ref="L156" si="226">+L149</f>
        <v>BF</v>
      </c>
      <c r="M156" s="223">
        <f t="shared" si="225"/>
        <v>62</v>
      </c>
      <c r="N156" s="224"/>
      <c r="P156" s="226"/>
    </row>
    <row r="157" spans="2:16" ht="12.75" customHeight="1">
      <c r="B157" s="164" t="str">
        <f t="shared" si="208"/>
        <v>IFDPH</v>
      </c>
      <c r="C157" s="164" t="str">
        <f t="shared" si="208"/>
        <v>Food industry Demand Process heat</v>
      </c>
      <c r="D157" s="166" t="str">
        <f t="shared" si="208"/>
        <v>PJ</v>
      </c>
      <c r="E157" s="253">
        <f t="shared" ca="1" si="189"/>
        <v>102.78103836831684</v>
      </c>
      <c r="F157" s="253">
        <f t="shared" ca="1" si="190"/>
        <v>0</v>
      </c>
      <c r="G157" s="253">
        <f t="shared" ca="1" si="191"/>
        <v>5.409563667326732</v>
      </c>
      <c r="I157" s="382" t="str">
        <f t="shared" si="127"/>
        <v>Food</v>
      </c>
      <c r="J157" s="222" t="str">
        <f t="shared" ref="J157:M157" si="227">+J150</f>
        <v>BD</v>
      </c>
      <c r="K157" s="222" t="str">
        <f t="shared" si="227"/>
        <v>BE</v>
      </c>
      <c r="L157" s="222" t="str">
        <f t="shared" ref="L157" si="228">+L150</f>
        <v>BF</v>
      </c>
      <c r="M157" s="223">
        <f t="shared" si="227"/>
        <v>26</v>
      </c>
      <c r="N157" s="224">
        <f>+N150</f>
        <v>37</v>
      </c>
      <c r="P157" s="226">
        <f ca="1">+SUM(INDIRECT("'" &amp; I157 &amp; "'!" &amp; "BD26:BE62")) - SUM(E157:F163)</f>
        <v>0</v>
      </c>
    </row>
    <row r="158" spans="2:16" ht="12.75" customHeight="1">
      <c r="B158" s="164" t="str">
        <f t="shared" si="208"/>
        <v>IFDCO</v>
      </c>
      <c r="C158" s="164" t="str">
        <f t="shared" si="208"/>
        <v>Food industry Demand Cooling</v>
      </c>
      <c r="D158" s="166" t="str">
        <f t="shared" si="208"/>
        <v>PJ</v>
      </c>
      <c r="E158" s="255">
        <f t="shared" ca="1" si="189"/>
        <v>11.354302621782177</v>
      </c>
      <c r="F158" s="255">
        <f t="shared" ca="1" si="190"/>
        <v>0</v>
      </c>
      <c r="G158" s="255">
        <f t="shared" ca="1" si="191"/>
        <v>0.59760719999999989</v>
      </c>
      <c r="H158" s="616"/>
      <c r="I158" s="382" t="str">
        <f t="shared" si="127"/>
        <v>Food</v>
      </c>
      <c r="J158" s="222" t="str">
        <f t="shared" ref="J158:M158" si="229">+J151</f>
        <v>BD</v>
      </c>
      <c r="K158" s="222" t="str">
        <f t="shared" si="229"/>
        <v>BE</v>
      </c>
      <c r="L158" s="222" t="str">
        <f t="shared" ref="L158" si="230">+L151</f>
        <v>BF</v>
      </c>
      <c r="M158" s="223">
        <f t="shared" si="229"/>
        <v>38</v>
      </c>
      <c r="N158" s="224">
        <f>+N151</f>
        <v>46</v>
      </c>
    </row>
    <row r="159" spans="2:16" ht="12.75" customHeight="1">
      <c r="B159" s="164" t="str">
        <f t="shared" si="208"/>
        <v>IFDSH</v>
      </c>
      <c r="C159" s="164" t="str">
        <f t="shared" si="208"/>
        <v>Food industry Demand Spatial Heat</v>
      </c>
      <c r="D159" s="166" t="str">
        <f t="shared" si="208"/>
        <v>PJ</v>
      </c>
      <c r="E159" s="171">
        <f t="shared" ca="1" si="189"/>
        <v>21.145574922772276</v>
      </c>
      <c r="F159" s="171">
        <f t="shared" ca="1" si="190"/>
        <v>0</v>
      </c>
      <c r="G159" s="171">
        <f t="shared" ca="1" si="191"/>
        <v>0.61651318811881173</v>
      </c>
      <c r="I159" s="382" t="str">
        <f t="shared" si="127"/>
        <v>Food</v>
      </c>
      <c r="J159" s="222" t="str">
        <f t="shared" ref="J159:M159" si="231">+J152</f>
        <v>BD</v>
      </c>
      <c r="K159" s="222" t="str">
        <f t="shared" si="231"/>
        <v>BE</v>
      </c>
      <c r="L159" s="222" t="str">
        <f t="shared" ref="L159" si="232">+L152</f>
        <v>BF</v>
      </c>
      <c r="M159" s="223">
        <f t="shared" si="231"/>
        <v>47</v>
      </c>
      <c r="N159" s="224">
        <f>+N152</f>
        <v>58</v>
      </c>
    </row>
    <row r="160" spans="2:16" ht="12.75" customHeight="1">
      <c r="B160" s="164" t="str">
        <f t="shared" si="208"/>
        <v>IFDLA</v>
      </c>
      <c r="C160" s="164" t="str">
        <f t="shared" si="208"/>
        <v>Food industry Demand Light</v>
      </c>
      <c r="D160" s="166" t="str">
        <f t="shared" si="208"/>
        <v>PJ</v>
      </c>
      <c r="E160" s="171">
        <f t="shared" ca="1" si="189"/>
        <v>4.977879540594059</v>
      </c>
      <c r="F160" s="171">
        <f t="shared" ca="1" si="190"/>
        <v>0</v>
      </c>
      <c r="G160" s="171">
        <f t="shared" ca="1" si="191"/>
        <v>0.26199859009900989</v>
      </c>
      <c r="H160" s="616"/>
      <c r="I160" s="382" t="str">
        <f t="shared" si="127"/>
        <v>Food</v>
      </c>
      <c r="J160" s="222" t="str">
        <f t="shared" ref="J160:M160" si="233">+J153</f>
        <v>BD</v>
      </c>
      <c r="K160" s="222" t="str">
        <f t="shared" si="233"/>
        <v>BE</v>
      </c>
      <c r="L160" s="222" t="str">
        <f t="shared" ref="L160" si="234">+L153</f>
        <v>BF</v>
      </c>
      <c r="M160" s="223">
        <f t="shared" si="233"/>
        <v>59</v>
      </c>
      <c r="N160" s="224"/>
    </row>
    <row r="161" spans="2:16" ht="12.75" customHeight="1">
      <c r="B161" s="164" t="str">
        <f t="shared" si="208"/>
        <v>IFDEM</v>
      </c>
      <c r="C161" s="164" t="str">
        <f t="shared" si="208"/>
        <v>Food industry Demand Electric Motors</v>
      </c>
      <c r="D161" s="166" t="str">
        <f t="shared" si="208"/>
        <v>PJ</v>
      </c>
      <c r="E161" s="171">
        <f t="shared" ca="1" si="189"/>
        <v>43.556445980198028</v>
      </c>
      <c r="F161" s="171">
        <f t="shared" ca="1" si="190"/>
        <v>0</v>
      </c>
      <c r="G161" s="171">
        <f t="shared" ca="1" si="191"/>
        <v>2.2924486336633665</v>
      </c>
      <c r="H161" s="616"/>
      <c r="I161" s="382" t="str">
        <f t="shared" si="127"/>
        <v>Food</v>
      </c>
      <c r="J161" s="222" t="str">
        <f t="shared" ref="J161:M161" si="235">+J154</f>
        <v>BD</v>
      </c>
      <c r="K161" s="222" t="str">
        <f t="shared" si="235"/>
        <v>BE</v>
      </c>
      <c r="L161" s="222" t="str">
        <f t="shared" ref="L161" si="236">+L154</f>
        <v>BF</v>
      </c>
      <c r="M161" s="223">
        <f t="shared" si="235"/>
        <v>60</v>
      </c>
      <c r="N161" s="224"/>
    </row>
    <row r="162" spans="2:16" ht="12.75" customHeight="1">
      <c r="B162" s="164" t="str">
        <f t="shared" si="208"/>
        <v>IFDTF</v>
      </c>
      <c r="C162" s="164" t="str">
        <f t="shared" si="208"/>
        <v>Food industry Demand Haulage Tractors, Trucks, Fishing boats, Forest machines</v>
      </c>
      <c r="D162" s="166" t="str">
        <f t="shared" si="208"/>
        <v>PJ</v>
      </c>
      <c r="E162" s="171">
        <f t="shared" ca="1" si="189"/>
        <v>6.1416828356435644</v>
      </c>
      <c r="F162" s="171">
        <f t="shared" ca="1" si="190"/>
        <v>0</v>
      </c>
      <c r="G162" s="171">
        <f t="shared" ca="1" si="191"/>
        <v>0.32325961188118812</v>
      </c>
      <c r="I162" s="382" t="str">
        <f t="shared" si="127"/>
        <v>Food</v>
      </c>
      <c r="J162" s="222" t="str">
        <f t="shared" ref="J162:M162" si="237">+J155</f>
        <v>BD</v>
      </c>
      <c r="K162" s="222" t="str">
        <f t="shared" si="237"/>
        <v>BE</v>
      </c>
      <c r="L162" s="222" t="str">
        <f t="shared" ref="L162" si="238">+L155</f>
        <v>BF</v>
      </c>
      <c r="M162" s="223">
        <f t="shared" si="237"/>
        <v>61</v>
      </c>
      <c r="N162" s="224"/>
    </row>
    <row r="163" spans="2:16" ht="12.75" customHeight="1">
      <c r="B163" s="263" t="str">
        <f t="shared" si="208"/>
        <v>IFDFL</v>
      </c>
      <c r="C163" s="263" t="str">
        <f t="shared" si="208"/>
        <v>Food industry Demand Haulage Forklifts</v>
      </c>
      <c r="D163" s="264" t="str">
        <f t="shared" si="208"/>
        <v>PJ</v>
      </c>
      <c r="E163" s="171">
        <f t="shared" ca="1" si="189"/>
        <v>0.10775320396039605</v>
      </c>
      <c r="F163" s="171">
        <f t="shared" ca="1" si="190"/>
        <v>0</v>
      </c>
      <c r="G163" s="171">
        <f t="shared" ca="1" si="191"/>
        <v>5.682724752475248E-3</v>
      </c>
      <c r="I163" s="382" t="str">
        <f t="shared" si="127"/>
        <v>Food</v>
      </c>
      <c r="J163" s="222" t="str">
        <f t="shared" ref="J163:M163" si="239">+J156</f>
        <v>BD</v>
      </c>
      <c r="K163" s="222" t="str">
        <f t="shared" si="239"/>
        <v>BE</v>
      </c>
      <c r="L163" s="222" t="str">
        <f t="shared" ref="L163" si="240">+L156</f>
        <v>BF</v>
      </c>
      <c r="M163" s="223">
        <f t="shared" si="239"/>
        <v>62</v>
      </c>
      <c r="N163" s="224"/>
    </row>
    <row r="164" spans="2:16" ht="12.75" customHeight="1">
      <c r="B164" s="164" t="str">
        <f t="shared" si="208"/>
        <v>IRDPH</v>
      </c>
      <c r="C164" s="164" t="str">
        <f t="shared" si="208"/>
        <v>Paper &amp; Pulp industry Demand Process heat</v>
      </c>
      <c r="D164" s="166" t="str">
        <f t="shared" si="208"/>
        <v>PJ</v>
      </c>
      <c r="E164" s="253">
        <f t="shared" ca="1" si="189"/>
        <v>111.42400997227722</v>
      </c>
      <c r="F164" s="253">
        <f t="shared" ca="1" si="190"/>
        <v>6.1902670099009889</v>
      </c>
      <c r="G164" s="253">
        <f t="shared" ca="1" si="191"/>
        <v>6.1902670099009889</v>
      </c>
      <c r="I164" s="382" t="str">
        <f t="shared" si="127"/>
        <v>PulpPaper</v>
      </c>
      <c r="J164" s="222" t="str">
        <f t="shared" ref="J164:M164" si="241">+J157</f>
        <v>BD</v>
      </c>
      <c r="K164" s="222" t="str">
        <f t="shared" si="241"/>
        <v>BE</v>
      </c>
      <c r="L164" s="222" t="str">
        <f t="shared" ref="L164" si="242">+L157</f>
        <v>BF</v>
      </c>
      <c r="M164" s="223">
        <f t="shared" si="241"/>
        <v>26</v>
      </c>
      <c r="N164" s="224">
        <f>+N157</f>
        <v>37</v>
      </c>
      <c r="P164" s="226">
        <f ca="1">+SUM(INDIRECT("'" &amp; I164 &amp; "'!" &amp; "BD26:BE62")) - SUM(E164:F170)</f>
        <v>0</v>
      </c>
    </row>
    <row r="165" spans="2:16" ht="12.75" customHeight="1">
      <c r="B165" s="164" t="str">
        <f t="shared" si="208"/>
        <v>IRDCO</v>
      </c>
      <c r="C165" s="164" t="str">
        <f t="shared" si="208"/>
        <v>Paper &amp; Pulp industry Demand Cooling</v>
      </c>
      <c r="D165" s="166" t="str">
        <f t="shared" si="208"/>
        <v>PJ</v>
      </c>
      <c r="E165" s="171">
        <f t="shared" ca="1" si="189"/>
        <v>0</v>
      </c>
      <c r="F165" s="171">
        <f t="shared" ca="1" si="190"/>
        <v>0</v>
      </c>
      <c r="G165" s="171">
        <f t="shared" ca="1" si="191"/>
        <v>0</v>
      </c>
      <c r="H165" s="616"/>
      <c r="I165" s="382" t="str">
        <f t="shared" si="127"/>
        <v>PulpPaper</v>
      </c>
      <c r="J165" s="222" t="str">
        <f t="shared" ref="J165:M165" si="243">+J158</f>
        <v>BD</v>
      </c>
      <c r="K165" s="222" t="str">
        <f t="shared" si="243"/>
        <v>BE</v>
      </c>
      <c r="L165" s="222" t="str">
        <f t="shared" ref="L165" si="244">+L158</f>
        <v>BF</v>
      </c>
      <c r="M165" s="223">
        <f t="shared" si="243"/>
        <v>38</v>
      </c>
      <c r="N165" s="224">
        <f>+N158</f>
        <v>46</v>
      </c>
    </row>
    <row r="166" spans="2:16" ht="12.75" customHeight="1">
      <c r="B166" s="164" t="str">
        <f t="shared" si="208"/>
        <v>IRDSH</v>
      </c>
      <c r="C166" s="164" t="str">
        <f t="shared" si="208"/>
        <v>Paper &amp; Pulp industry Demand Spatial Heat</v>
      </c>
      <c r="D166" s="166" t="str">
        <f t="shared" si="208"/>
        <v>PJ</v>
      </c>
      <c r="E166" s="171">
        <f t="shared" ca="1" si="189"/>
        <v>26.85832132277228</v>
      </c>
      <c r="F166" s="171">
        <f t="shared" ca="1" si="190"/>
        <v>1.2302162376237625E-2</v>
      </c>
      <c r="G166" s="171">
        <f t="shared" ca="1" si="191"/>
        <v>1.2302162376237625E-2</v>
      </c>
      <c r="I166" s="382" t="str">
        <f t="shared" si="127"/>
        <v>PulpPaper</v>
      </c>
      <c r="J166" s="222" t="str">
        <f t="shared" ref="J166:M166" si="245">+J159</f>
        <v>BD</v>
      </c>
      <c r="K166" s="222" t="str">
        <f t="shared" si="245"/>
        <v>BE</v>
      </c>
      <c r="L166" s="222" t="str">
        <f t="shared" ref="L166" si="246">+L159</f>
        <v>BF</v>
      </c>
      <c r="M166" s="223">
        <f t="shared" si="245"/>
        <v>47</v>
      </c>
      <c r="N166" s="224">
        <f>+N159</f>
        <v>58</v>
      </c>
    </row>
    <row r="167" spans="2:16" ht="12.75" customHeight="1">
      <c r="B167" s="164" t="str">
        <f t="shared" si="208"/>
        <v>IRDLA</v>
      </c>
      <c r="C167" s="164" t="str">
        <f t="shared" si="208"/>
        <v>Paper &amp; Pulp industry Demand Light</v>
      </c>
      <c r="D167" s="166" t="str">
        <f t="shared" si="208"/>
        <v>PJ</v>
      </c>
      <c r="E167" s="171">
        <f t="shared" ca="1" si="189"/>
        <v>6.9086633346534647</v>
      </c>
      <c r="F167" s="171">
        <f t="shared" ca="1" si="190"/>
        <v>0.38381809900990099</v>
      </c>
      <c r="G167" s="171">
        <f t="shared" ca="1" si="191"/>
        <v>0.38381809900990099</v>
      </c>
      <c r="H167" s="616"/>
      <c r="I167" s="382" t="str">
        <f t="shared" si="127"/>
        <v>PulpPaper</v>
      </c>
      <c r="J167" s="222" t="str">
        <f t="shared" ref="J167:M167" si="247">+J160</f>
        <v>BD</v>
      </c>
      <c r="K167" s="222" t="str">
        <f t="shared" si="247"/>
        <v>BE</v>
      </c>
      <c r="L167" s="222" t="str">
        <f t="shared" ref="L167" si="248">+L160</f>
        <v>BF</v>
      </c>
      <c r="M167" s="223">
        <f t="shared" si="247"/>
        <v>59</v>
      </c>
      <c r="N167" s="224"/>
    </row>
    <row r="168" spans="2:16" ht="12.75" customHeight="1">
      <c r="B168" s="164" t="str">
        <f t="shared" ref="B168:D187" si="249">B67</f>
        <v>IRDEM</v>
      </c>
      <c r="C168" s="164" t="str">
        <f t="shared" si="249"/>
        <v>Paper &amp; Pulp industry Demand Electric Motors</v>
      </c>
      <c r="D168" s="166" t="str">
        <f t="shared" si="249"/>
        <v>PJ</v>
      </c>
      <c r="E168" s="171">
        <f t="shared" ca="1" si="189"/>
        <v>62.177876340594061</v>
      </c>
      <c r="F168" s="171">
        <f t="shared" ca="1" si="190"/>
        <v>3.4543316673267328</v>
      </c>
      <c r="G168" s="171">
        <f t="shared" ca="1" si="191"/>
        <v>3.4543316673267328</v>
      </c>
      <c r="H168" s="616"/>
      <c r="I168" s="382" t="str">
        <f t="shared" si="127"/>
        <v>PulpPaper</v>
      </c>
      <c r="J168" s="222" t="str">
        <f t="shared" ref="J168:M168" si="250">+J161</f>
        <v>BD</v>
      </c>
      <c r="K168" s="222" t="str">
        <f t="shared" si="250"/>
        <v>BE</v>
      </c>
      <c r="L168" s="222" t="str">
        <f t="shared" ref="L168" si="251">+L161</f>
        <v>BF</v>
      </c>
      <c r="M168" s="223">
        <f t="shared" si="250"/>
        <v>60</v>
      </c>
      <c r="N168" s="224"/>
      <c r="P168" s="226"/>
    </row>
    <row r="169" spans="2:16" ht="12.75" customHeight="1">
      <c r="B169" s="164" t="str">
        <f t="shared" si="249"/>
        <v>IRDTF</v>
      </c>
      <c r="C169" s="164" t="str">
        <f t="shared" si="249"/>
        <v>Paper &amp; Pulp industry Demand Haulage Tractors, Trucks, Fishing boats, Forest machines</v>
      </c>
      <c r="D169" s="166" t="str">
        <f t="shared" si="249"/>
        <v>PJ</v>
      </c>
      <c r="E169" s="171">
        <f t="shared" ca="1" si="189"/>
        <v>0.96331551683168315</v>
      </c>
      <c r="F169" s="171">
        <f t="shared" ca="1" si="190"/>
        <v>5.3517528712871285E-2</v>
      </c>
      <c r="G169" s="171">
        <f t="shared" ca="1" si="191"/>
        <v>5.3517528712871285E-2</v>
      </c>
      <c r="I169" s="382" t="str">
        <f t="shared" si="127"/>
        <v>PulpPaper</v>
      </c>
      <c r="J169" s="222" t="str">
        <f t="shared" ref="J169:M169" si="252">+J162</f>
        <v>BD</v>
      </c>
      <c r="K169" s="222" t="str">
        <f t="shared" si="252"/>
        <v>BE</v>
      </c>
      <c r="L169" s="222" t="str">
        <f t="shared" ref="L169" si="253">+L162</f>
        <v>BF</v>
      </c>
      <c r="M169" s="223">
        <f t="shared" si="252"/>
        <v>61</v>
      </c>
      <c r="N169" s="224"/>
    </row>
    <row r="170" spans="2:16" ht="12.75" customHeight="1">
      <c r="B170" s="263" t="str">
        <f t="shared" si="249"/>
        <v>IRDFL</v>
      </c>
      <c r="C170" s="263" t="str">
        <f t="shared" si="249"/>
        <v>Paper &amp; Pulp industry Demand Haulage Forklifts</v>
      </c>
      <c r="D170" s="264" t="str">
        <f t="shared" si="249"/>
        <v>PJ</v>
      </c>
      <c r="E170" s="171">
        <f t="shared" ca="1" si="189"/>
        <v>0.45933276831683167</v>
      </c>
      <c r="F170" s="171">
        <f t="shared" ca="1" si="190"/>
        <v>2.5525425742574253E-2</v>
      </c>
      <c r="G170" s="171">
        <f t="shared" ca="1" si="191"/>
        <v>2.5525425742574253E-2</v>
      </c>
      <c r="I170" s="382" t="str">
        <f t="shared" si="127"/>
        <v>PulpPaper</v>
      </c>
      <c r="J170" s="222" t="str">
        <f t="shared" ref="J170:M170" si="254">+J163</f>
        <v>BD</v>
      </c>
      <c r="K170" s="222" t="str">
        <f t="shared" si="254"/>
        <v>BE</v>
      </c>
      <c r="L170" s="222" t="str">
        <f t="shared" ref="L170" si="255">+L163</f>
        <v>BF</v>
      </c>
      <c r="M170" s="223">
        <f t="shared" si="254"/>
        <v>62</v>
      </c>
      <c r="N170" s="224"/>
    </row>
    <row r="171" spans="2:16" ht="12.75" customHeight="1">
      <c r="B171" s="164" t="str">
        <f t="shared" si="249"/>
        <v>IWDPH</v>
      </c>
      <c r="C171" s="164" t="str">
        <f t="shared" si="249"/>
        <v>Wood products industry Demand Process heat</v>
      </c>
      <c r="D171" s="166" t="str">
        <f t="shared" si="249"/>
        <v>PJ</v>
      </c>
      <c r="E171" s="253">
        <f t="shared" ca="1" si="189"/>
        <v>42.272165798019813</v>
      </c>
      <c r="F171" s="253">
        <f t="shared" ca="1" si="190"/>
        <v>2.348495287128713</v>
      </c>
      <c r="G171" s="253">
        <f t="shared" ca="1" si="191"/>
        <v>2.348495287128713</v>
      </c>
      <c r="I171" s="382" t="str">
        <f t="shared" si="127"/>
        <v>Wood</v>
      </c>
      <c r="J171" s="222" t="str">
        <f t="shared" ref="J171:M171" si="256">+J164</f>
        <v>BD</v>
      </c>
      <c r="K171" s="222" t="str">
        <f t="shared" si="256"/>
        <v>BE</v>
      </c>
      <c r="L171" s="222" t="str">
        <f t="shared" ref="L171" si="257">+L164</f>
        <v>BF</v>
      </c>
      <c r="M171" s="223">
        <f t="shared" si="256"/>
        <v>26</v>
      </c>
      <c r="N171" s="224">
        <f>+N164</f>
        <v>37</v>
      </c>
      <c r="P171" s="226">
        <f ca="1">+SUM(INDIRECT("'" &amp; I171 &amp; "'!" &amp; "BD26:BE62")) - SUM(E171:F177)</f>
        <v>0</v>
      </c>
    </row>
    <row r="172" spans="2:16" ht="12.75" customHeight="1">
      <c r="B172" s="164" t="str">
        <f t="shared" si="249"/>
        <v>IWDCO</v>
      </c>
      <c r="C172" s="164" t="str">
        <f t="shared" si="249"/>
        <v>Wood products industry Demand Cooling</v>
      </c>
      <c r="D172" s="166" t="str">
        <f t="shared" si="249"/>
        <v>PJ</v>
      </c>
      <c r="E172" s="171">
        <f t="shared" ref="E172:E198" ca="1" si="258">+SUM(INDIRECT("'" &amp; $I172 &amp; "'!" &amp; J172 &amp; $M172 &amp; IF(ISBLANK($N172),"",":" &amp; J172 &amp; $N172)))</f>
        <v>0</v>
      </c>
      <c r="F172" s="171">
        <f t="shared" ref="F172:F198" ca="1" si="259">+SUM(INDIRECT("'" &amp; $I172 &amp; "'!" &amp; K172 &amp; $M172 &amp; IF(ISBLANK($N172),"",":" &amp; K172 &amp; $N172)))</f>
        <v>0</v>
      </c>
      <c r="G172" s="171">
        <f t="shared" ref="G172:G198" ca="1" si="260">+SUM(INDIRECT("'" &amp; $I172 &amp; "'!" &amp; L172 &amp; $M172 &amp; IF(ISBLANK($N172),"",":" &amp; L172 &amp; $N172)))</f>
        <v>0</v>
      </c>
      <c r="H172" s="616"/>
      <c r="I172" s="382" t="str">
        <f t="shared" si="127"/>
        <v>Wood</v>
      </c>
      <c r="J172" s="222" t="str">
        <f t="shared" ref="J172:M172" si="261">+J165</f>
        <v>BD</v>
      </c>
      <c r="K172" s="222" t="str">
        <f t="shared" si="261"/>
        <v>BE</v>
      </c>
      <c r="L172" s="222" t="str">
        <f t="shared" ref="L172" si="262">+L165</f>
        <v>BF</v>
      </c>
      <c r="M172" s="223">
        <f t="shared" si="261"/>
        <v>38</v>
      </c>
      <c r="N172" s="224">
        <f>+N165</f>
        <v>46</v>
      </c>
    </row>
    <row r="173" spans="2:16" ht="12.75" customHeight="1">
      <c r="B173" s="164" t="str">
        <f t="shared" si="249"/>
        <v>IWDSH</v>
      </c>
      <c r="C173" s="164" t="str">
        <f t="shared" si="249"/>
        <v>Wood products industry Demand Spatial Heat</v>
      </c>
      <c r="D173" s="166" t="str">
        <f t="shared" si="249"/>
        <v>PJ</v>
      </c>
      <c r="E173" s="171">
        <f t="shared" ca="1" si="258"/>
        <v>2.7710932990099009</v>
      </c>
      <c r="F173" s="171">
        <f t="shared" ca="1" si="259"/>
        <v>2.5915722772277229E-3</v>
      </c>
      <c r="G173" s="171">
        <f t="shared" ca="1" si="260"/>
        <v>2.5915722772277229E-3</v>
      </c>
      <c r="I173" s="382" t="str">
        <f t="shared" ref="I173:I198" si="263">I72</f>
        <v>Wood</v>
      </c>
      <c r="J173" s="222" t="str">
        <f t="shared" ref="J173:M173" si="264">+J166</f>
        <v>BD</v>
      </c>
      <c r="K173" s="222" t="str">
        <f t="shared" si="264"/>
        <v>BE</v>
      </c>
      <c r="L173" s="222" t="str">
        <f t="shared" ref="L173" si="265">+L166</f>
        <v>BF</v>
      </c>
      <c r="M173" s="223">
        <f t="shared" si="264"/>
        <v>47</v>
      </c>
      <c r="N173" s="224">
        <f>+N166</f>
        <v>58</v>
      </c>
    </row>
    <row r="174" spans="2:16" ht="12.75" customHeight="1">
      <c r="B174" s="164" t="str">
        <f t="shared" si="249"/>
        <v>IWDLA</v>
      </c>
      <c r="C174" s="164" t="str">
        <f t="shared" si="249"/>
        <v>Wood products industry Demand Light</v>
      </c>
      <c r="D174" s="166" t="str">
        <f t="shared" si="249"/>
        <v>PJ</v>
      </c>
      <c r="E174" s="171">
        <f t="shared" ca="1" si="258"/>
        <v>1.4554176237623764</v>
      </c>
      <c r="F174" s="171">
        <f t="shared" ca="1" si="259"/>
        <v>8.0869544554455455E-2</v>
      </c>
      <c r="G174" s="171">
        <f t="shared" ca="1" si="260"/>
        <v>8.0869544554455455E-2</v>
      </c>
      <c r="H174" s="616"/>
      <c r="I174" s="382" t="str">
        <f t="shared" si="263"/>
        <v>Wood</v>
      </c>
      <c r="J174" s="222" t="str">
        <f t="shared" ref="J174:M174" si="266">+J167</f>
        <v>BD</v>
      </c>
      <c r="K174" s="222" t="str">
        <f t="shared" si="266"/>
        <v>BE</v>
      </c>
      <c r="L174" s="222" t="str">
        <f t="shared" ref="L174" si="267">+L167</f>
        <v>BF</v>
      </c>
      <c r="M174" s="223">
        <f t="shared" si="266"/>
        <v>59</v>
      </c>
      <c r="N174" s="224"/>
    </row>
    <row r="175" spans="2:16" ht="12.75" customHeight="1">
      <c r="B175" s="164" t="str">
        <f t="shared" si="249"/>
        <v>IWDEM</v>
      </c>
      <c r="C175" s="164" t="str">
        <f t="shared" si="249"/>
        <v>Wood products industry Demand Electric Motors</v>
      </c>
      <c r="D175" s="166" t="str">
        <f t="shared" si="249"/>
        <v>PJ</v>
      </c>
      <c r="E175" s="171">
        <f t="shared" ca="1" si="258"/>
        <v>13.098680554455447</v>
      </c>
      <c r="F175" s="171">
        <f t="shared" ca="1" si="259"/>
        <v>0.72771661782178221</v>
      </c>
      <c r="G175" s="171">
        <f t="shared" ca="1" si="260"/>
        <v>0.72771661782178221</v>
      </c>
      <c r="H175" s="616"/>
      <c r="I175" s="382" t="str">
        <f t="shared" si="263"/>
        <v>Wood</v>
      </c>
      <c r="J175" s="222" t="str">
        <f t="shared" ref="J175:M175" si="268">+J168</f>
        <v>BD</v>
      </c>
      <c r="K175" s="222" t="str">
        <f t="shared" si="268"/>
        <v>BE</v>
      </c>
      <c r="L175" s="222" t="str">
        <f t="shared" ref="L175" si="269">+L168</f>
        <v>BF</v>
      </c>
      <c r="M175" s="223">
        <f t="shared" si="268"/>
        <v>60</v>
      </c>
      <c r="N175" s="224"/>
    </row>
    <row r="176" spans="2:16" ht="12.75" customHeight="1">
      <c r="B176" s="164" t="str">
        <f t="shared" si="249"/>
        <v>IWDTF</v>
      </c>
      <c r="C176" s="164" t="str">
        <f t="shared" si="249"/>
        <v>Wood products industry Demand Haulage Tractors, Trucks, Fishing boats, Forest machines</v>
      </c>
      <c r="D176" s="166" t="str">
        <f t="shared" si="249"/>
        <v>PJ</v>
      </c>
      <c r="E176" s="171">
        <f t="shared" ca="1" si="258"/>
        <v>0.42386257425742579</v>
      </c>
      <c r="F176" s="171">
        <f t="shared" ca="1" si="259"/>
        <v>2.3558328712871286E-2</v>
      </c>
      <c r="G176" s="171">
        <f t="shared" ca="1" si="260"/>
        <v>2.3558328712871286E-2</v>
      </c>
      <c r="I176" s="382" t="str">
        <f t="shared" si="263"/>
        <v>Wood</v>
      </c>
      <c r="J176" s="222" t="str">
        <f t="shared" ref="J176:M176" si="270">+J169</f>
        <v>BD</v>
      </c>
      <c r="K176" s="222" t="str">
        <f t="shared" si="270"/>
        <v>BE</v>
      </c>
      <c r="L176" s="222" t="str">
        <f t="shared" ref="L176" si="271">+L169</f>
        <v>BF</v>
      </c>
      <c r="M176" s="223">
        <f t="shared" si="270"/>
        <v>61</v>
      </c>
      <c r="N176" s="224"/>
    </row>
    <row r="177" spans="2:16" ht="12.75" customHeight="1">
      <c r="B177" s="263" t="str">
        <f t="shared" si="249"/>
        <v>IWDFL</v>
      </c>
      <c r="C177" s="263" t="str">
        <f t="shared" si="249"/>
        <v>Wood products industry Demand Haulage Forklifts</v>
      </c>
      <c r="D177" s="264" t="str">
        <f t="shared" si="249"/>
        <v>PJ</v>
      </c>
      <c r="E177" s="171">
        <f t="shared" ca="1" si="258"/>
        <v>3.0630510891089112E-2</v>
      </c>
      <c r="F177" s="171">
        <f t="shared" ca="1" si="259"/>
        <v>1.7016950495049505E-3</v>
      </c>
      <c r="G177" s="171">
        <f t="shared" ca="1" si="260"/>
        <v>1.7016950495049505E-3</v>
      </c>
      <c r="I177" s="382" t="str">
        <f t="shared" si="263"/>
        <v>Wood</v>
      </c>
      <c r="J177" s="222" t="str">
        <f t="shared" ref="J177:M177" si="272">+J170</f>
        <v>BD</v>
      </c>
      <c r="K177" s="222" t="str">
        <f t="shared" si="272"/>
        <v>BE</v>
      </c>
      <c r="L177" s="222" t="str">
        <f t="shared" ref="L177" si="273">+L170</f>
        <v>BF</v>
      </c>
      <c r="M177" s="223">
        <f t="shared" si="272"/>
        <v>62</v>
      </c>
      <c r="N177" s="224"/>
    </row>
    <row r="178" spans="2:16" ht="12.75" customHeight="1">
      <c r="B178" s="164" t="str">
        <f t="shared" si="249"/>
        <v>ILDPH</v>
      </c>
      <c r="C178" s="164" t="str">
        <f t="shared" si="249"/>
        <v>Textile &amp; Leather Demand Process heat</v>
      </c>
      <c r="D178" s="166" t="str">
        <f t="shared" si="249"/>
        <v>PJ</v>
      </c>
      <c r="E178" s="253">
        <f t="shared" ca="1" si="258"/>
        <v>10.412984245544553</v>
      </c>
      <c r="F178" s="253">
        <f t="shared" ca="1" si="259"/>
        <v>0.57854509306930701</v>
      </c>
      <c r="G178" s="253">
        <f t="shared" ca="1" si="260"/>
        <v>0.57854509306930701</v>
      </c>
      <c r="I178" s="382" t="str">
        <f t="shared" si="263"/>
        <v>TextileLeather</v>
      </c>
      <c r="J178" s="222" t="str">
        <f t="shared" ref="J178:M178" si="274">+J171</f>
        <v>BD</v>
      </c>
      <c r="K178" s="222" t="str">
        <f t="shared" si="274"/>
        <v>BE</v>
      </c>
      <c r="L178" s="222" t="str">
        <f t="shared" ref="L178" si="275">+L171</f>
        <v>BF</v>
      </c>
      <c r="M178" s="223">
        <f t="shared" si="274"/>
        <v>26</v>
      </c>
      <c r="N178" s="224">
        <f>+N171</f>
        <v>37</v>
      </c>
      <c r="P178" s="226">
        <f ca="1">+SUM(INDIRECT("'" &amp; I178 &amp; "'!" &amp; "BD26:BE62")) - SUM(E178:F184)</f>
        <v>0</v>
      </c>
    </row>
    <row r="179" spans="2:16" ht="12.75" customHeight="1">
      <c r="B179" s="164" t="str">
        <f t="shared" si="249"/>
        <v>ILDCO</v>
      </c>
      <c r="C179" s="164" t="str">
        <f t="shared" si="249"/>
        <v>Textile &amp; Leather Demand Cooling</v>
      </c>
      <c r="D179" s="166" t="str">
        <f t="shared" si="249"/>
        <v>PJ</v>
      </c>
      <c r="E179" s="255">
        <f t="shared" ca="1" si="258"/>
        <v>0.66779821782178217</v>
      </c>
      <c r="F179" s="255">
        <f t="shared" ca="1" si="259"/>
        <v>3.7109441584158416E-2</v>
      </c>
      <c r="G179" s="255">
        <f t="shared" ca="1" si="260"/>
        <v>3.7109441584158416E-2</v>
      </c>
      <c r="H179" s="616"/>
      <c r="I179" s="382" t="str">
        <f t="shared" si="263"/>
        <v>TextileLeather</v>
      </c>
      <c r="J179" s="222" t="str">
        <f t="shared" ref="J179:M179" si="276">+J172</f>
        <v>BD</v>
      </c>
      <c r="K179" s="222" t="str">
        <f t="shared" si="276"/>
        <v>BE</v>
      </c>
      <c r="L179" s="222" t="str">
        <f t="shared" ref="L179" si="277">+L172</f>
        <v>BF</v>
      </c>
      <c r="M179" s="223">
        <f t="shared" si="276"/>
        <v>38</v>
      </c>
      <c r="N179" s="224">
        <f>+N172</f>
        <v>46</v>
      </c>
    </row>
    <row r="180" spans="2:16" ht="12.75" customHeight="1">
      <c r="B180" s="164" t="str">
        <f t="shared" si="249"/>
        <v>ILDSH</v>
      </c>
      <c r="C180" s="164" t="str">
        <f t="shared" si="249"/>
        <v>Textile &amp; Leather Demand Spatial Heat</v>
      </c>
      <c r="D180" s="166" t="str">
        <f t="shared" si="249"/>
        <v>PJ</v>
      </c>
      <c r="E180" s="171">
        <f t="shared" ca="1" si="258"/>
        <v>2.4842249821782181</v>
      </c>
      <c r="F180" s="171">
        <f t="shared" ca="1" si="259"/>
        <v>1.5455762376237624E-2</v>
      </c>
      <c r="G180" s="171">
        <f t="shared" ca="1" si="260"/>
        <v>1.5455762376237624E-2</v>
      </c>
      <c r="I180" s="382" t="str">
        <f t="shared" si="263"/>
        <v>TextileLeather</v>
      </c>
      <c r="J180" s="222" t="str">
        <f t="shared" ref="J180:M180" si="278">+J173</f>
        <v>BD</v>
      </c>
      <c r="K180" s="222" t="str">
        <f t="shared" si="278"/>
        <v>BE</v>
      </c>
      <c r="L180" s="222" t="str">
        <f t="shared" ref="L180" si="279">+L173</f>
        <v>BF</v>
      </c>
      <c r="M180" s="223">
        <f t="shared" si="278"/>
        <v>47</v>
      </c>
      <c r="N180" s="224">
        <f>+N173</f>
        <v>58</v>
      </c>
    </row>
    <row r="181" spans="2:16" ht="12.75" customHeight="1">
      <c r="B181" s="164" t="str">
        <f t="shared" si="249"/>
        <v>ILDLA</v>
      </c>
      <c r="C181" s="164" t="str">
        <f t="shared" si="249"/>
        <v>Textile &amp; Leather Demand Light</v>
      </c>
      <c r="D181" s="166" t="str">
        <f t="shared" si="249"/>
        <v>PJ</v>
      </c>
      <c r="E181" s="171">
        <f t="shared" ca="1" si="258"/>
        <v>1.2442669306930696</v>
      </c>
      <c r="F181" s="171">
        <f t="shared" ca="1" si="259"/>
        <v>6.9129409900990091E-2</v>
      </c>
      <c r="G181" s="171">
        <f t="shared" ca="1" si="260"/>
        <v>6.9129409900990091E-2</v>
      </c>
      <c r="H181" s="616"/>
      <c r="I181" s="382" t="str">
        <f t="shared" si="263"/>
        <v>TextileLeather</v>
      </c>
      <c r="J181" s="222" t="str">
        <f t="shared" ref="J181:M181" si="280">+J174</f>
        <v>BD</v>
      </c>
      <c r="K181" s="222" t="str">
        <f t="shared" si="280"/>
        <v>BE</v>
      </c>
      <c r="L181" s="222" t="str">
        <f t="shared" ref="L181" si="281">+L174</f>
        <v>BF</v>
      </c>
      <c r="M181" s="223">
        <f t="shared" si="280"/>
        <v>59</v>
      </c>
      <c r="N181" s="224"/>
    </row>
    <row r="182" spans="2:16" ht="12.75" customHeight="1">
      <c r="B182" s="164" t="str">
        <f t="shared" si="249"/>
        <v>ILDEM</v>
      </c>
      <c r="C182" s="164" t="str">
        <f t="shared" si="249"/>
        <v>Textile &amp; Leather Demand Electric Motors</v>
      </c>
      <c r="D182" s="166" t="str">
        <f t="shared" si="249"/>
        <v>PJ</v>
      </c>
      <c r="E182" s="171">
        <f t="shared" ca="1" si="258"/>
        <v>3.5863925702970301</v>
      </c>
      <c r="F182" s="171">
        <f t="shared" ca="1" si="259"/>
        <v>0.19925443960396041</v>
      </c>
      <c r="G182" s="171">
        <f t="shared" ca="1" si="260"/>
        <v>0.19925443960396041</v>
      </c>
      <c r="H182" s="616"/>
      <c r="I182" s="382" t="str">
        <f t="shared" si="263"/>
        <v>TextileLeather</v>
      </c>
      <c r="J182" s="222" t="str">
        <f t="shared" ref="J182:M182" si="282">+J175</f>
        <v>BD</v>
      </c>
      <c r="K182" s="222" t="str">
        <f t="shared" si="282"/>
        <v>BE</v>
      </c>
      <c r="L182" s="222" t="str">
        <f t="shared" ref="L182" si="283">+L175</f>
        <v>BF</v>
      </c>
      <c r="M182" s="223">
        <f t="shared" si="282"/>
        <v>60</v>
      </c>
      <c r="N182" s="224"/>
    </row>
    <row r="183" spans="2:16" ht="12.75" customHeight="1">
      <c r="B183" s="164" t="str">
        <f t="shared" si="249"/>
        <v>ILDTF</v>
      </c>
      <c r="C183" s="164" t="str">
        <f t="shared" si="249"/>
        <v>Textile &amp; Leather Demand Haulage Tractors, Trucks, Fishing boats, Forest machines</v>
      </c>
      <c r="D183" s="254" t="str">
        <f t="shared" si="249"/>
        <v>PJ</v>
      </c>
      <c r="E183" s="171">
        <f t="shared" ca="1" si="258"/>
        <v>0.73213478019801981</v>
      </c>
      <c r="F183" s="171">
        <f t="shared" ca="1" si="259"/>
        <v>4.0684562376237625E-2</v>
      </c>
      <c r="G183" s="171">
        <f t="shared" ca="1" si="260"/>
        <v>4.0684562376237625E-2</v>
      </c>
      <c r="I183" s="382" t="str">
        <f t="shared" si="263"/>
        <v>TextileLeather</v>
      </c>
      <c r="J183" s="222" t="str">
        <f t="shared" ref="J183:M183" si="284">+J176</f>
        <v>BD</v>
      </c>
      <c r="K183" s="222" t="str">
        <f t="shared" si="284"/>
        <v>BE</v>
      </c>
      <c r="L183" s="222" t="str">
        <f t="shared" ref="L183" si="285">+L176</f>
        <v>BF</v>
      </c>
      <c r="M183" s="223">
        <f t="shared" si="284"/>
        <v>61</v>
      </c>
      <c r="N183" s="224"/>
    </row>
    <row r="184" spans="2:16" ht="12.75" customHeight="1">
      <c r="B184" s="263" t="str">
        <f t="shared" si="249"/>
        <v>ILDFL</v>
      </c>
      <c r="C184" s="263" t="str">
        <f t="shared" si="249"/>
        <v>Textile &amp; Leather Demand Haulage Forklifts</v>
      </c>
      <c r="D184" s="264" t="str">
        <f t="shared" si="249"/>
        <v>PJ</v>
      </c>
      <c r="E184" s="171">
        <f t="shared" ca="1" si="258"/>
        <v>3.0630510891089112E-2</v>
      </c>
      <c r="F184" s="171">
        <f t="shared" ca="1" si="259"/>
        <v>1.7016950495049505E-3</v>
      </c>
      <c r="G184" s="171">
        <f t="shared" ca="1" si="260"/>
        <v>1.7016950495049505E-3</v>
      </c>
      <c r="I184" s="382" t="str">
        <f t="shared" si="263"/>
        <v>TextileLeather</v>
      </c>
      <c r="J184" s="222" t="str">
        <f t="shared" ref="J184:M184" si="286">+J177</f>
        <v>BD</v>
      </c>
      <c r="K184" s="222" t="str">
        <f t="shared" si="286"/>
        <v>BE</v>
      </c>
      <c r="L184" s="222" t="str">
        <f t="shared" ref="L184" si="287">+L177</f>
        <v>BF</v>
      </c>
      <c r="M184" s="223">
        <f t="shared" si="286"/>
        <v>62</v>
      </c>
      <c r="N184" s="224"/>
    </row>
    <row r="185" spans="2:16" ht="12.75" customHeight="1">
      <c r="B185" s="164" t="str">
        <f t="shared" si="249"/>
        <v>INDPH</v>
      </c>
      <c r="C185" s="164" t="str">
        <f t="shared" si="249"/>
        <v>Construction Demand Process heat</v>
      </c>
      <c r="D185" s="166" t="str">
        <f t="shared" si="249"/>
        <v>PJ</v>
      </c>
      <c r="E185" s="253">
        <f t="shared" ca="1" si="258"/>
        <v>18.412199928712869</v>
      </c>
      <c r="F185" s="253">
        <f t="shared" ca="1" si="259"/>
        <v>1.0229060673267327</v>
      </c>
      <c r="G185" s="253">
        <f t="shared" ca="1" si="260"/>
        <v>1.0229060673267327</v>
      </c>
      <c r="I185" s="382" t="str">
        <f t="shared" si="263"/>
        <v>Construction</v>
      </c>
      <c r="J185" s="222" t="str">
        <f t="shared" ref="J185:M185" si="288">+J178</f>
        <v>BD</v>
      </c>
      <c r="K185" s="222" t="str">
        <f t="shared" si="288"/>
        <v>BE</v>
      </c>
      <c r="L185" s="222" t="str">
        <f t="shared" ref="L185" si="289">+L178</f>
        <v>BF</v>
      </c>
      <c r="M185" s="223">
        <f t="shared" si="288"/>
        <v>26</v>
      </c>
      <c r="N185" s="224">
        <f>+N178</f>
        <v>37</v>
      </c>
      <c r="P185" s="226">
        <f ca="1">+SUM(INDIRECT("'" &amp; I185 &amp; "'!" &amp; "BD26:BE62")) - SUM(E185:F191)</f>
        <v>0</v>
      </c>
    </row>
    <row r="186" spans="2:16" ht="12.75" customHeight="1">
      <c r="B186" s="164" t="str">
        <f t="shared" si="249"/>
        <v>INDCO</v>
      </c>
      <c r="C186" s="164" t="str">
        <f t="shared" si="249"/>
        <v>Construction Demand Cooling</v>
      </c>
      <c r="D186" s="166" t="str">
        <f t="shared" si="249"/>
        <v>PJ</v>
      </c>
      <c r="E186" s="171">
        <f t="shared" ca="1" si="258"/>
        <v>0</v>
      </c>
      <c r="F186" s="171">
        <f t="shared" ca="1" si="259"/>
        <v>0</v>
      </c>
      <c r="G186" s="171">
        <f t="shared" ca="1" si="260"/>
        <v>0</v>
      </c>
      <c r="H186" s="616"/>
      <c r="I186" s="382" t="str">
        <f t="shared" si="263"/>
        <v>Construction</v>
      </c>
      <c r="J186" s="222" t="str">
        <f t="shared" ref="J186:M186" si="290">+J179</f>
        <v>BD</v>
      </c>
      <c r="K186" s="222" t="str">
        <f t="shared" si="290"/>
        <v>BE</v>
      </c>
      <c r="L186" s="222" t="str">
        <f t="shared" ref="L186" si="291">+L179</f>
        <v>BF</v>
      </c>
      <c r="M186" s="223">
        <f t="shared" si="290"/>
        <v>38</v>
      </c>
      <c r="N186" s="224">
        <f>+N179</f>
        <v>46</v>
      </c>
    </row>
    <row r="187" spans="2:16" ht="12.75" customHeight="1">
      <c r="B187" s="164" t="str">
        <f t="shared" si="249"/>
        <v>INDSH</v>
      </c>
      <c r="C187" s="164" t="str">
        <f t="shared" si="249"/>
        <v>Construction Demand Spatial Heat</v>
      </c>
      <c r="D187" s="166" t="str">
        <f t="shared" si="249"/>
        <v>PJ</v>
      </c>
      <c r="E187" s="171">
        <f t="shared" ca="1" si="258"/>
        <v>0.48571684752475253</v>
      </c>
      <c r="F187" s="171">
        <f t="shared" ca="1" si="259"/>
        <v>2.6992942574257425E-2</v>
      </c>
      <c r="G187" s="171">
        <f t="shared" ca="1" si="260"/>
        <v>2.6992942574257425E-2</v>
      </c>
      <c r="I187" s="382" t="str">
        <f t="shared" si="263"/>
        <v>Construction</v>
      </c>
      <c r="J187" s="222" t="str">
        <f t="shared" ref="J187:M187" si="292">+J180</f>
        <v>BD</v>
      </c>
      <c r="K187" s="222" t="str">
        <f t="shared" si="292"/>
        <v>BE</v>
      </c>
      <c r="L187" s="222" t="str">
        <f t="shared" ref="L187" si="293">+L180</f>
        <v>BF</v>
      </c>
      <c r="M187" s="223">
        <f t="shared" si="292"/>
        <v>47</v>
      </c>
      <c r="N187" s="224">
        <f>+N180</f>
        <v>58</v>
      </c>
    </row>
    <row r="188" spans="2:16" ht="12.75" customHeight="1">
      <c r="B188" s="164" t="str">
        <f t="shared" ref="B188:D198" si="294">B87</f>
        <v>INDLA</v>
      </c>
      <c r="C188" s="164" t="str">
        <f t="shared" si="294"/>
        <v>Construction Demand Light</v>
      </c>
      <c r="D188" s="166" t="str">
        <f t="shared" si="294"/>
        <v>PJ</v>
      </c>
      <c r="E188" s="171">
        <f t="shared" ca="1" si="258"/>
        <v>2.1729084594059405</v>
      </c>
      <c r="F188" s="171">
        <f t="shared" ca="1" si="259"/>
        <v>0.12072667722772279</v>
      </c>
      <c r="G188" s="171">
        <f t="shared" ca="1" si="260"/>
        <v>0.12072667722772279</v>
      </c>
      <c r="H188" s="616"/>
      <c r="I188" s="382" t="str">
        <f t="shared" si="263"/>
        <v>Construction</v>
      </c>
      <c r="J188" s="222" t="str">
        <f t="shared" ref="J188:M188" si="295">+J181</f>
        <v>BD</v>
      </c>
      <c r="K188" s="222" t="str">
        <f t="shared" si="295"/>
        <v>BE</v>
      </c>
      <c r="L188" s="222" t="str">
        <f t="shared" ref="L188" si="296">+L181</f>
        <v>BF</v>
      </c>
      <c r="M188" s="223">
        <f t="shared" si="295"/>
        <v>59</v>
      </c>
      <c r="N188" s="224"/>
    </row>
    <row r="189" spans="2:16" ht="12.75" customHeight="1">
      <c r="B189" s="164" t="str">
        <f t="shared" si="294"/>
        <v>INDEM</v>
      </c>
      <c r="C189" s="164" t="str">
        <f t="shared" si="294"/>
        <v>Construction Demand Electric Motors</v>
      </c>
      <c r="D189" s="166" t="str">
        <f t="shared" si="294"/>
        <v>PJ</v>
      </c>
      <c r="E189" s="171">
        <f t="shared" ca="1" si="258"/>
        <v>10.097624245544555</v>
      </c>
      <c r="F189" s="171">
        <f t="shared" ca="1" si="259"/>
        <v>0.56098172673267321</v>
      </c>
      <c r="G189" s="171">
        <f t="shared" ca="1" si="260"/>
        <v>0.56098172673267321</v>
      </c>
      <c r="H189" s="616"/>
      <c r="I189" s="382" t="str">
        <f t="shared" si="263"/>
        <v>Construction</v>
      </c>
      <c r="J189" s="222" t="str">
        <f t="shared" ref="J189:M189" si="297">+J182</f>
        <v>BD</v>
      </c>
      <c r="K189" s="222" t="str">
        <f t="shared" si="297"/>
        <v>BE</v>
      </c>
      <c r="L189" s="222" t="str">
        <f t="shared" ref="L189" si="298">+L182</f>
        <v>BF</v>
      </c>
      <c r="M189" s="223">
        <f t="shared" si="297"/>
        <v>60</v>
      </c>
      <c r="N189" s="224"/>
    </row>
    <row r="190" spans="2:16" ht="12.75" customHeight="1">
      <c r="B190" s="164" t="str">
        <f t="shared" si="294"/>
        <v>INDTF</v>
      </c>
      <c r="C190" s="164" t="str">
        <f t="shared" si="294"/>
        <v>Construction Demand Haulage Tractors, Trucks, Fishing boats, Forest machines</v>
      </c>
      <c r="D190" s="166" t="str">
        <f t="shared" si="294"/>
        <v>PJ</v>
      </c>
      <c r="E190" s="171">
        <f t="shared" ca="1" si="258"/>
        <v>0</v>
      </c>
      <c r="F190" s="171">
        <f t="shared" ca="1" si="259"/>
        <v>0</v>
      </c>
      <c r="G190" s="171">
        <f t="shared" ca="1" si="260"/>
        <v>0</v>
      </c>
      <c r="I190" s="382" t="str">
        <f t="shared" si="263"/>
        <v>Construction</v>
      </c>
      <c r="J190" s="222" t="str">
        <f t="shared" ref="J190:M190" si="299">+J183</f>
        <v>BD</v>
      </c>
      <c r="K190" s="222" t="str">
        <f t="shared" si="299"/>
        <v>BE</v>
      </c>
      <c r="L190" s="222" t="str">
        <f t="shared" ref="L190" si="300">+L183</f>
        <v>BF</v>
      </c>
      <c r="M190" s="223">
        <f t="shared" si="299"/>
        <v>61</v>
      </c>
      <c r="N190" s="224"/>
    </row>
    <row r="191" spans="2:16" ht="12.75" customHeight="1">
      <c r="B191" s="263" t="str">
        <f t="shared" si="294"/>
        <v>INDFL</v>
      </c>
      <c r="C191" s="263" t="str">
        <f t="shared" si="294"/>
        <v>Construction Demand Haulage Forklifts</v>
      </c>
      <c r="D191" s="264" t="str">
        <f t="shared" si="294"/>
        <v>PJ</v>
      </c>
      <c r="E191" s="265">
        <f t="shared" ca="1" si="258"/>
        <v>0</v>
      </c>
      <c r="F191" s="265">
        <f t="shared" ca="1" si="259"/>
        <v>0</v>
      </c>
      <c r="G191" s="265">
        <f t="shared" ca="1" si="260"/>
        <v>0</v>
      </c>
      <c r="I191" s="382" t="str">
        <f t="shared" si="263"/>
        <v>Construction</v>
      </c>
      <c r="J191" s="222" t="str">
        <f t="shared" ref="J191:M191" si="301">+J184</f>
        <v>BD</v>
      </c>
      <c r="K191" s="222" t="str">
        <f t="shared" si="301"/>
        <v>BE</v>
      </c>
      <c r="L191" s="222" t="str">
        <f t="shared" ref="L191" si="302">+L184</f>
        <v>BF</v>
      </c>
      <c r="M191" s="223">
        <f t="shared" si="301"/>
        <v>62</v>
      </c>
      <c r="N191" s="224"/>
    </row>
    <row r="192" spans="2:16" ht="12.75" customHeight="1">
      <c r="B192" s="164" t="str">
        <f t="shared" si="294"/>
        <v>IODPH</v>
      </c>
      <c r="C192" s="164" t="str">
        <f t="shared" si="294"/>
        <v>Other comm Demand Process heat</v>
      </c>
      <c r="D192" s="166" t="str">
        <f t="shared" si="294"/>
        <v>PJ</v>
      </c>
      <c r="E192" s="255">
        <f t="shared" ca="1" si="258"/>
        <v>33.899232902970297</v>
      </c>
      <c r="F192" s="255">
        <f t="shared" ca="1" si="259"/>
        <v>1.8833236752475249</v>
      </c>
      <c r="G192" s="255">
        <f t="shared" ca="1" si="260"/>
        <v>1.8833236752475249</v>
      </c>
      <c r="I192" s="382" t="str">
        <f t="shared" si="263"/>
        <v>Other</v>
      </c>
      <c r="J192" s="222" t="str">
        <f t="shared" ref="J192:M192" si="303">+J185</f>
        <v>BD</v>
      </c>
      <c r="K192" s="222" t="str">
        <f t="shared" si="303"/>
        <v>BE</v>
      </c>
      <c r="L192" s="222" t="str">
        <f t="shared" ref="L192" si="304">+L185</f>
        <v>BF</v>
      </c>
      <c r="M192" s="223">
        <f t="shared" si="303"/>
        <v>26</v>
      </c>
      <c r="N192" s="224">
        <f>+N185</f>
        <v>37</v>
      </c>
      <c r="P192" s="226">
        <f ca="1">+SUM(INDIRECT("'" &amp; I192 &amp; "'!" &amp; "BD26:BE62")) - SUM(E192:F198)</f>
        <v>0</v>
      </c>
    </row>
    <row r="193" spans="2:16" ht="12.75" customHeight="1">
      <c r="B193" s="164" t="str">
        <f t="shared" si="294"/>
        <v>IODCO</v>
      </c>
      <c r="C193" s="164" t="str">
        <f t="shared" si="294"/>
        <v>Other comm Demand Cooling</v>
      </c>
      <c r="D193" s="166" t="str">
        <f t="shared" si="294"/>
        <v>PJ</v>
      </c>
      <c r="E193" s="171">
        <f t="shared" ca="1" si="258"/>
        <v>5.0966391207920791</v>
      </c>
      <c r="F193" s="171">
        <f t="shared" ca="1" si="259"/>
        <v>0.28315268910891089</v>
      </c>
      <c r="G193" s="171">
        <f t="shared" ca="1" si="260"/>
        <v>0.28315268910891089</v>
      </c>
      <c r="H193" s="616"/>
      <c r="I193" s="382" t="str">
        <f t="shared" si="263"/>
        <v>Other</v>
      </c>
      <c r="J193" s="222" t="str">
        <f t="shared" ref="J193:M193" si="305">+J186</f>
        <v>BD</v>
      </c>
      <c r="K193" s="222" t="str">
        <f t="shared" si="305"/>
        <v>BE</v>
      </c>
      <c r="L193" s="222" t="str">
        <f t="shared" ref="L193" si="306">+L186</f>
        <v>BF</v>
      </c>
      <c r="M193" s="223">
        <f t="shared" si="305"/>
        <v>38</v>
      </c>
      <c r="N193" s="224">
        <f>+N186</f>
        <v>46</v>
      </c>
    </row>
    <row r="194" spans="2:16" ht="12.75" customHeight="1">
      <c r="B194" s="164" t="str">
        <f t="shared" si="294"/>
        <v>IODSH</v>
      </c>
      <c r="C194" s="164" t="str">
        <f t="shared" si="294"/>
        <v>Other comm Demand Spatial Heat</v>
      </c>
      <c r="D194" s="166" t="str">
        <f t="shared" si="294"/>
        <v>PJ</v>
      </c>
      <c r="E194" s="171">
        <f t="shared" ca="1" si="258"/>
        <v>7.9760476514851479</v>
      </c>
      <c r="F194" s="171">
        <f t="shared" ca="1" si="259"/>
        <v>8.8456918811881197E-2</v>
      </c>
      <c r="G194" s="171">
        <f t="shared" ca="1" si="260"/>
        <v>8.8456918811881197E-2</v>
      </c>
      <c r="I194" s="382" t="str">
        <f t="shared" si="263"/>
        <v>Other</v>
      </c>
      <c r="J194" s="222" t="str">
        <f t="shared" ref="J194:M194" si="307">+J187</f>
        <v>BD</v>
      </c>
      <c r="K194" s="222" t="str">
        <f t="shared" si="307"/>
        <v>BE</v>
      </c>
      <c r="L194" s="222" t="str">
        <f t="shared" ref="L194" si="308">+L187</f>
        <v>BF</v>
      </c>
      <c r="M194" s="223">
        <f t="shared" si="307"/>
        <v>47</v>
      </c>
      <c r="N194" s="224">
        <f>+N187</f>
        <v>58</v>
      </c>
    </row>
    <row r="195" spans="2:16" ht="12.75" customHeight="1">
      <c r="B195" s="164" t="str">
        <f t="shared" si="294"/>
        <v>IODLA</v>
      </c>
      <c r="C195" s="164" t="str">
        <f t="shared" si="294"/>
        <v>Other comm Demand Light</v>
      </c>
      <c r="D195" s="166" t="str">
        <f t="shared" si="294"/>
        <v>PJ</v>
      </c>
      <c r="E195" s="171">
        <f t="shared" ca="1" si="258"/>
        <v>8.9377395326732678</v>
      </c>
      <c r="F195" s="171">
        <f t="shared" ca="1" si="259"/>
        <v>0.4965514930693069</v>
      </c>
      <c r="G195" s="171">
        <f t="shared" ca="1" si="260"/>
        <v>0.4965514930693069</v>
      </c>
      <c r="H195" s="616"/>
      <c r="I195" s="382" t="str">
        <f t="shared" si="263"/>
        <v>Other</v>
      </c>
      <c r="J195" s="222" t="str">
        <f t="shared" ref="J195:M195" si="309">+J188</f>
        <v>BD</v>
      </c>
      <c r="K195" s="222" t="str">
        <f t="shared" si="309"/>
        <v>BE</v>
      </c>
      <c r="L195" s="222" t="str">
        <f t="shared" ref="L195" si="310">+L188</f>
        <v>BF</v>
      </c>
      <c r="M195" s="223">
        <f t="shared" si="309"/>
        <v>59</v>
      </c>
      <c r="N195" s="224"/>
    </row>
    <row r="196" spans="2:16" ht="12.75" customHeight="1">
      <c r="B196" s="164" t="str">
        <f t="shared" si="294"/>
        <v>IODEM</v>
      </c>
      <c r="C196" s="164" t="str">
        <f t="shared" si="294"/>
        <v>Other comm Demand Electric Motors</v>
      </c>
      <c r="D196" s="166" t="str">
        <f t="shared" si="294"/>
        <v>PJ</v>
      </c>
      <c r="E196" s="171">
        <f t="shared" ca="1" si="258"/>
        <v>34.07511635643565</v>
      </c>
      <c r="F196" s="171">
        <f t="shared" ca="1" si="259"/>
        <v>1.8930654891089111</v>
      </c>
      <c r="G196" s="171">
        <f t="shared" ca="1" si="260"/>
        <v>1.8930654891089111</v>
      </c>
      <c r="H196" s="616"/>
      <c r="I196" s="382" t="str">
        <f t="shared" si="263"/>
        <v>Other</v>
      </c>
      <c r="J196" s="222" t="str">
        <f t="shared" ref="J196:M196" si="311">+J189</f>
        <v>BD</v>
      </c>
      <c r="K196" s="222" t="str">
        <f t="shared" si="311"/>
        <v>BE</v>
      </c>
      <c r="L196" s="222" t="str">
        <f t="shared" ref="L196" si="312">+L189</f>
        <v>BF</v>
      </c>
      <c r="M196" s="223">
        <f t="shared" si="311"/>
        <v>60</v>
      </c>
      <c r="N196" s="224"/>
    </row>
    <row r="197" spans="2:16" ht="12.75" customHeight="1">
      <c r="B197" s="164" t="str">
        <f t="shared" si="294"/>
        <v>IODTF</v>
      </c>
      <c r="C197" s="164" t="str">
        <f t="shared" si="294"/>
        <v>Other comm Demand Haulage Tractors, Trucks, Fishing boats, Forest machines</v>
      </c>
      <c r="D197" s="166" t="str">
        <f t="shared" si="294"/>
        <v>PJ</v>
      </c>
      <c r="E197" s="171">
        <f t="shared" ca="1" si="258"/>
        <v>3.5064753504950499</v>
      </c>
      <c r="F197" s="171">
        <f t="shared" ca="1" si="259"/>
        <v>0.19480505346534654</v>
      </c>
      <c r="G197" s="171">
        <f t="shared" ca="1" si="260"/>
        <v>0.19480505346534654</v>
      </c>
      <c r="I197" s="382" t="str">
        <f t="shared" si="263"/>
        <v>Other</v>
      </c>
      <c r="J197" s="222" t="str">
        <f t="shared" ref="J197:M197" si="313">+J190</f>
        <v>BD</v>
      </c>
      <c r="K197" s="222" t="str">
        <f t="shared" si="313"/>
        <v>BE</v>
      </c>
      <c r="L197" s="222" t="str">
        <f t="shared" ref="L197" si="314">+L190</f>
        <v>BF</v>
      </c>
      <c r="M197" s="223">
        <f t="shared" si="313"/>
        <v>61</v>
      </c>
      <c r="N197" s="224"/>
    </row>
    <row r="198" spans="2:16" ht="12.75" customHeight="1">
      <c r="B198" s="164" t="str">
        <f t="shared" si="294"/>
        <v>IODFL</v>
      </c>
      <c r="C198" s="164" t="str">
        <f t="shared" si="294"/>
        <v>Other comm Demand Haulage Forklifts</v>
      </c>
      <c r="D198" s="166" t="str">
        <f t="shared" si="294"/>
        <v>PJ</v>
      </c>
      <c r="E198" s="171">
        <f t="shared" ca="1" si="258"/>
        <v>0.18446998811881188</v>
      </c>
      <c r="F198" s="171">
        <f t="shared" ca="1" si="259"/>
        <v>1.0257005940594061E-2</v>
      </c>
      <c r="G198" s="171">
        <f t="shared" ca="1" si="260"/>
        <v>1.0257005940594061E-2</v>
      </c>
      <c r="I198" s="382" t="str">
        <f t="shared" si="263"/>
        <v>Other</v>
      </c>
      <c r="J198" s="222" t="str">
        <f t="shared" ref="J198:M198" si="315">+J191</f>
        <v>BD</v>
      </c>
      <c r="K198" s="222" t="str">
        <f t="shared" si="315"/>
        <v>BE</v>
      </c>
      <c r="L198" s="222" t="str">
        <f t="shared" ref="L198" si="316">+L191</f>
        <v>BF</v>
      </c>
      <c r="M198" s="223">
        <f t="shared" si="315"/>
        <v>62</v>
      </c>
      <c r="N198" s="224"/>
    </row>
    <row r="203" spans="2:16" ht="12.75" customHeight="1">
      <c r="B203" s="262">
        <f>IronSteel!V116</f>
        <v>2019</v>
      </c>
      <c r="C203" s="262" t="s">
        <v>86</v>
      </c>
    </row>
    <row r="204" spans="2:16" ht="12.75" customHeight="1">
      <c r="B204" s="25"/>
      <c r="C204" s="25"/>
      <c r="D204" s="25"/>
      <c r="E204" s="25"/>
      <c r="F204" s="25"/>
      <c r="G204" s="285"/>
      <c r="I204" s="211" t="s">
        <v>244</v>
      </c>
      <c r="J204" s="211"/>
      <c r="K204" s="211"/>
      <c r="L204" s="211"/>
      <c r="M204" s="211"/>
      <c r="N204" s="211"/>
    </row>
    <row r="205" spans="2:16" ht="12.75" customHeight="1">
      <c r="B205" s="168" t="s">
        <v>202</v>
      </c>
      <c r="D205" s="235" t="s">
        <v>154</v>
      </c>
      <c r="E205" s="234">
        <v>7</v>
      </c>
      <c r="F205" s="25"/>
      <c r="G205" s="285"/>
    </row>
    <row r="206" spans="2:16" ht="12.75" customHeight="1">
      <c r="B206" s="25"/>
      <c r="C206" s="25"/>
      <c r="D206" s="25"/>
      <c r="E206" s="25"/>
      <c r="F206" s="25"/>
      <c r="G206" s="285"/>
      <c r="I206" s="213" t="s">
        <v>188</v>
      </c>
      <c r="J206" s="213"/>
      <c r="K206" s="213"/>
      <c r="L206" s="213"/>
      <c r="M206" s="213"/>
      <c r="N206" s="213"/>
    </row>
    <row r="207" spans="2:16" ht="12.75" customHeight="1">
      <c r="B207" s="49" t="s">
        <v>8</v>
      </c>
      <c r="C207" s="49"/>
      <c r="D207" s="50"/>
      <c r="E207" s="25"/>
      <c r="F207" s="25"/>
      <c r="G207" s="285"/>
    </row>
    <row r="208" spans="2:16" ht="12.75" customHeight="1">
      <c r="B208" s="51" t="s">
        <v>4</v>
      </c>
      <c r="C208" s="51" t="s">
        <v>129</v>
      </c>
      <c r="D208" s="165" t="s">
        <v>27</v>
      </c>
      <c r="E208" s="165" t="s">
        <v>560</v>
      </c>
      <c r="F208" s="51" t="s">
        <v>569</v>
      </c>
      <c r="G208" s="51" t="s">
        <v>570</v>
      </c>
      <c r="I208" s="214" t="s">
        <v>241</v>
      </c>
      <c r="J208" s="215" t="s">
        <v>419</v>
      </c>
      <c r="K208" s="215" t="s">
        <v>508</v>
      </c>
      <c r="L208" s="215" t="s">
        <v>508</v>
      </c>
      <c r="M208" s="216" t="s">
        <v>242</v>
      </c>
      <c r="N208" s="216" t="s">
        <v>243</v>
      </c>
      <c r="P208" s="227" t="s">
        <v>95</v>
      </c>
    </row>
    <row r="209" spans="2:16" ht="12.75" customHeight="1">
      <c r="B209" s="164" t="str">
        <f t="shared" ref="B209:D228" si="317">B7</f>
        <v>ISDPH</v>
      </c>
      <c r="C209" s="164" t="str">
        <f t="shared" si="317"/>
        <v>Iron &amp; Steel  Demand Process heat</v>
      </c>
      <c r="D209" s="166" t="str">
        <f t="shared" si="317"/>
        <v>PJ</v>
      </c>
      <c r="E209" s="171">
        <f t="shared" ref="E209:E240" ca="1" si="318">+SUM(INDIRECT("'" &amp; $I209 &amp; "'!" &amp; J209 &amp; $M209 &amp; IF(ISBLANK($N209),"",":" &amp; J209 &amp; $N209)))</f>
        <v>202.86460906930694</v>
      </c>
      <c r="F209" s="171">
        <f t="shared" ref="F209:F240" ca="1" si="319">+SUM(INDIRECT("'" &amp; $I209 &amp; "'!" &amp; K209 &amp; $M209 &amp; IF(ISBLANK($N209),"",":" &amp; K209 &amp; $N209)))</f>
        <v>0</v>
      </c>
      <c r="G209" s="171">
        <f t="shared" ref="G209:G240" ca="1" si="320">+SUM(INDIRECT("'" &amp; $I209 &amp; "'!" &amp; L209 &amp; $M209 &amp; IF(ISBLANK($N209),"",":" &amp; L209 &amp; $N209)))</f>
        <v>0</v>
      </c>
      <c r="I209" s="382" t="str">
        <f>I108</f>
        <v>IronSteel</v>
      </c>
      <c r="J209" s="218" t="str">
        <f>SUBSTITUTE(ADDRESS(1,COLUMN(IronSteel!BQ1),4),"1","")</f>
        <v>BQ</v>
      </c>
      <c r="K209" s="218" t="str">
        <f>SUBSTITUTE(ADDRESS(1,COLUMN(IronSteel!BR1),4),"1","")</f>
        <v>BR</v>
      </c>
      <c r="L209" s="218" t="str">
        <f>SUBSTITUTE(ADDRESS(1,COLUMN(IronSteel!BS1),4),"1","")</f>
        <v>BS</v>
      </c>
      <c r="M209" s="219">
        <f t="shared" ref="M209:N211" si="321">M108</f>
        <v>26</v>
      </c>
      <c r="N209" s="363">
        <f t="shared" si="321"/>
        <v>37</v>
      </c>
      <c r="P209" s="226">
        <f ca="1">+SUM(INDIRECT("'" &amp; I209 &amp; "'!" &amp; "BQ26:BR62")) - SUM(E209:F215)</f>
        <v>0</v>
      </c>
    </row>
    <row r="210" spans="2:16" ht="12.75" customHeight="1">
      <c r="B210" s="164" t="str">
        <f t="shared" si="317"/>
        <v>ISDCO</v>
      </c>
      <c r="C210" s="164" t="str">
        <f t="shared" si="317"/>
        <v>Iron &amp; Steel  Demand Cooling</v>
      </c>
      <c r="D210" s="166" t="str">
        <f t="shared" si="317"/>
        <v>PJ</v>
      </c>
      <c r="E210" s="171">
        <f t="shared" ca="1" si="318"/>
        <v>0</v>
      </c>
      <c r="F210" s="171">
        <f t="shared" ca="1" si="319"/>
        <v>0</v>
      </c>
      <c r="G210" s="171">
        <f t="shared" ca="1" si="320"/>
        <v>0</v>
      </c>
      <c r="I210" s="382" t="str">
        <f t="shared" ref="I210:I273" si="322">I109</f>
        <v>IronSteel</v>
      </c>
      <c r="J210" s="222" t="str">
        <f>+J209</f>
        <v>BQ</v>
      </c>
      <c r="K210" s="222" t="str">
        <f>+K209</f>
        <v>BR</v>
      </c>
      <c r="L210" s="222" t="str">
        <f>+L209</f>
        <v>BS</v>
      </c>
      <c r="M210" s="363">
        <f t="shared" si="321"/>
        <v>38</v>
      </c>
      <c r="N210" s="363">
        <f t="shared" si="321"/>
        <v>46</v>
      </c>
      <c r="P210" s="225"/>
    </row>
    <row r="211" spans="2:16" ht="12.75" customHeight="1">
      <c r="B211" s="164" t="str">
        <f t="shared" si="317"/>
        <v>ISDSH</v>
      </c>
      <c r="C211" s="164" t="str">
        <f t="shared" si="317"/>
        <v>Iron &amp; Steel  Demand Spatial Heat</v>
      </c>
      <c r="D211" s="166" t="str">
        <f t="shared" si="317"/>
        <v>PJ</v>
      </c>
      <c r="E211" s="171">
        <f t="shared" ca="1" si="318"/>
        <v>84.229642906930692</v>
      </c>
      <c r="F211" s="171">
        <f t="shared" ca="1" si="319"/>
        <v>0</v>
      </c>
      <c r="G211" s="171">
        <f t="shared" ca="1" si="320"/>
        <v>0</v>
      </c>
      <c r="I211" s="382" t="str">
        <f t="shared" si="322"/>
        <v>IronSteel</v>
      </c>
      <c r="J211" s="222" t="str">
        <f t="shared" ref="J211:K215" si="323">+J210</f>
        <v>BQ</v>
      </c>
      <c r="K211" s="222" t="str">
        <f t="shared" si="323"/>
        <v>BR</v>
      </c>
      <c r="L211" s="222" t="str">
        <f t="shared" ref="L211" si="324">+L210</f>
        <v>BS</v>
      </c>
      <c r="M211" s="363">
        <f t="shared" si="321"/>
        <v>47</v>
      </c>
      <c r="N211" s="363">
        <f t="shared" si="321"/>
        <v>58</v>
      </c>
    </row>
    <row r="212" spans="2:16" ht="12.75" customHeight="1">
      <c r="B212" s="164" t="str">
        <f t="shared" si="317"/>
        <v>ISDLA</v>
      </c>
      <c r="C212" s="164" t="str">
        <f t="shared" si="317"/>
        <v>Iron &amp; Steel  Demand Light</v>
      </c>
      <c r="D212" s="166" t="str">
        <f t="shared" si="317"/>
        <v>PJ</v>
      </c>
      <c r="E212" s="171">
        <f t="shared" ca="1" si="318"/>
        <v>0</v>
      </c>
      <c r="F212" s="171">
        <f t="shared" ca="1" si="319"/>
        <v>0</v>
      </c>
      <c r="G212" s="171">
        <f t="shared" ca="1" si="320"/>
        <v>0</v>
      </c>
      <c r="I212" s="382" t="str">
        <f t="shared" si="322"/>
        <v>IronSteel</v>
      </c>
      <c r="J212" s="222" t="str">
        <f t="shared" si="323"/>
        <v>BQ</v>
      </c>
      <c r="K212" s="222" t="str">
        <f t="shared" si="323"/>
        <v>BR</v>
      </c>
      <c r="L212" s="222" t="str">
        <f t="shared" ref="L212" si="325">+L211</f>
        <v>BS</v>
      </c>
      <c r="M212" s="363">
        <f>M111</f>
        <v>59</v>
      </c>
      <c r="N212" s="219"/>
    </row>
    <row r="213" spans="2:16" ht="12.75" customHeight="1">
      <c r="B213" s="164" t="str">
        <f t="shared" si="317"/>
        <v>ISDEM</v>
      </c>
      <c r="C213" s="164" t="str">
        <f t="shared" si="317"/>
        <v>Iron &amp; Steel  Demand Electric Motors</v>
      </c>
      <c r="D213" s="166" t="str">
        <f t="shared" si="317"/>
        <v>PJ</v>
      </c>
      <c r="E213" s="171">
        <f t="shared" ca="1" si="318"/>
        <v>0</v>
      </c>
      <c r="F213" s="171">
        <f t="shared" ca="1" si="319"/>
        <v>0</v>
      </c>
      <c r="G213" s="171">
        <f t="shared" ca="1" si="320"/>
        <v>0</v>
      </c>
      <c r="I213" s="382" t="str">
        <f t="shared" si="322"/>
        <v>IronSteel</v>
      </c>
      <c r="J213" s="222" t="str">
        <f t="shared" si="323"/>
        <v>BQ</v>
      </c>
      <c r="K213" s="222" t="str">
        <f t="shared" si="323"/>
        <v>BR</v>
      </c>
      <c r="L213" s="222" t="str">
        <f t="shared" ref="L213" si="326">+L212</f>
        <v>BS</v>
      </c>
      <c r="M213" s="363">
        <f>M112</f>
        <v>60</v>
      </c>
      <c r="N213" s="219"/>
    </row>
    <row r="214" spans="2:16" ht="12.75" customHeight="1">
      <c r="B214" s="164" t="str">
        <f t="shared" si="317"/>
        <v>ISDTF</v>
      </c>
      <c r="C214" s="164" t="str">
        <f t="shared" si="317"/>
        <v>Iron &amp; Steel  Demand Haulage Tractors, Trucks, Fishing boats, Forest machines</v>
      </c>
      <c r="D214" s="166" t="str">
        <f t="shared" si="317"/>
        <v>PJ</v>
      </c>
      <c r="E214" s="171">
        <f t="shared" ca="1" si="318"/>
        <v>0.32196382574257426</v>
      </c>
      <c r="F214" s="171">
        <f t="shared" ca="1" si="319"/>
        <v>0</v>
      </c>
      <c r="G214" s="171">
        <f t="shared" ca="1" si="320"/>
        <v>0</v>
      </c>
      <c r="I214" s="382" t="str">
        <f t="shared" si="322"/>
        <v>IronSteel</v>
      </c>
      <c r="J214" s="222" t="str">
        <f t="shared" si="323"/>
        <v>BQ</v>
      </c>
      <c r="K214" s="222" t="str">
        <f t="shared" si="323"/>
        <v>BR</v>
      </c>
      <c r="L214" s="222" t="str">
        <f t="shared" ref="L214" si="327">+L213</f>
        <v>BS</v>
      </c>
      <c r="M214" s="363">
        <f>M113</f>
        <v>61</v>
      </c>
      <c r="N214" s="219"/>
    </row>
    <row r="215" spans="2:16" ht="12.75" customHeight="1">
      <c r="B215" s="263" t="str">
        <f t="shared" si="317"/>
        <v>ISDFL</v>
      </c>
      <c r="C215" s="263" t="str">
        <f t="shared" si="317"/>
        <v>Iron &amp; Steel  Demand Haulage Forklifts</v>
      </c>
      <c r="D215" s="264" t="str">
        <f t="shared" si="317"/>
        <v>PJ</v>
      </c>
      <c r="E215" s="265">
        <f t="shared" ca="1" si="318"/>
        <v>0</v>
      </c>
      <c r="F215" s="265">
        <f t="shared" ca="1" si="319"/>
        <v>0</v>
      </c>
      <c r="G215" s="265">
        <f t="shared" ca="1" si="320"/>
        <v>0</v>
      </c>
      <c r="I215" s="382" t="str">
        <f t="shared" si="322"/>
        <v>IronSteel</v>
      </c>
      <c r="J215" s="222" t="str">
        <f t="shared" si="323"/>
        <v>BQ</v>
      </c>
      <c r="K215" s="222" t="str">
        <f t="shared" si="323"/>
        <v>BR</v>
      </c>
      <c r="L215" s="222" t="str">
        <f t="shared" ref="L215" si="328">+L214</f>
        <v>BS</v>
      </c>
      <c r="M215" s="363">
        <f>M114</f>
        <v>62</v>
      </c>
      <c r="N215" s="219"/>
      <c r="P215" s="226"/>
    </row>
    <row r="216" spans="2:16" ht="12.75" customHeight="1">
      <c r="B216" s="164" t="str">
        <f t="shared" si="317"/>
        <v>ICDPH</v>
      </c>
      <c r="C216" s="164" t="str">
        <f t="shared" si="317"/>
        <v>Chemical industry Demand Process heat</v>
      </c>
      <c r="D216" s="166" t="str">
        <f t="shared" si="317"/>
        <v>PJ</v>
      </c>
      <c r="E216" s="255">
        <f t="shared" ca="1" si="318"/>
        <v>242.00860662178221</v>
      </c>
      <c r="F216" s="255">
        <f t="shared" ca="1" si="319"/>
        <v>0</v>
      </c>
      <c r="G216" s="255">
        <f t="shared" ca="1" si="320"/>
        <v>0</v>
      </c>
      <c r="I216" s="382" t="str">
        <f t="shared" si="322"/>
        <v>Chemical</v>
      </c>
      <c r="J216" s="222" t="str">
        <f t="shared" ref="J216:N216" si="329">+J209</f>
        <v>BQ</v>
      </c>
      <c r="K216" s="222" t="str">
        <f t="shared" si="329"/>
        <v>BR</v>
      </c>
      <c r="L216" s="222" t="str">
        <f t="shared" ref="L216" si="330">+L209</f>
        <v>BS</v>
      </c>
      <c r="M216" s="223">
        <f t="shared" si="329"/>
        <v>26</v>
      </c>
      <c r="N216" s="224">
        <f t="shared" si="329"/>
        <v>37</v>
      </c>
      <c r="P216" s="226">
        <f ca="1">+SUM(INDIRECT("'" &amp; I216 &amp; "'!" &amp; "BQ26:BR62")) - SUM(E216:F222)</f>
        <v>0</v>
      </c>
    </row>
    <row r="217" spans="2:16" ht="12.75" customHeight="1">
      <c r="B217" s="164" t="str">
        <f t="shared" si="317"/>
        <v>ICDCO</v>
      </c>
      <c r="C217" s="164" t="str">
        <f t="shared" si="317"/>
        <v>Chemical industry Demand Cooling</v>
      </c>
      <c r="D217" s="166" t="str">
        <f t="shared" si="317"/>
        <v>PJ</v>
      </c>
      <c r="E217" s="171">
        <f t="shared" ca="1" si="318"/>
        <v>0.87796536237623757</v>
      </c>
      <c r="F217" s="171">
        <f t="shared" ca="1" si="319"/>
        <v>0</v>
      </c>
      <c r="G217" s="171">
        <f t="shared" ca="1" si="320"/>
        <v>0</v>
      </c>
      <c r="I217" s="382" t="str">
        <f t="shared" si="322"/>
        <v>Chemical</v>
      </c>
      <c r="J217" s="222" t="str">
        <f t="shared" ref="J217:N217" si="331">+J210</f>
        <v>BQ</v>
      </c>
      <c r="K217" s="222" t="str">
        <f t="shared" si="331"/>
        <v>BR</v>
      </c>
      <c r="L217" s="222" t="str">
        <f t="shared" ref="L217" si="332">+L210</f>
        <v>BS</v>
      </c>
      <c r="M217" s="223">
        <f t="shared" si="331"/>
        <v>38</v>
      </c>
      <c r="N217" s="224">
        <f t="shared" si="331"/>
        <v>46</v>
      </c>
    </row>
    <row r="218" spans="2:16" ht="12.75" customHeight="1">
      <c r="B218" s="164" t="str">
        <f t="shared" si="317"/>
        <v>ICDSH</v>
      </c>
      <c r="C218" s="164" t="str">
        <f t="shared" si="317"/>
        <v>Chemical industry Demand Spatial Heat</v>
      </c>
      <c r="D218" s="166" t="str">
        <f t="shared" si="317"/>
        <v>PJ</v>
      </c>
      <c r="E218" s="171">
        <f t="shared" ca="1" si="318"/>
        <v>182.4111712871287</v>
      </c>
      <c r="F218" s="171">
        <f t="shared" ca="1" si="319"/>
        <v>0</v>
      </c>
      <c r="G218" s="171">
        <f t="shared" ca="1" si="320"/>
        <v>0</v>
      </c>
      <c r="I218" s="382" t="str">
        <f t="shared" si="322"/>
        <v>Chemical</v>
      </c>
      <c r="J218" s="222" t="str">
        <f t="shared" ref="J218:N218" si="333">+J211</f>
        <v>BQ</v>
      </c>
      <c r="K218" s="222" t="str">
        <f t="shared" si="333"/>
        <v>BR</v>
      </c>
      <c r="L218" s="222" t="str">
        <f t="shared" ref="L218" si="334">+L211</f>
        <v>BS</v>
      </c>
      <c r="M218" s="223">
        <f t="shared" si="333"/>
        <v>47</v>
      </c>
      <c r="N218" s="224">
        <f t="shared" si="333"/>
        <v>58</v>
      </c>
    </row>
    <row r="219" spans="2:16" ht="12.75" customHeight="1">
      <c r="B219" s="164" t="str">
        <f t="shared" si="317"/>
        <v>ICDLA</v>
      </c>
      <c r="C219" s="164" t="str">
        <f t="shared" si="317"/>
        <v>Chemical industry Demand Light</v>
      </c>
      <c r="D219" s="166" t="str">
        <f t="shared" si="317"/>
        <v>PJ</v>
      </c>
      <c r="E219" s="171">
        <f t="shared" ca="1" si="318"/>
        <v>0.61236042772277233</v>
      </c>
      <c r="F219" s="171">
        <f t="shared" ca="1" si="319"/>
        <v>0</v>
      </c>
      <c r="G219" s="171">
        <f t="shared" ca="1" si="320"/>
        <v>0</v>
      </c>
      <c r="I219" s="382" t="str">
        <f t="shared" si="322"/>
        <v>Chemical</v>
      </c>
      <c r="J219" s="222" t="str">
        <f t="shared" ref="J219:M219" si="335">+J212</f>
        <v>BQ</v>
      </c>
      <c r="K219" s="222" t="str">
        <f t="shared" si="335"/>
        <v>BR</v>
      </c>
      <c r="L219" s="222" t="str">
        <f t="shared" ref="L219" si="336">+L212</f>
        <v>BS</v>
      </c>
      <c r="M219" s="223">
        <f t="shared" si="335"/>
        <v>59</v>
      </c>
      <c r="N219" s="224"/>
    </row>
    <row r="220" spans="2:16" ht="12.75" customHeight="1">
      <c r="B220" s="164" t="str">
        <f t="shared" si="317"/>
        <v>ICDEM</v>
      </c>
      <c r="C220" s="164" t="str">
        <f t="shared" si="317"/>
        <v>Chemical industry Demand Electric Motors</v>
      </c>
      <c r="D220" s="166" t="str">
        <f t="shared" si="317"/>
        <v>PJ</v>
      </c>
      <c r="E220" s="171">
        <f t="shared" ca="1" si="318"/>
        <v>7.0858894099009895</v>
      </c>
      <c r="F220" s="171">
        <f t="shared" ca="1" si="319"/>
        <v>0</v>
      </c>
      <c r="G220" s="171">
        <f t="shared" ca="1" si="320"/>
        <v>0</v>
      </c>
      <c r="I220" s="382" t="str">
        <f t="shared" si="322"/>
        <v>Chemical</v>
      </c>
      <c r="J220" s="222" t="str">
        <f t="shared" ref="J220:M220" si="337">+J213</f>
        <v>BQ</v>
      </c>
      <c r="K220" s="222" t="str">
        <f t="shared" si="337"/>
        <v>BR</v>
      </c>
      <c r="L220" s="222" t="str">
        <f t="shared" ref="L220" si="338">+L213</f>
        <v>BS</v>
      </c>
      <c r="M220" s="223">
        <f t="shared" si="337"/>
        <v>60</v>
      </c>
      <c r="N220" s="224"/>
      <c r="P220" s="226"/>
    </row>
    <row r="221" spans="2:16" ht="12.75" customHeight="1">
      <c r="B221" s="164" t="str">
        <f t="shared" si="317"/>
        <v>ICDTF</v>
      </c>
      <c r="C221" s="164" t="str">
        <f t="shared" si="317"/>
        <v>Chemical industry Demand Haulage Tractors, Trucks, Fishing boats, Forest machines</v>
      </c>
      <c r="D221" s="166" t="str">
        <f t="shared" si="317"/>
        <v>PJ</v>
      </c>
      <c r="E221" s="171">
        <f t="shared" ca="1" si="318"/>
        <v>1.5883059564356439</v>
      </c>
      <c r="F221" s="171">
        <f t="shared" ca="1" si="319"/>
        <v>0</v>
      </c>
      <c r="G221" s="171">
        <f t="shared" ca="1" si="320"/>
        <v>0</v>
      </c>
      <c r="I221" s="382" t="str">
        <f t="shared" si="322"/>
        <v>Chemical</v>
      </c>
      <c r="J221" s="222" t="str">
        <f t="shared" ref="J221:M221" si="339">+J214</f>
        <v>BQ</v>
      </c>
      <c r="K221" s="222" t="str">
        <f t="shared" si="339"/>
        <v>BR</v>
      </c>
      <c r="L221" s="222" t="str">
        <f t="shared" ref="L221" si="340">+L214</f>
        <v>BS</v>
      </c>
      <c r="M221" s="223">
        <f t="shared" si="339"/>
        <v>61</v>
      </c>
      <c r="N221" s="224"/>
    </row>
    <row r="222" spans="2:16" ht="12.75" customHeight="1">
      <c r="B222" s="263" t="str">
        <f t="shared" si="317"/>
        <v>ICDFL</v>
      </c>
      <c r="C222" s="263" t="str">
        <f t="shared" si="317"/>
        <v>Chemical industry Demand Haulage Forklifts</v>
      </c>
      <c r="D222" s="264" t="str">
        <f t="shared" si="317"/>
        <v>PJ</v>
      </c>
      <c r="E222" s="265">
        <f t="shared" ca="1" si="318"/>
        <v>0</v>
      </c>
      <c r="F222" s="265">
        <f t="shared" ca="1" si="319"/>
        <v>0</v>
      </c>
      <c r="G222" s="265">
        <f t="shared" ca="1" si="320"/>
        <v>0</v>
      </c>
      <c r="I222" s="382" t="str">
        <f t="shared" si="322"/>
        <v>Chemical</v>
      </c>
      <c r="J222" s="222" t="str">
        <f t="shared" ref="J222:M222" si="341">+J215</f>
        <v>BQ</v>
      </c>
      <c r="K222" s="222" t="str">
        <f t="shared" si="341"/>
        <v>BR</v>
      </c>
      <c r="L222" s="222" t="str">
        <f t="shared" ref="L222" si="342">+L215</f>
        <v>BS</v>
      </c>
      <c r="M222" s="223">
        <f t="shared" si="341"/>
        <v>62</v>
      </c>
      <c r="N222" s="224"/>
    </row>
    <row r="223" spans="2:16" ht="12.75" customHeight="1">
      <c r="B223" s="164" t="str">
        <f t="shared" si="317"/>
        <v>IADPH</v>
      </c>
      <c r="C223" s="164" t="str">
        <f t="shared" si="317"/>
        <v>Aluminium industry Demand Process heat</v>
      </c>
      <c r="D223" s="166" t="str">
        <f t="shared" si="317"/>
        <v>PJ</v>
      </c>
      <c r="E223" s="255">
        <f t="shared" ca="1" si="318"/>
        <v>36.556578035643568</v>
      </c>
      <c r="F223" s="255">
        <f t="shared" ca="1" si="319"/>
        <v>0</v>
      </c>
      <c r="G223" s="255">
        <f t="shared" ca="1" si="320"/>
        <v>0</v>
      </c>
      <c r="I223" s="382" t="str">
        <f t="shared" si="322"/>
        <v>Aluminium</v>
      </c>
      <c r="J223" s="222" t="str">
        <f t="shared" ref="J223:M223" si="343">+J216</f>
        <v>BQ</v>
      </c>
      <c r="K223" s="222" t="str">
        <f t="shared" si="343"/>
        <v>BR</v>
      </c>
      <c r="L223" s="222" t="str">
        <f t="shared" ref="L223" si="344">+L216</f>
        <v>BS</v>
      </c>
      <c r="M223" s="223">
        <f t="shared" si="343"/>
        <v>26</v>
      </c>
      <c r="N223" s="224">
        <f>+N216</f>
        <v>37</v>
      </c>
      <c r="P223" s="226">
        <f ca="1">+SUM(INDIRECT("'" &amp; I223 &amp; "'!" &amp; "BQ26:BR62")) - SUM(E223:F229)</f>
        <v>0</v>
      </c>
    </row>
    <row r="224" spans="2:16" ht="12.75" customHeight="1">
      <c r="B224" s="164" t="str">
        <f t="shared" si="317"/>
        <v>IADCO</v>
      </c>
      <c r="C224" s="164" t="str">
        <f t="shared" si="317"/>
        <v>Aluminium industry Demand Cooling</v>
      </c>
      <c r="D224" s="166" t="str">
        <f t="shared" si="317"/>
        <v>PJ</v>
      </c>
      <c r="E224" s="171">
        <f t="shared" ca="1" si="318"/>
        <v>0</v>
      </c>
      <c r="F224" s="171">
        <f t="shared" ca="1" si="319"/>
        <v>0</v>
      </c>
      <c r="G224" s="171">
        <f t="shared" ca="1" si="320"/>
        <v>0</v>
      </c>
      <c r="I224" s="382" t="str">
        <f t="shared" si="322"/>
        <v>Aluminium</v>
      </c>
      <c r="J224" s="222" t="str">
        <f t="shared" ref="J224:M224" si="345">+J217</f>
        <v>BQ</v>
      </c>
      <c r="K224" s="222" t="str">
        <f t="shared" si="345"/>
        <v>BR</v>
      </c>
      <c r="L224" s="222" t="str">
        <f t="shared" ref="L224" si="346">+L217</f>
        <v>BS</v>
      </c>
      <c r="M224" s="223">
        <f t="shared" si="345"/>
        <v>38</v>
      </c>
      <c r="N224" s="224">
        <f>+N217</f>
        <v>46</v>
      </c>
      <c r="P224" s="225"/>
    </row>
    <row r="225" spans="2:16" ht="12.75" customHeight="1">
      <c r="B225" s="164" t="str">
        <f t="shared" si="317"/>
        <v>IADSH</v>
      </c>
      <c r="C225" s="164" t="str">
        <f t="shared" si="317"/>
        <v>Aluminium industry Demand Spatial Heat</v>
      </c>
      <c r="D225" s="166" t="str">
        <f t="shared" si="317"/>
        <v>PJ</v>
      </c>
      <c r="E225" s="171">
        <f t="shared" ca="1" si="318"/>
        <v>52.759244031683174</v>
      </c>
      <c r="F225" s="171">
        <f t="shared" ca="1" si="319"/>
        <v>0</v>
      </c>
      <c r="G225" s="171">
        <f t="shared" ca="1" si="320"/>
        <v>0</v>
      </c>
      <c r="I225" s="382" t="str">
        <f t="shared" si="322"/>
        <v>Aluminium</v>
      </c>
      <c r="J225" s="222" t="str">
        <f t="shared" ref="J225:M225" si="347">+J218</f>
        <v>BQ</v>
      </c>
      <c r="K225" s="222" t="str">
        <f t="shared" si="347"/>
        <v>BR</v>
      </c>
      <c r="L225" s="222" t="str">
        <f t="shared" ref="L225" si="348">+L218</f>
        <v>BS</v>
      </c>
      <c r="M225" s="223">
        <f t="shared" si="347"/>
        <v>47</v>
      </c>
      <c r="N225" s="224">
        <f>+N218</f>
        <v>58</v>
      </c>
    </row>
    <row r="226" spans="2:16" ht="12.75" customHeight="1">
      <c r="B226" s="164" t="str">
        <f t="shared" si="317"/>
        <v>IADLA</v>
      </c>
      <c r="C226" s="164" t="str">
        <f t="shared" si="317"/>
        <v>Aluminium industry Demand Light</v>
      </c>
      <c r="D226" s="166" t="str">
        <f t="shared" si="317"/>
        <v>PJ</v>
      </c>
      <c r="E226" s="171">
        <f t="shared" ca="1" si="318"/>
        <v>1.5471374257425742E-2</v>
      </c>
      <c r="F226" s="171">
        <f t="shared" ca="1" si="319"/>
        <v>0</v>
      </c>
      <c r="G226" s="171">
        <f t="shared" ca="1" si="320"/>
        <v>0</v>
      </c>
      <c r="I226" s="382" t="str">
        <f t="shared" si="322"/>
        <v>Aluminium</v>
      </c>
      <c r="J226" s="222" t="str">
        <f t="shared" ref="J226:M226" si="349">+J219</f>
        <v>BQ</v>
      </c>
      <c r="K226" s="222" t="str">
        <f t="shared" si="349"/>
        <v>BR</v>
      </c>
      <c r="L226" s="222" t="str">
        <f t="shared" ref="L226" si="350">+L219</f>
        <v>BS</v>
      </c>
      <c r="M226" s="223">
        <f t="shared" si="349"/>
        <v>59</v>
      </c>
      <c r="N226" s="224"/>
    </row>
    <row r="227" spans="2:16" ht="12.75" customHeight="1">
      <c r="B227" s="164" t="str">
        <f t="shared" si="317"/>
        <v>IADEM</v>
      </c>
      <c r="C227" s="164" t="str">
        <f t="shared" si="317"/>
        <v>Aluminium industry Demand Electric Motors</v>
      </c>
      <c r="D227" s="166" t="str">
        <f t="shared" si="317"/>
        <v>PJ</v>
      </c>
      <c r="E227" s="171">
        <f t="shared" ca="1" si="318"/>
        <v>7.6170368316831688E-2</v>
      </c>
      <c r="F227" s="171">
        <f t="shared" ca="1" si="319"/>
        <v>0</v>
      </c>
      <c r="G227" s="171">
        <f t="shared" ca="1" si="320"/>
        <v>0</v>
      </c>
      <c r="I227" s="382" t="str">
        <f t="shared" si="322"/>
        <v>Aluminium</v>
      </c>
      <c r="J227" s="222" t="str">
        <f t="shared" ref="J227:M227" si="351">+J220</f>
        <v>BQ</v>
      </c>
      <c r="K227" s="222" t="str">
        <f t="shared" si="351"/>
        <v>BR</v>
      </c>
      <c r="L227" s="222" t="str">
        <f t="shared" ref="L227" si="352">+L220</f>
        <v>BS</v>
      </c>
      <c r="M227" s="223">
        <f t="shared" si="351"/>
        <v>60</v>
      </c>
      <c r="N227" s="224"/>
    </row>
    <row r="228" spans="2:16" ht="12.75" customHeight="1">
      <c r="B228" s="164" t="str">
        <f t="shared" si="317"/>
        <v>IADTF</v>
      </c>
      <c r="C228" s="164" t="str">
        <f t="shared" si="317"/>
        <v>Aluminium industry Demand Haulage Tractors, Trucks, Fishing boats, Forest machines</v>
      </c>
      <c r="D228" s="166" t="str">
        <f t="shared" si="317"/>
        <v>PJ</v>
      </c>
      <c r="E228" s="171">
        <f t="shared" ca="1" si="318"/>
        <v>0.47221257029702973</v>
      </c>
      <c r="F228" s="171">
        <f t="shared" ca="1" si="319"/>
        <v>0</v>
      </c>
      <c r="G228" s="171">
        <f t="shared" ca="1" si="320"/>
        <v>0</v>
      </c>
      <c r="I228" s="382" t="str">
        <f t="shared" si="322"/>
        <v>Aluminium</v>
      </c>
      <c r="J228" s="222" t="str">
        <f t="shared" ref="J228:M228" si="353">+J221</f>
        <v>BQ</v>
      </c>
      <c r="K228" s="222" t="str">
        <f t="shared" si="353"/>
        <v>BR</v>
      </c>
      <c r="L228" s="222" t="str">
        <f t="shared" ref="L228" si="354">+L221</f>
        <v>BS</v>
      </c>
      <c r="M228" s="223">
        <f t="shared" si="353"/>
        <v>61</v>
      </c>
      <c r="N228" s="224"/>
    </row>
    <row r="229" spans="2:16" ht="12.75" customHeight="1">
      <c r="B229" s="263" t="str">
        <f t="shared" ref="B229:D248" si="355">B27</f>
        <v>IADFL</v>
      </c>
      <c r="C229" s="263" t="str">
        <f t="shared" si="355"/>
        <v>Aluminium industry Demand Haulage Forklifts</v>
      </c>
      <c r="D229" s="264" t="str">
        <f t="shared" si="355"/>
        <v>PJ</v>
      </c>
      <c r="E229" s="171">
        <f t="shared" ca="1" si="318"/>
        <v>0</v>
      </c>
      <c r="F229" s="171">
        <f t="shared" ca="1" si="319"/>
        <v>0</v>
      </c>
      <c r="G229" s="171">
        <f t="shared" ca="1" si="320"/>
        <v>0</v>
      </c>
      <c r="I229" s="382" t="str">
        <f t="shared" si="322"/>
        <v>Aluminium</v>
      </c>
      <c r="J229" s="222" t="str">
        <f t="shared" ref="J229:M229" si="356">+J222</f>
        <v>BQ</v>
      </c>
      <c r="K229" s="222" t="str">
        <f t="shared" si="356"/>
        <v>BR</v>
      </c>
      <c r="L229" s="222" t="str">
        <f t="shared" ref="L229" si="357">+L222</f>
        <v>BS</v>
      </c>
      <c r="M229" s="223">
        <f t="shared" si="356"/>
        <v>62</v>
      </c>
      <c r="N229" s="224"/>
      <c r="P229" s="226"/>
    </row>
    <row r="230" spans="2:16" ht="12.75" customHeight="1">
      <c r="B230" s="164" t="str">
        <f t="shared" si="355"/>
        <v>IGDPH</v>
      </c>
      <c r="C230" s="164" t="str">
        <f t="shared" si="355"/>
        <v>Glass &amp; Concrete industry Demand Process heat</v>
      </c>
      <c r="D230" s="166" t="str">
        <f t="shared" si="355"/>
        <v>PJ</v>
      </c>
      <c r="E230" s="253">
        <f t="shared" ca="1" si="318"/>
        <v>153.43466114851486</v>
      </c>
      <c r="F230" s="253">
        <f t="shared" ca="1" si="319"/>
        <v>0</v>
      </c>
      <c r="G230" s="253">
        <f t="shared" ca="1" si="320"/>
        <v>8.075542170297032</v>
      </c>
      <c r="I230" s="382" t="str">
        <f t="shared" si="322"/>
        <v>GlassConcrete</v>
      </c>
      <c r="J230" s="222" t="str">
        <f t="shared" ref="J230:M230" si="358">+J223</f>
        <v>BQ</v>
      </c>
      <c r="K230" s="222" t="str">
        <f t="shared" si="358"/>
        <v>BR</v>
      </c>
      <c r="L230" s="222" t="str">
        <f t="shared" ref="L230" si="359">+L223</f>
        <v>BS</v>
      </c>
      <c r="M230" s="223">
        <f t="shared" si="358"/>
        <v>26</v>
      </c>
      <c r="N230" s="224">
        <f>+N223</f>
        <v>37</v>
      </c>
      <c r="P230" s="226">
        <f ca="1">+SUM(INDIRECT("'" &amp; I230 &amp; "'!" &amp; "BQ26:BR62")) - SUM(E230:F236)</f>
        <v>0</v>
      </c>
    </row>
    <row r="231" spans="2:16" ht="12.75" customHeight="1">
      <c r="B231" s="164" t="str">
        <f t="shared" si="355"/>
        <v>IGDCO</v>
      </c>
      <c r="C231" s="164" t="str">
        <f t="shared" si="355"/>
        <v>Glass &amp; Concrete industry Demand Cooling</v>
      </c>
      <c r="D231" s="166" t="str">
        <f t="shared" si="355"/>
        <v>PJ</v>
      </c>
      <c r="E231" s="171">
        <f t="shared" ca="1" si="318"/>
        <v>0</v>
      </c>
      <c r="F231" s="171">
        <f t="shared" ca="1" si="319"/>
        <v>0</v>
      </c>
      <c r="G231" s="171">
        <f t="shared" ca="1" si="320"/>
        <v>0</v>
      </c>
      <c r="I231" s="382" t="str">
        <f t="shared" si="322"/>
        <v>GlassConcrete</v>
      </c>
      <c r="J231" s="222" t="str">
        <f t="shared" ref="J231:M231" si="360">+J224</f>
        <v>BQ</v>
      </c>
      <c r="K231" s="222" t="str">
        <f t="shared" si="360"/>
        <v>BR</v>
      </c>
      <c r="L231" s="222" t="str">
        <f t="shared" ref="L231" si="361">+L224</f>
        <v>BS</v>
      </c>
      <c r="M231" s="223">
        <f t="shared" si="360"/>
        <v>38</v>
      </c>
      <c r="N231" s="224">
        <f>+N224</f>
        <v>46</v>
      </c>
    </row>
    <row r="232" spans="2:16" ht="12.75" customHeight="1">
      <c r="B232" s="164" t="str">
        <f t="shared" si="355"/>
        <v>IGDSH</v>
      </c>
      <c r="C232" s="164" t="str">
        <f t="shared" si="355"/>
        <v>Glass &amp; Concrete industry Demand Spatial Heat</v>
      </c>
      <c r="D232" s="166" t="str">
        <f t="shared" si="355"/>
        <v>PJ</v>
      </c>
      <c r="E232" s="171">
        <f t="shared" ca="1" si="318"/>
        <v>43.335678368316835</v>
      </c>
      <c r="F232" s="171">
        <f t="shared" ca="1" si="319"/>
        <v>0</v>
      </c>
      <c r="G232" s="171">
        <f t="shared" ca="1" si="320"/>
        <v>8.6021465346534671E-3</v>
      </c>
      <c r="I232" s="382" t="str">
        <f t="shared" si="322"/>
        <v>GlassConcrete</v>
      </c>
      <c r="J232" s="222" t="str">
        <f t="shared" ref="J232:M232" si="362">+J225</f>
        <v>BQ</v>
      </c>
      <c r="K232" s="222" t="str">
        <f t="shared" si="362"/>
        <v>BR</v>
      </c>
      <c r="L232" s="222" t="str">
        <f t="shared" ref="L232" si="363">+L225</f>
        <v>BS</v>
      </c>
      <c r="M232" s="223">
        <f t="shared" si="362"/>
        <v>47</v>
      </c>
      <c r="N232" s="224">
        <f>+N225</f>
        <v>58</v>
      </c>
    </row>
    <row r="233" spans="2:16" ht="12.75" customHeight="1">
      <c r="B233" s="164" t="str">
        <f t="shared" si="355"/>
        <v>IGDLA</v>
      </c>
      <c r="C233" s="164" t="str">
        <f t="shared" si="355"/>
        <v>Glass &amp; Concrete industry Demand Light</v>
      </c>
      <c r="D233" s="166" t="str">
        <f t="shared" si="355"/>
        <v>PJ</v>
      </c>
      <c r="E233" s="171">
        <f t="shared" ca="1" si="318"/>
        <v>5.1007450455445547</v>
      </c>
      <c r="F233" s="171">
        <f t="shared" ca="1" si="319"/>
        <v>0</v>
      </c>
      <c r="G233" s="171">
        <f t="shared" ca="1" si="320"/>
        <v>0.26846190891089117</v>
      </c>
      <c r="I233" s="382" t="str">
        <f t="shared" si="322"/>
        <v>GlassConcrete</v>
      </c>
      <c r="J233" s="222" t="str">
        <f t="shared" ref="J233:M233" si="364">+J226</f>
        <v>BQ</v>
      </c>
      <c r="K233" s="222" t="str">
        <f t="shared" si="364"/>
        <v>BR</v>
      </c>
      <c r="L233" s="222" t="str">
        <f t="shared" ref="L233" si="365">+L226</f>
        <v>BS</v>
      </c>
      <c r="M233" s="223">
        <f t="shared" si="364"/>
        <v>59</v>
      </c>
      <c r="N233" s="224"/>
    </row>
    <row r="234" spans="2:16" ht="12.75" customHeight="1">
      <c r="B234" s="164" t="str">
        <f t="shared" si="355"/>
        <v>IGDEM</v>
      </c>
      <c r="C234" s="164" t="str">
        <f t="shared" si="355"/>
        <v>Glass &amp; Concrete industry Demand Electric Motors</v>
      </c>
      <c r="D234" s="166" t="str">
        <f t="shared" si="355"/>
        <v>PJ</v>
      </c>
      <c r="E234" s="171">
        <f t="shared" ca="1" si="318"/>
        <v>45.906674186138616</v>
      </c>
      <c r="F234" s="171">
        <f t="shared" ca="1" si="319"/>
        <v>0</v>
      </c>
      <c r="G234" s="171">
        <f t="shared" ca="1" si="320"/>
        <v>2.4161415683168319</v>
      </c>
      <c r="I234" s="382" t="str">
        <f t="shared" si="322"/>
        <v>GlassConcrete</v>
      </c>
      <c r="J234" s="222" t="str">
        <f t="shared" ref="J234:M234" si="366">+J227</f>
        <v>BQ</v>
      </c>
      <c r="K234" s="222" t="str">
        <f t="shared" si="366"/>
        <v>BR</v>
      </c>
      <c r="L234" s="222" t="str">
        <f t="shared" ref="L234" si="367">+L227</f>
        <v>BS</v>
      </c>
      <c r="M234" s="223">
        <f t="shared" si="366"/>
        <v>60</v>
      </c>
      <c r="N234" s="224"/>
    </row>
    <row r="235" spans="2:16" ht="12.75" customHeight="1">
      <c r="B235" s="164" t="str">
        <f t="shared" si="355"/>
        <v>IGDTF</v>
      </c>
      <c r="C235" s="164" t="str">
        <f t="shared" si="355"/>
        <v>Glass &amp; Concrete industry Demand Haulage Tractors, Trucks, Fishing boats, Forest machines</v>
      </c>
      <c r="D235" s="166" t="str">
        <f t="shared" si="355"/>
        <v>PJ</v>
      </c>
      <c r="E235" s="171">
        <f t="shared" ca="1" si="318"/>
        <v>3.0177766336633667</v>
      </c>
      <c r="F235" s="171">
        <f t="shared" ca="1" si="319"/>
        <v>0</v>
      </c>
      <c r="G235" s="171">
        <f t="shared" ca="1" si="320"/>
        <v>0.15883527920792079</v>
      </c>
      <c r="I235" s="382" t="str">
        <f t="shared" si="322"/>
        <v>GlassConcrete</v>
      </c>
      <c r="J235" s="222" t="str">
        <f t="shared" ref="J235:M235" si="368">+J228</f>
        <v>BQ</v>
      </c>
      <c r="K235" s="222" t="str">
        <f t="shared" si="368"/>
        <v>BR</v>
      </c>
      <c r="L235" s="222" t="str">
        <f t="shared" ref="L235" si="369">+L228</f>
        <v>BS</v>
      </c>
      <c r="M235" s="223">
        <f t="shared" si="368"/>
        <v>61</v>
      </c>
      <c r="N235" s="224"/>
    </row>
    <row r="236" spans="2:16" ht="12.75" customHeight="1">
      <c r="B236" s="263" t="str">
        <f t="shared" si="355"/>
        <v>IGDFL</v>
      </c>
      <c r="C236" s="263" t="str">
        <f t="shared" si="355"/>
        <v>Glass &amp; Concrete industry Demand Haulage Forklifts</v>
      </c>
      <c r="D236" s="264" t="str">
        <f t="shared" si="355"/>
        <v>PJ</v>
      </c>
      <c r="E236" s="171">
        <f t="shared" ca="1" si="318"/>
        <v>0</v>
      </c>
      <c r="F236" s="171">
        <f t="shared" ca="1" si="319"/>
        <v>0</v>
      </c>
      <c r="G236" s="171">
        <f t="shared" ca="1" si="320"/>
        <v>0</v>
      </c>
      <c r="I236" s="382" t="str">
        <f t="shared" si="322"/>
        <v>GlassConcrete</v>
      </c>
      <c r="J236" s="222" t="str">
        <f t="shared" ref="J236:M236" si="370">+J229</f>
        <v>BQ</v>
      </c>
      <c r="K236" s="222" t="str">
        <f t="shared" si="370"/>
        <v>BR</v>
      </c>
      <c r="L236" s="222" t="str">
        <f t="shared" ref="L236" si="371">+L229</f>
        <v>BS</v>
      </c>
      <c r="M236" s="223">
        <f t="shared" si="370"/>
        <v>62</v>
      </c>
      <c r="N236" s="224"/>
      <c r="P236" s="226"/>
    </row>
    <row r="237" spans="2:16" ht="12.75" customHeight="1">
      <c r="B237" s="164" t="str">
        <f t="shared" si="355"/>
        <v>ITDPH</v>
      </c>
      <c r="C237" s="164" t="str">
        <f t="shared" si="355"/>
        <v>Transport industry Demand Process heat</v>
      </c>
      <c r="D237" s="166" t="str">
        <f t="shared" si="355"/>
        <v>PJ</v>
      </c>
      <c r="E237" s="253">
        <f t="shared" ca="1" si="318"/>
        <v>39.546846534653469</v>
      </c>
      <c r="F237" s="253">
        <f t="shared" ca="1" si="319"/>
        <v>2.1970912633663366</v>
      </c>
      <c r="G237" s="253">
        <f t="shared" ca="1" si="320"/>
        <v>2.1970912633663366</v>
      </c>
      <c r="I237" s="382" t="str">
        <f t="shared" si="322"/>
        <v>Transport</v>
      </c>
      <c r="J237" s="222" t="str">
        <f t="shared" ref="J237:M237" si="372">+J230</f>
        <v>BQ</v>
      </c>
      <c r="K237" s="222" t="str">
        <f t="shared" si="372"/>
        <v>BR</v>
      </c>
      <c r="L237" s="222" t="str">
        <f t="shared" ref="L237" si="373">+L230</f>
        <v>BS</v>
      </c>
      <c r="M237" s="223">
        <f t="shared" si="372"/>
        <v>26</v>
      </c>
      <c r="N237" s="224">
        <f>+N230</f>
        <v>37</v>
      </c>
      <c r="P237" s="226">
        <f ca="1">+SUM(INDIRECT("'" &amp; I237 &amp; "'!" &amp; "BQ26:BR62")) - SUM(E237:F243)</f>
        <v>0</v>
      </c>
    </row>
    <row r="238" spans="2:16" ht="12.75" customHeight="1">
      <c r="B238" s="164" t="str">
        <f t="shared" si="355"/>
        <v>ITDCO</v>
      </c>
      <c r="C238" s="164" t="str">
        <f t="shared" si="355"/>
        <v>Transport industry Demand Cooling</v>
      </c>
      <c r="D238" s="166" t="str">
        <f t="shared" si="355"/>
        <v>PJ</v>
      </c>
      <c r="E238" s="171">
        <f t="shared" ca="1" si="318"/>
        <v>0</v>
      </c>
      <c r="F238" s="171">
        <f t="shared" ca="1" si="319"/>
        <v>0</v>
      </c>
      <c r="G238" s="171">
        <f t="shared" ca="1" si="320"/>
        <v>0</v>
      </c>
      <c r="I238" s="382" t="str">
        <f t="shared" si="322"/>
        <v>Transport</v>
      </c>
      <c r="J238" s="222" t="str">
        <f t="shared" ref="J238:M238" si="374">+J231</f>
        <v>BQ</v>
      </c>
      <c r="K238" s="222" t="str">
        <f t="shared" si="374"/>
        <v>BR</v>
      </c>
      <c r="L238" s="222" t="str">
        <f t="shared" ref="L238" si="375">+L231</f>
        <v>BS</v>
      </c>
      <c r="M238" s="223">
        <f t="shared" si="374"/>
        <v>38</v>
      </c>
      <c r="N238" s="224">
        <f>+N231</f>
        <v>46</v>
      </c>
      <c r="P238" s="225"/>
    </row>
    <row r="239" spans="2:16" ht="12.75" customHeight="1">
      <c r="B239" s="164" t="str">
        <f t="shared" si="355"/>
        <v>ITDSH</v>
      </c>
      <c r="C239" s="164" t="str">
        <f t="shared" si="355"/>
        <v>Transport industry Demand Spatial Heat</v>
      </c>
      <c r="D239" s="166" t="str">
        <f t="shared" si="355"/>
        <v>PJ</v>
      </c>
      <c r="E239" s="171">
        <f t="shared" ca="1" si="318"/>
        <v>1.1349525386138615</v>
      </c>
      <c r="F239" s="171">
        <f t="shared" ca="1" si="319"/>
        <v>5.6983366336633666E-3</v>
      </c>
      <c r="G239" s="171">
        <f t="shared" ca="1" si="320"/>
        <v>5.6983366336633666E-3</v>
      </c>
      <c r="I239" s="382" t="str">
        <f t="shared" si="322"/>
        <v>Transport</v>
      </c>
      <c r="J239" s="222" t="str">
        <f t="shared" ref="J239:M239" si="376">+J232</f>
        <v>BQ</v>
      </c>
      <c r="K239" s="222" t="str">
        <f t="shared" si="376"/>
        <v>BR</v>
      </c>
      <c r="L239" s="222" t="str">
        <f t="shared" ref="L239" si="377">+L232</f>
        <v>BS</v>
      </c>
      <c r="M239" s="223">
        <f t="shared" si="376"/>
        <v>47</v>
      </c>
      <c r="N239" s="224">
        <f>+N232</f>
        <v>58</v>
      </c>
    </row>
    <row r="240" spans="2:16" ht="12.75" customHeight="1">
      <c r="B240" s="164" t="str">
        <f t="shared" si="355"/>
        <v>ITDLA</v>
      </c>
      <c r="C240" s="164" t="str">
        <f t="shared" si="355"/>
        <v>Transport industry Demand Light</v>
      </c>
      <c r="D240" s="166" t="str">
        <f t="shared" si="355"/>
        <v>PJ</v>
      </c>
      <c r="E240" s="171">
        <f t="shared" ca="1" si="318"/>
        <v>0</v>
      </c>
      <c r="F240" s="171">
        <f t="shared" ca="1" si="319"/>
        <v>0</v>
      </c>
      <c r="G240" s="171">
        <f t="shared" ca="1" si="320"/>
        <v>0</v>
      </c>
      <c r="I240" s="382" t="str">
        <f t="shared" si="322"/>
        <v>Transport</v>
      </c>
      <c r="J240" s="222" t="str">
        <f t="shared" ref="J240:M240" si="378">+J233</f>
        <v>BQ</v>
      </c>
      <c r="K240" s="222" t="str">
        <f t="shared" si="378"/>
        <v>BR</v>
      </c>
      <c r="L240" s="222" t="str">
        <f t="shared" ref="L240" si="379">+L233</f>
        <v>BS</v>
      </c>
      <c r="M240" s="223">
        <f t="shared" si="378"/>
        <v>59</v>
      </c>
      <c r="N240" s="224"/>
    </row>
    <row r="241" spans="2:16" ht="12.75" customHeight="1">
      <c r="B241" s="164" t="str">
        <f t="shared" si="355"/>
        <v>ITDEM</v>
      </c>
      <c r="C241" s="164" t="str">
        <f t="shared" si="355"/>
        <v>Transport industry Demand Electric Motors</v>
      </c>
      <c r="D241" s="166" t="str">
        <f t="shared" si="355"/>
        <v>PJ</v>
      </c>
      <c r="E241" s="171">
        <f t="shared" ref="E241:E272" ca="1" si="380">+SUM(INDIRECT("'" &amp; $I241 &amp; "'!" &amp; J241 &amp; $M241 &amp; IF(ISBLANK($N241),"",":" &amp; J241 &amp; $N241)))</f>
        <v>0</v>
      </c>
      <c r="F241" s="171">
        <f t="shared" ref="F241:F272" ca="1" si="381">+SUM(INDIRECT("'" &amp; $I241 &amp; "'!" &amp; K241 &amp; $M241 &amp; IF(ISBLANK($N241),"",":" &amp; K241 &amp; $N241)))</f>
        <v>0</v>
      </c>
      <c r="G241" s="171">
        <f t="shared" ref="G241:G272" ca="1" si="382">+SUM(INDIRECT("'" &amp; $I241 &amp; "'!" &amp; L241 &amp; $M241 &amp; IF(ISBLANK($N241),"",":" &amp; L241 &amp; $N241)))</f>
        <v>0</v>
      </c>
      <c r="I241" s="382" t="str">
        <f t="shared" si="322"/>
        <v>Transport</v>
      </c>
      <c r="J241" s="222" t="str">
        <f t="shared" ref="J241:M241" si="383">+J234</f>
        <v>BQ</v>
      </c>
      <c r="K241" s="222" t="str">
        <f t="shared" si="383"/>
        <v>BR</v>
      </c>
      <c r="L241" s="222" t="str">
        <f t="shared" ref="L241" si="384">+L234</f>
        <v>BS</v>
      </c>
      <c r="M241" s="223">
        <f t="shared" si="383"/>
        <v>60</v>
      </c>
      <c r="N241" s="224"/>
    </row>
    <row r="242" spans="2:16" ht="12.75" customHeight="1">
      <c r="B242" s="164" t="str">
        <f t="shared" si="355"/>
        <v>ITDTF</v>
      </c>
      <c r="C242" s="164" t="str">
        <f t="shared" si="355"/>
        <v>Transport industry Demand Haulage Tractors, Trucks, Fishing boats, Forest machines</v>
      </c>
      <c r="D242" s="166" t="str">
        <f t="shared" si="355"/>
        <v>PJ</v>
      </c>
      <c r="E242" s="171">
        <f t="shared" ca="1" si="380"/>
        <v>1.2363048712871287</v>
      </c>
      <c r="F242" s="171">
        <f t="shared" ca="1" si="381"/>
        <v>6.8692277227722781E-2</v>
      </c>
      <c r="G242" s="171">
        <f t="shared" ca="1" si="382"/>
        <v>6.8692277227722781E-2</v>
      </c>
      <c r="I242" s="382" t="str">
        <f t="shared" si="322"/>
        <v>Transport</v>
      </c>
      <c r="J242" s="222" t="str">
        <f t="shared" ref="J242:M242" si="385">+J235</f>
        <v>BQ</v>
      </c>
      <c r="K242" s="222" t="str">
        <f t="shared" si="385"/>
        <v>BR</v>
      </c>
      <c r="L242" s="222" t="str">
        <f t="shared" ref="L242" si="386">+L235</f>
        <v>BS</v>
      </c>
      <c r="M242" s="223">
        <f t="shared" si="385"/>
        <v>61</v>
      </c>
      <c r="N242" s="224"/>
    </row>
    <row r="243" spans="2:16" ht="12.75" customHeight="1">
      <c r="B243" s="263" t="str">
        <f t="shared" si="355"/>
        <v>ITDFL</v>
      </c>
      <c r="C243" s="263" t="str">
        <f t="shared" si="355"/>
        <v>Transport industry Demand Haulage Forklifts</v>
      </c>
      <c r="D243" s="264" t="str">
        <f t="shared" si="355"/>
        <v>PJ</v>
      </c>
      <c r="E243" s="171">
        <f t="shared" ca="1" si="380"/>
        <v>0</v>
      </c>
      <c r="F243" s="171">
        <f t="shared" ca="1" si="381"/>
        <v>0</v>
      </c>
      <c r="G243" s="171">
        <f t="shared" ca="1" si="382"/>
        <v>0</v>
      </c>
      <c r="I243" s="382" t="str">
        <f t="shared" si="322"/>
        <v>Transport</v>
      </c>
      <c r="J243" s="222" t="str">
        <f t="shared" ref="J243:M243" si="387">+J236</f>
        <v>BQ</v>
      </c>
      <c r="K243" s="222" t="str">
        <f t="shared" si="387"/>
        <v>BR</v>
      </c>
      <c r="L243" s="222" t="str">
        <f t="shared" ref="L243" si="388">+L236</f>
        <v>BS</v>
      </c>
      <c r="M243" s="223">
        <f t="shared" si="387"/>
        <v>62</v>
      </c>
      <c r="N243" s="224"/>
      <c r="P243" s="226"/>
    </row>
    <row r="244" spans="2:16" ht="12.75" customHeight="1">
      <c r="B244" s="164" t="str">
        <f t="shared" si="355"/>
        <v>IMDPH</v>
      </c>
      <c r="C244" s="164" t="str">
        <f t="shared" si="355"/>
        <v>Machinery industry Demand Process heat</v>
      </c>
      <c r="D244" s="166" t="str">
        <f t="shared" si="355"/>
        <v>PJ</v>
      </c>
      <c r="E244" s="253">
        <f t="shared" ca="1" si="380"/>
        <v>67.037776895049504</v>
      </c>
      <c r="F244" s="253">
        <f t="shared" ca="1" si="381"/>
        <v>3.7243547643564359</v>
      </c>
      <c r="G244" s="253">
        <f t="shared" ca="1" si="382"/>
        <v>3.7243547643564359</v>
      </c>
      <c r="I244" s="382" t="str">
        <f t="shared" si="322"/>
        <v>Machinery</v>
      </c>
      <c r="J244" s="222" t="str">
        <f t="shared" ref="J244:M244" si="389">+J237</f>
        <v>BQ</v>
      </c>
      <c r="K244" s="222" t="str">
        <f t="shared" si="389"/>
        <v>BR</v>
      </c>
      <c r="L244" s="222" t="str">
        <f t="shared" ref="L244" si="390">+L237</f>
        <v>BS</v>
      </c>
      <c r="M244" s="223">
        <f t="shared" si="389"/>
        <v>26</v>
      </c>
      <c r="N244" s="224">
        <f>+N237</f>
        <v>37</v>
      </c>
      <c r="P244" s="226">
        <f ca="1">+SUM(INDIRECT("'" &amp; I244 &amp; "'!" &amp; "BQ26:BR62")) - SUM(E244:F250)</f>
        <v>0</v>
      </c>
    </row>
    <row r="245" spans="2:16" ht="12.75" customHeight="1">
      <c r="B245" s="164" t="str">
        <f t="shared" si="355"/>
        <v>IMDCO</v>
      </c>
      <c r="C245" s="164" t="str">
        <f t="shared" si="355"/>
        <v>Machinery industry Demand Cooling</v>
      </c>
      <c r="D245" s="166" t="str">
        <f t="shared" si="355"/>
        <v>PJ</v>
      </c>
      <c r="E245" s="255">
        <f t="shared" ca="1" si="380"/>
        <v>0</v>
      </c>
      <c r="F245" s="255">
        <f t="shared" ca="1" si="381"/>
        <v>0</v>
      </c>
      <c r="G245" s="255">
        <f t="shared" ca="1" si="382"/>
        <v>0</v>
      </c>
      <c r="I245" s="382" t="str">
        <f t="shared" si="322"/>
        <v>Machinery</v>
      </c>
      <c r="J245" s="222" t="str">
        <f t="shared" ref="J245:M245" si="391">+J238</f>
        <v>BQ</v>
      </c>
      <c r="K245" s="222" t="str">
        <f t="shared" si="391"/>
        <v>BR</v>
      </c>
      <c r="L245" s="222" t="str">
        <f t="shared" ref="L245" si="392">+L238</f>
        <v>BS</v>
      </c>
      <c r="M245" s="223">
        <f t="shared" si="391"/>
        <v>38</v>
      </c>
      <c r="N245" s="224">
        <f>+N238</f>
        <v>46</v>
      </c>
    </row>
    <row r="246" spans="2:16" ht="12.75" customHeight="1">
      <c r="B246" s="164" t="str">
        <f t="shared" si="355"/>
        <v>IMDSH</v>
      </c>
      <c r="C246" s="164" t="str">
        <f t="shared" si="355"/>
        <v>Machinery industry Demand Spatial Heat</v>
      </c>
      <c r="D246" s="166" t="str">
        <f t="shared" si="355"/>
        <v>PJ</v>
      </c>
      <c r="E246" s="171">
        <f t="shared" ca="1" si="380"/>
        <v>113.87605886732673</v>
      </c>
      <c r="F246" s="171">
        <f t="shared" ca="1" si="381"/>
        <v>3.3409425742574259E-3</v>
      </c>
      <c r="G246" s="171">
        <f t="shared" ca="1" si="382"/>
        <v>3.3409425742574259E-3</v>
      </c>
      <c r="I246" s="382" t="str">
        <f t="shared" si="322"/>
        <v>Machinery</v>
      </c>
      <c r="J246" s="222" t="str">
        <f t="shared" ref="J246:M246" si="393">+J239</f>
        <v>BQ</v>
      </c>
      <c r="K246" s="222" t="str">
        <f t="shared" si="393"/>
        <v>BR</v>
      </c>
      <c r="L246" s="222" t="str">
        <f t="shared" ref="L246" si="394">+L239</f>
        <v>BS</v>
      </c>
      <c r="M246" s="223">
        <f t="shared" si="393"/>
        <v>47</v>
      </c>
      <c r="N246" s="224">
        <f>+N239</f>
        <v>58</v>
      </c>
    </row>
    <row r="247" spans="2:16" ht="12.75" customHeight="1">
      <c r="B247" s="164" t="str">
        <f t="shared" si="355"/>
        <v>IMDLA</v>
      </c>
      <c r="C247" s="164" t="str">
        <f t="shared" si="355"/>
        <v>Machinery industry Demand Light</v>
      </c>
      <c r="D247" s="166" t="str">
        <f t="shared" si="355"/>
        <v>PJ</v>
      </c>
      <c r="E247" s="171">
        <f t="shared" ca="1" si="380"/>
        <v>0.10544264554455447</v>
      </c>
      <c r="F247" s="171">
        <f t="shared" ca="1" si="381"/>
        <v>5.8700673267326735E-3</v>
      </c>
      <c r="G247" s="171">
        <f t="shared" ca="1" si="382"/>
        <v>5.8700673267326735E-3</v>
      </c>
      <c r="I247" s="382" t="str">
        <f t="shared" si="322"/>
        <v>Machinery</v>
      </c>
      <c r="J247" s="222" t="str">
        <f t="shared" ref="J247:M247" si="395">+J240</f>
        <v>BQ</v>
      </c>
      <c r="K247" s="222" t="str">
        <f t="shared" si="395"/>
        <v>BR</v>
      </c>
      <c r="L247" s="222" t="str">
        <f t="shared" ref="L247" si="396">+L240</f>
        <v>BS</v>
      </c>
      <c r="M247" s="223">
        <f t="shared" si="395"/>
        <v>59</v>
      </c>
      <c r="N247" s="224"/>
    </row>
    <row r="248" spans="2:16" ht="12.75" customHeight="1">
      <c r="B248" s="164" t="str">
        <f t="shared" si="355"/>
        <v>IMDEM</v>
      </c>
      <c r="C248" s="164" t="str">
        <f t="shared" si="355"/>
        <v>Machinery industry Demand Electric Motors</v>
      </c>
      <c r="D248" s="166" t="str">
        <f t="shared" si="355"/>
        <v>PJ</v>
      </c>
      <c r="E248" s="171">
        <f t="shared" ca="1" si="380"/>
        <v>0.56934969504950506</v>
      </c>
      <c r="F248" s="171">
        <f t="shared" ca="1" si="381"/>
        <v>3.1645283168316829E-2</v>
      </c>
      <c r="G248" s="171">
        <f t="shared" ca="1" si="382"/>
        <v>3.1645283168316829E-2</v>
      </c>
      <c r="I248" s="382" t="str">
        <f t="shared" si="322"/>
        <v>Machinery</v>
      </c>
      <c r="J248" s="222" t="str">
        <f t="shared" ref="J248:M248" si="397">+J241</f>
        <v>BQ</v>
      </c>
      <c r="K248" s="222" t="str">
        <f t="shared" si="397"/>
        <v>BR</v>
      </c>
      <c r="L248" s="222" t="str">
        <f t="shared" ref="L248" si="398">+L241</f>
        <v>BS</v>
      </c>
      <c r="M248" s="223">
        <f t="shared" si="397"/>
        <v>60</v>
      </c>
      <c r="N248" s="224"/>
      <c r="P248" s="226"/>
    </row>
    <row r="249" spans="2:16" ht="12.75" customHeight="1">
      <c r="B249" s="164" t="str">
        <f t="shared" ref="B249:D268" si="399">B47</f>
        <v>IMDTF</v>
      </c>
      <c r="C249" s="164" t="str">
        <f t="shared" si="399"/>
        <v>Machinery industry Demand Haulage Tractors, Trucks, Fishing boats, Forest machines</v>
      </c>
      <c r="D249" s="166" t="str">
        <f t="shared" si="399"/>
        <v>PJ</v>
      </c>
      <c r="E249" s="171">
        <f t="shared" ca="1" si="380"/>
        <v>6.7223823683168318</v>
      </c>
      <c r="F249" s="171">
        <f t="shared" ca="1" si="381"/>
        <v>0.37346742178217823</v>
      </c>
      <c r="G249" s="171">
        <f t="shared" ca="1" si="382"/>
        <v>0.37346742178217823</v>
      </c>
      <c r="I249" s="382" t="str">
        <f t="shared" si="322"/>
        <v>Machinery</v>
      </c>
      <c r="J249" s="222" t="str">
        <f t="shared" ref="J249:M249" si="400">+J242</f>
        <v>BQ</v>
      </c>
      <c r="K249" s="222" t="str">
        <f t="shared" si="400"/>
        <v>BR</v>
      </c>
      <c r="L249" s="222" t="str">
        <f t="shared" ref="L249" si="401">+L242</f>
        <v>BS</v>
      </c>
      <c r="M249" s="223">
        <f t="shared" si="400"/>
        <v>61</v>
      </c>
      <c r="N249" s="224"/>
    </row>
    <row r="250" spans="2:16" ht="12.75" customHeight="1">
      <c r="B250" s="263" t="str">
        <f t="shared" si="399"/>
        <v>IMDFL</v>
      </c>
      <c r="C250" s="263" t="str">
        <f t="shared" si="399"/>
        <v>Machinery industry Demand Haulage Forklifts</v>
      </c>
      <c r="D250" s="264" t="str">
        <f t="shared" si="399"/>
        <v>PJ</v>
      </c>
      <c r="E250" s="171">
        <f t="shared" ca="1" si="380"/>
        <v>0</v>
      </c>
      <c r="F250" s="171">
        <f t="shared" ca="1" si="381"/>
        <v>0</v>
      </c>
      <c r="G250" s="171">
        <f t="shared" ca="1" si="382"/>
        <v>0</v>
      </c>
      <c r="I250" s="382" t="str">
        <f t="shared" si="322"/>
        <v>Machinery</v>
      </c>
      <c r="J250" s="222" t="str">
        <f t="shared" ref="J250:M250" si="402">+J243</f>
        <v>BQ</v>
      </c>
      <c r="K250" s="222" t="str">
        <f t="shared" si="402"/>
        <v>BR</v>
      </c>
      <c r="L250" s="222" t="str">
        <f t="shared" ref="L250" si="403">+L243</f>
        <v>BS</v>
      </c>
      <c r="M250" s="223">
        <f t="shared" si="402"/>
        <v>62</v>
      </c>
      <c r="N250" s="224"/>
    </row>
    <row r="251" spans="2:16" ht="12.75" customHeight="1">
      <c r="B251" s="164" t="str">
        <f t="shared" si="399"/>
        <v>IIDPH</v>
      </c>
      <c r="C251" s="164" t="str">
        <f t="shared" si="399"/>
        <v>Mining Demand Process heat</v>
      </c>
      <c r="D251" s="166" t="str">
        <f t="shared" si="399"/>
        <v>PJ</v>
      </c>
      <c r="E251" s="253">
        <f t="shared" ca="1" si="380"/>
        <v>5.8515828594059416</v>
      </c>
      <c r="F251" s="253">
        <f t="shared" ca="1" si="381"/>
        <v>0.32513303762376233</v>
      </c>
      <c r="G251" s="253">
        <f t="shared" ca="1" si="382"/>
        <v>0.32513303762376233</v>
      </c>
      <c r="I251" s="382" t="str">
        <f t="shared" si="322"/>
        <v>Mining</v>
      </c>
      <c r="J251" s="222" t="str">
        <f t="shared" ref="J251:M251" si="404">+J244</f>
        <v>BQ</v>
      </c>
      <c r="K251" s="222" t="str">
        <f t="shared" si="404"/>
        <v>BR</v>
      </c>
      <c r="L251" s="222" t="str">
        <f t="shared" ref="L251" si="405">+L244</f>
        <v>BS</v>
      </c>
      <c r="M251" s="223">
        <f t="shared" si="404"/>
        <v>26</v>
      </c>
      <c r="N251" s="224">
        <f>+N244</f>
        <v>37</v>
      </c>
      <c r="P251" s="226">
        <f ca="1">+SUM(INDIRECT("'" &amp; I251 &amp; "'!" &amp; "BQ26:BR62")) - SUM(E251:F257)</f>
        <v>0</v>
      </c>
    </row>
    <row r="252" spans="2:16" ht="12.75" customHeight="1">
      <c r="B252" s="164" t="str">
        <f t="shared" si="399"/>
        <v>IIDCO</v>
      </c>
      <c r="C252" s="164" t="str">
        <f t="shared" si="399"/>
        <v>Mining Demand Cooling</v>
      </c>
      <c r="D252" s="166" t="str">
        <f t="shared" si="399"/>
        <v>PJ</v>
      </c>
      <c r="E252" s="255">
        <f t="shared" ca="1" si="380"/>
        <v>0</v>
      </c>
      <c r="F252" s="255">
        <f t="shared" ca="1" si="381"/>
        <v>0</v>
      </c>
      <c r="G252" s="255">
        <f t="shared" ca="1" si="382"/>
        <v>0</v>
      </c>
      <c r="I252" s="382" t="str">
        <f t="shared" si="322"/>
        <v>Mining</v>
      </c>
      <c r="J252" s="222" t="str">
        <f t="shared" ref="J252:M252" si="406">+J245</f>
        <v>BQ</v>
      </c>
      <c r="K252" s="222" t="str">
        <f t="shared" si="406"/>
        <v>BR</v>
      </c>
      <c r="L252" s="222" t="str">
        <f t="shared" ref="L252" si="407">+L245</f>
        <v>BS</v>
      </c>
      <c r="M252" s="223">
        <f t="shared" si="406"/>
        <v>38</v>
      </c>
      <c r="N252" s="224">
        <f>+N245</f>
        <v>46</v>
      </c>
      <c r="P252" s="225"/>
    </row>
    <row r="253" spans="2:16" ht="12.75" customHeight="1">
      <c r="B253" s="164" t="str">
        <f t="shared" si="399"/>
        <v>IIDSH</v>
      </c>
      <c r="C253" s="164" t="str">
        <f t="shared" si="399"/>
        <v>Mining Demand Spatial Heat</v>
      </c>
      <c r="D253" s="166" t="str">
        <f t="shared" si="399"/>
        <v>PJ</v>
      </c>
      <c r="E253" s="171">
        <f t="shared" ca="1" si="380"/>
        <v>6.1827889188118803</v>
      </c>
      <c r="F253" s="171">
        <f t="shared" ca="1" si="381"/>
        <v>0</v>
      </c>
      <c r="G253" s="171">
        <f t="shared" ca="1" si="382"/>
        <v>0</v>
      </c>
      <c r="I253" s="382" t="str">
        <f t="shared" si="322"/>
        <v>Mining</v>
      </c>
      <c r="J253" s="222" t="str">
        <f t="shared" ref="J253:M253" si="408">+J246</f>
        <v>BQ</v>
      </c>
      <c r="K253" s="222" t="str">
        <f t="shared" si="408"/>
        <v>BR</v>
      </c>
      <c r="L253" s="222" t="str">
        <f t="shared" ref="L253" si="409">+L246</f>
        <v>BS</v>
      </c>
      <c r="M253" s="223">
        <f t="shared" si="408"/>
        <v>47</v>
      </c>
      <c r="N253" s="224">
        <f>+N246</f>
        <v>58</v>
      </c>
    </row>
    <row r="254" spans="2:16" ht="12.75" customHeight="1">
      <c r="B254" s="164" t="str">
        <f t="shared" si="399"/>
        <v>IIDLA</v>
      </c>
      <c r="C254" s="164" t="str">
        <f t="shared" si="399"/>
        <v>Mining Demand Light</v>
      </c>
      <c r="D254" s="166" t="str">
        <f t="shared" si="399"/>
        <v>PJ</v>
      </c>
      <c r="E254" s="171">
        <f t="shared" ca="1" si="380"/>
        <v>0</v>
      </c>
      <c r="F254" s="171">
        <f t="shared" ca="1" si="381"/>
        <v>0</v>
      </c>
      <c r="G254" s="171">
        <f t="shared" ca="1" si="382"/>
        <v>0</v>
      </c>
      <c r="I254" s="382" t="str">
        <f t="shared" si="322"/>
        <v>Mining</v>
      </c>
      <c r="J254" s="222" t="str">
        <f t="shared" ref="J254:M254" si="410">+J247</f>
        <v>BQ</v>
      </c>
      <c r="K254" s="222" t="str">
        <f t="shared" si="410"/>
        <v>BR</v>
      </c>
      <c r="L254" s="222" t="str">
        <f t="shared" ref="L254" si="411">+L247</f>
        <v>BS</v>
      </c>
      <c r="M254" s="223">
        <f t="shared" si="410"/>
        <v>59</v>
      </c>
      <c r="N254" s="224"/>
    </row>
    <row r="255" spans="2:16" ht="12.75" customHeight="1">
      <c r="B255" s="164" t="str">
        <f t="shared" si="399"/>
        <v>IIDEM</v>
      </c>
      <c r="C255" s="164" t="str">
        <f t="shared" si="399"/>
        <v>Mining Demand Electric Motors</v>
      </c>
      <c r="D255" s="166" t="str">
        <f t="shared" si="399"/>
        <v>PJ</v>
      </c>
      <c r="E255" s="171">
        <f t="shared" ca="1" si="380"/>
        <v>0</v>
      </c>
      <c r="F255" s="171">
        <f t="shared" ca="1" si="381"/>
        <v>0</v>
      </c>
      <c r="G255" s="171">
        <f t="shared" ca="1" si="382"/>
        <v>0</v>
      </c>
      <c r="I255" s="382" t="str">
        <f t="shared" si="322"/>
        <v>Mining</v>
      </c>
      <c r="J255" s="222" t="str">
        <f t="shared" ref="J255:M255" si="412">+J248</f>
        <v>BQ</v>
      </c>
      <c r="K255" s="222" t="str">
        <f t="shared" si="412"/>
        <v>BR</v>
      </c>
      <c r="L255" s="222" t="str">
        <f t="shared" ref="L255" si="413">+L248</f>
        <v>BS</v>
      </c>
      <c r="M255" s="223">
        <f t="shared" si="412"/>
        <v>60</v>
      </c>
      <c r="N255" s="224"/>
    </row>
    <row r="256" spans="2:16" ht="12.75" customHeight="1">
      <c r="B256" s="164" t="str">
        <f t="shared" si="399"/>
        <v>IIDTF</v>
      </c>
      <c r="C256" s="164" t="str">
        <f t="shared" si="399"/>
        <v>Mining Demand Haulage Tractors, Trucks, Fishing boats, Forest machines</v>
      </c>
      <c r="D256" s="166" t="str">
        <f t="shared" si="399"/>
        <v>PJ</v>
      </c>
      <c r="E256" s="171">
        <f t="shared" ca="1" si="380"/>
        <v>0.65679184158415849</v>
      </c>
      <c r="F256" s="171">
        <f t="shared" ca="1" si="381"/>
        <v>3.650057821782178E-2</v>
      </c>
      <c r="G256" s="171">
        <f t="shared" ca="1" si="382"/>
        <v>3.650057821782178E-2</v>
      </c>
      <c r="I256" s="382" t="str">
        <f t="shared" si="322"/>
        <v>Mining</v>
      </c>
      <c r="J256" s="222" t="str">
        <f t="shared" ref="J256:M256" si="414">+J249</f>
        <v>BQ</v>
      </c>
      <c r="K256" s="222" t="str">
        <f t="shared" si="414"/>
        <v>BR</v>
      </c>
      <c r="L256" s="222" t="str">
        <f t="shared" ref="L256" si="415">+L249</f>
        <v>BS</v>
      </c>
      <c r="M256" s="223">
        <f t="shared" si="414"/>
        <v>61</v>
      </c>
      <c r="N256" s="224"/>
    </row>
    <row r="257" spans="2:16" ht="12.75" customHeight="1">
      <c r="B257" s="263" t="str">
        <f t="shared" si="399"/>
        <v>IIDFL</v>
      </c>
      <c r="C257" s="263" t="str">
        <f t="shared" si="399"/>
        <v>Mining Demand Haulage Forklifts</v>
      </c>
      <c r="D257" s="264" t="str">
        <f t="shared" si="399"/>
        <v>PJ</v>
      </c>
      <c r="E257" s="171">
        <f t="shared" ca="1" si="380"/>
        <v>0</v>
      </c>
      <c r="F257" s="171">
        <f t="shared" ca="1" si="381"/>
        <v>0</v>
      </c>
      <c r="G257" s="171">
        <f t="shared" ca="1" si="382"/>
        <v>0</v>
      </c>
      <c r="I257" s="382" t="str">
        <f t="shared" si="322"/>
        <v>Mining</v>
      </c>
      <c r="J257" s="222" t="str">
        <f t="shared" ref="J257:M257" si="416">+J250</f>
        <v>BQ</v>
      </c>
      <c r="K257" s="222" t="str">
        <f t="shared" si="416"/>
        <v>BR</v>
      </c>
      <c r="L257" s="222" t="str">
        <f t="shared" ref="L257" si="417">+L250</f>
        <v>BS</v>
      </c>
      <c r="M257" s="223">
        <f t="shared" si="416"/>
        <v>62</v>
      </c>
      <c r="N257" s="224"/>
      <c r="P257" s="226"/>
    </row>
    <row r="258" spans="2:16" ht="12.75" customHeight="1">
      <c r="B258" s="164" t="str">
        <f t="shared" si="399"/>
        <v>IFDPH</v>
      </c>
      <c r="C258" s="164" t="str">
        <f t="shared" si="399"/>
        <v>Food industry Demand Process heat</v>
      </c>
      <c r="D258" s="166" t="str">
        <f t="shared" si="399"/>
        <v>PJ</v>
      </c>
      <c r="E258" s="253">
        <f t="shared" ca="1" si="380"/>
        <v>119.09350272475248</v>
      </c>
      <c r="F258" s="253">
        <f t="shared" ca="1" si="381"/>
        <v>0</v>
      </c>
      <c r="G258" s="253">
        <f t="shared" ca="1" si="382"/>
        <v>6.2681078495049505</v>
      </c>
      <c r="I258" s="382" t="str">
        <f t="shared" si="322"/>
        <v>Food</v>
      </c>
      <c r="J258" s="222" t="str">
        <f t="shared" ref="J258:M258" si="418">+J251</f>
        <v>BQ</v>
      </c>
      <c r="K258" s="222" t="str">
        <f t="shared" si="418"/>
        <v>BR</v>
      </c>
      <c r="L258" s="222" t="str">
        <f t="shared" ref="L258" si="419">+L251</f>
        <v>BS</v>
      </c>
      <c r="M258" s="223">
        <f t="shared" si="418"/>
        <v>26</v>
      </c>
      <c r="N258" s="224">
        <f>+N251</f>
        <v>37</v>
      </c>
      <c r="P258" s="226">
        <f ca="1">+SUM(INDIRECT("'" &amp; I258 &amp; "'!" &amp; "BQ26:BR62")) - SUM(E258:F264)</f>
        <v>0</v>
      </c>
    </row>
    <row r="259" spans="2:16" ht="12.75" customHeight="1">
      <c r="B259" s="164" t="str">
        <f t="shared" si="399"/>
        <v>IFDCO</v>
      </c>
      <c r="C259" s="164" t="str">
        <f t="shared" si="399"/>
        <v>Food industry Demand Cooling</v>
      </c>
      <c r="D259" s="166" t="str">
        <f t="shared" si="399"/>
        <v>PJ</v>
      </c>
      <c r="E259" s="255">
        <f t="shared" ca="1" si="380"/>
        <v>0</v>
      </c>
      <c r="F259" s="255">
        <f t="shared" ca="1" si="381"/>
        <v>0</v>
      </c>
      <c r="G259" s="255">
        <f t="shared" ca="1" si="382"/>
        <v>0</v>
      </c>
      <c r="I259" s="382" t="str">
        <f t="shared" si="322"/>
        <v>Food</v>
      </c>
      <c r="J259" s="222" t="str">
        <f t="shared" ref="J259:M259" si="420">+J252</f>
        <v>BQ</v>
      </c>
      <c r="K259" s="222" t="str">
        <f t="shared" si="420"/>
        <v>BR</v>
      </c>
      <c r="L259" s="222" t="str">
        <f t="shared" ref="L259" si="421">+L252</f>
        <v>BS</v>
      </c>
      <c r="M259" s="223">
        <f t="shared" si="420"/>
        <v>38</v>
      </c>
      <c r="N259" s="224">
        <f>+N252</f>
        <v>46</v>
      </c>
    </row>
    <row r="260" spans="2:16" ht="12.75" customHeight="1">
      <c r="B260" s="164" t="str">
        <f t="shared" si="399"/>
        <v>IFDSH</v>
      </c>
      <c r="C260" s="164" t="str">
        <f t="shared" si="399"/>
        <v>Food industry Demand Spatial Heat</v>
      </c>
      <c r="D260" s="166" t="str">
        <f t="shared" si="399"/>
        <v>PJ</v>
      </c>
      <c r="E260" s="171">
        <f t="shared" ca="1" si="380"/>
        <v>64.547713069306951</v>
      </c>
      <c r="F260" s="171">
        <f t="shared" ca="1" si="381"/>
        <v>0</v>
      </c>
      <c r="G260" s="171">
        <f t="shared" ca="1" si="382"/>
        <v>0</v>
      </c>
      <c r="I260" s="382" t="str">
        <f t="shared" si="322"/>
        <v>Food</v>
      </c>
      <c r="J260" s="222" t="str">
        <f t="shared" ref="J260:M260" si="422">+J253</f>
        <v>BQ</v>
      </c>
      <c r="K260" s="222" t="str">
        <f t="shared" si="422"/>
        <v>BR</v>
      </c>
      <c r="L260" s="222" t="str">
        <f t="shared" ref="L260" si="423">+L253</f>
        <v>BS</v>
      </c>
      <c r="M260" s="223">
        <f t="shared" si="422"/>
        <v>47</v>
      </c>
      <c r="N260" s="224">
        <f>+N253</f>
        <v>58</v>
      </c>
    </row>
    <row r="261" spans="2:16" ht="12.75" customHeight="1">
      <c r="B261" s="164" t="str">
        <f t="shared" si="399"/>
        <v>IFDLA</v>
      </c>
      <c r="C261" s="164" t="str">
        <f t="shared" si="399"/>
        <v>Food industry Demand Light</v>
      </c>
      <c r="D261" s="166" t="str">
        <f t="shared" si="399"/>
        <v>PJ</v>
      </c>
      <c r="E261" s="171">
        <f t="shared" ca="1" si="380"/>
        <v>0</v>
      </c>
      <c r="F261" s="171">
        <f t="shared" ca="1" si="381"/>
        <v>0</v>
      </c>
      <c r="G261" s="171">
        <f t="shared" ca="1" si="382"/>
        <v>0</v>
      </c>
      <c r="I261" s="382" t="str">
        <f t="shared" si="322"/>
        <v>Food</v>
      </c>
      <c r="J261" s="222" t="str">
        <f t="shared" ref="J261:M261" si="424">+J254</f>
        <v>BQ</v>
      </c>
      <c r="K261" s="222" t="str">
        <f t="shared" si="424"/>
        <v>BR</v>
      </c>
      <c r="L261" s="222" t="str">
        <f t="shared" ref="L261" si="425">+L254</f>
        <v>BS</v>
      </c>
      <c r="M261" s="223">
        <f t="shared" si="424"/>
        <v>59</v>
      </c>
      <c r="N261" s="224"/>
    </row>
    <row r="262" spans="2:16" ht="12.75" customHeight="1">
      <c r="B262" s="164" t="str">
        <f t="shared" si="399"/>
        <v>IFDEM</v>
      </c>
      <c r="C262" s="164" t="str">
        <f t="shared" si="399"/>
        <v>Food industry Demand Electric Motors</v>
      </c>
      <c r="D262" s="166" t="str">
        <f t="shared" si="399"/>
        <v>PJ</v>
      </c>
      <c r="E262" s="171">
        <f t="shared" ca="1" si="380"/>
        <v>0</v>
      </c>
      <c r="F262" s="171">
        <f t="shared" ca="1" si="381"/>
        <v>0</v>
      </c>
      <c r="G262" s="171">
        <f t="shared" ca="1" si="382"/>
        <v>0</v>
      </c>
      <c r="I262" s="382" t="str">
        <f t="shared" si="322"/>
        <v>Food</v>
      </c>
      <c r="J262" s="222" t="str">
        <f t="shared" ref="J262:M262" si="426">+J255</f>
        <v>BQ</v>
      </c>
      <c r="K262" s="222" t="str">
        <f t="shared" si="426"/>
        <v>BR</v>
      </c>
      <c r="L262" s="222" t="str">
        <f t="shared" ref="L262" si="427">+L255</f>
        <v>BS</v>
      </c>
      <c r="M262" s="223">
        <f t="shared" si="426"/>
        <v>60</v>
      </c>
      <c r="N262" s="224"/>
    </row>
    <row r="263" spans="2:16" ht="12.75" customHeight="1">
      <c r="B263" s="164" t="str">
        <f t="shared" si="399"/>
        <v>IFDTF</v>
      </c>
      <c r="C263" s="164" t="str">
        <f t="shared" si="399"/>
        <v>Food industry Demand Haulage Tractors, Trucks, Fishing boats, Forest machines</v>
      </c>
      <c r="D263" s="166" t="str">
        <f t="shared" si="399"/>
        <v>PJ</v>
      </c>
      <c r="E263" s="171">
        <f t="shared" ca="1" si="380"/>
        <v>5.0975914455445546</v>
      </c>
      <c r="F263" s="171">
        <f t="shared" ca="1" si="381"/>
        <v>0</v>
      </c>
      <c r="G263" s="171">
        <f t="shared" ca="1" si="382"/>
        <v>0.2683057900990099</v>
      </c>
      <c r="I263" s="382" t="str">
        <f t="shared" si="322"/>
        <v>Food</v>
      </c>
      <c r="J263" s="222" t="str">
        <f t="shared" ref="J263:M263" si="428">+J256</f>
        <v>BQ</v>
      </c>
      <c r="K263" s="222" t="str">
        <f t="shared" si="428"/>
        <v>BR</v>
      </c>
      <c r="L263" s="222" t="str">
        <f t="shared" ref="L263" si="429">+L256</f>
        <v>BS</v>
      </c>
      <c r="M263" s="223">
        <f t="shared" si="428"/>
        <v>61</v>
      </c>
      <c r="N263" s="224"/>
    </row>
    <row r="264" spans="2:16" ht="12.75" customHeight="1">
      <c r="B264" s="263" t="str">
        <f t="shared" si="399"/>
        <v>IFDFL</v>
      </c>
      <c r="C264" s="263" t="str">
        <f t="shared" si="399"/>
        <v>Food industry Demand Haulage Forklifts</v>
      </c>
      <c r="D264" s="264" t="str">
        <f t="shared" si="399"/>
        <v>PJ</v>
      </c>
      <c r="E264" s="171">
        <f t="shared" ca="1" si="380"/>
        <v>0</v>
      </c>
      <c r="F264" s="171">
        <f t="shared" ca="1" si="381"/>
        <v>0</v>
      </c>
      <c r="G264" s="171">
        <f t="shared" ca="1" si="382"/>
        <v>0</v>
      </c>
      <c r="I264" s="382" t="str">
        <f t="shared" si="322"/>
        <v>Food</v>
      </c>
      <c r="J264" s="222" t="str">
        <f t="shared" ref="J264:M264" si="430">+J257</f>
        <v>BQ</v>
      </c>
      <c r="K264" s="222" t="str">
        <f t="shared" si="430"/>
        <v>BR</v>
      </c>
      <c r="L264" s="222" t="str">
        <f t="shared" ref="L264" si="431">+L257</f>
        <v>BS</v>
      </c>
      <c r="M264" s="223">
        <f t="shared" si="430"/>
        <v>62</v>
      </c>
      <c r="N264" s="224"/>
    </row>
    <row r="265" spans="2:16" ht="12.75" customHeight="1">
      <c r="B265" s="164" t="str">
        <f t="shared" si="399"/>
        <v>IRDPH</v>
      </c>
      <c r="C265" s="164" t="str">
        <f t="shared" si="399"/>
        <v>Paper &amp; Pulp industry Demand Process heat</v>
      </c>
      <c r="D265" s="166" t="str">
        <f t="shared" si="399"/>
        <v>PJ</v>
      </c>
      <c r="E265" s="253">
        <f t="shared" ca="1" si="380"/>
        <v>97.249733251485154</v>
      </c>
      <c r="F265" s="253">
        <f t="shared" ca="1" si="381"/>
        <v>5.4027881108910885</v>
      </c>
      <c r="G265" s="253">
        <f t="shared" ca="1" si="382"/>
        <v>5.4027881108910885</v>
      </c>
      <c r="I265" s="382" t="str">
        <f t="shared" si="322"/>
        <v>PulpPaper</v>
      </c>
      <c r="J265" s="222" t="str">
        <f t="shared" ref="J265:M265" si="432">+J258</f>
        <v>BQ</v>
      </c>
      <c r="K265" s="222" t="str">
        <f t="shared" si="432"/>
        <v>BR</v>
      </c>
      <c r="L265" s="222" t="str">
        <f t="shared" ref="L265" si="433">+L258</f>
        <v>BS</v>
      </c>
      <c r="M265" s="223">
        <f t="shared" si="432"/>
        <v>26</v>
      </c>
      <c r="N265" s="224">
        <f>+N258</f>
        <v>37</v>
      </c>
      <c r="P265" s="226">
        <f ca="1">+SUM(INDIRECT("'" &amp; I265 &amp; "'!" &amp; "BQ26:BR62")) - SUM(E265:F271)</f>
        <v>0</v>
      </c>
    </row>
    <row r="266" spans="2:16" ht="12.75" customHeight="1">
      <c r="B266" s="164" t="str">
        <f t="shared" si="399"/>
        <v>IRDCO</v>
      </c>
      <c r="C266" s="164" t="str">
        <f t="shared" si="399"/>
        <v>Paper &amp; Pulp industry Demand Cooling</v>
      </c>
      <c r="D266" s="166" t="str">
        <f t="shared" si="399"/>
        <v>PJ</v>
      </c>
      <c r="E266" s="171">
        <f t="shared" ca="1" si="380"/>
        <v>0</v>
      </c>
      <c r="F266" s="171">
        <f t="shared" ca="1" si="381"/>
        <v>0</v>
      </c>
      <c r="G266" s="171">
        <f t="shared" ca="1" si="382"/>
        <v>0</v>
      </c>
      <c r="I266" s="382" t="str">
        <f t="shared" si="322"/>
        <v>PulpPaper</v>
      </c>
      <c r="J266" s="222" t="str">
        <f t="shared" ref="J266:M266" si="434">+J259</f>
        <v>BQ</v>
      </c>
      <c r="K266" s="222" t="str">
        <f t="shared" si="434"/>
        <v>BR</v>
      </c>
      <c r="L266" s="222" t="str">
        <f t="shared" ref="L266" si="435">+L259</f>
        <v>BS</v>
      </c>
      <c r="M266" s="223">
        <f t="shared" si="434"/>
        <v>38</v>
      </c>
      <c r="N266" s="224">
        <f>+N259</f>
        <v>46</v>
      </c>
    </row>
    <row r="267" spans="2:16" ht="12.75" customHeight="1">
      <c r="B267" s="164" t="str">
        <f t="shared" si="399"/>
        <v>IRDSH</v>
      </c>
      <c r="C267" s="164" t="str">
        <f t="shared" si="399"/>
        <v>Paper &amp; Pulp industry Demand Spatial Heat</v>
      </c>
      <c r="D267" s="166" t="str">
        <f t="shared" si="399"/>
        <v>PJ</v>
      </c>
      <c r="E267" s="171">
        <f t="shared" ca="1" si="380"/>
        <v>68.423206455445552</v>
      </c>
      <c r="F267" s="171">
        <f t="shared" ca="1" si="381"/>
        <v>1.9983207920792083E-3</v>
      </c>
      <c r="G267" s="171">
        <f t="shared" ca="1" si="382"/>
        <v>1.9983207920792083E-3</v>
      </c>
      <c r="I267" s="382" t="str">
        <f t="shared" si="322"/>
        <v>PulpPaper</v>
      </c>
      <c r="J267" s="222" t="str">
        <f t="shared" ref="J267:M267" si="436">+J260</f>
        <v>BQ</v>
      </c>
      <c r="K267" s="222" t="str">
        <f t="shared" si="436"/>
        <v>BR</v>
      </c>
      <c r="L267" s="222" t="str">
        <f t="shared" ref="L267" si="437">+L260</f>
        <v>BS</v>
      </c>
      <c r="M267" s="223">
        <f t="shared" si="436"/>
        <v>47</v>
      </c>
      <c r="N267" s="224">
        <f>+N260</f>
        <v>58</v>
      </c>
    </row>
    <row r="268" spans="2:16" ht="12.75" customHeight="1">
      <c r="B268" s="164" t="str">
        <f t="shared" si="399"/>
        <v>IRDLA</v>
      </c>
      <c r="C268" s="164" t="str">
        <f t="shared" si="399"/>
        <v>Paper &amp; Pulp industry Demand Light</v>
      </c>
      <c r="D268" s="166" t="str">
        <f t="shared" si="399"/>
        <v>PJ</v>
      </c>
      <c r="E268" s="171">
        <f t="shared" ca="1" si="380"/>
        <v>1.1201524752475247</v>
      </c>
      <c r="F268" s="171">
        <f t="shared" ca="1" si="381"/>
        <v>6.2244570297029699E-2</v>
      </c>
      <c r="G268" s="171">
        <f t="shared" ca="1" si="382"/>
        <v>6.2244570297029699E-2</v>
      </c>
      <c r="I268" s="382" t="str">
        <f t="shared" si="322"/>
        <v>PulpPaper</v>
      </c>
      <c r="J268" s="222" t="str">
        <f t="shared" ref="J268:M268" si="438">+J261</f>
        <v>BQ</v>
      </c>
      <c r="K268" s="222" t="str">
        <f t="shared" si="438"/>
        <v>BR</v>
      </c>
      <c r="L268" s="222" t="str">
        <f t="shared" ref="L268" si="439">+L261</f>
        <v>BS</v>
      </c>
      <c r="M268" s="223">
        <f t="shared" si="438"/>
        <v>59</v>
      </c>
      <c r="N268" s="224"/>
    </row>
    <row r="269" spans="2:16" ht="12.75" customHeight="1">
      <c r="B269" s="164" t="str">
        <f t="shared" ref="B269:D288" si="440">B67</f>
        <v>IRDEM</v>
      </c>
      <c r="C269" s="164" t="str">
        <f t="shared" si="440"/>
        <v>Paper &amp; Pulp industry Demand Electric Motors</v>
      </c>
      <c r="D269" s="166" t="str">
        <f t="shared" si="440"/>
        <v>PJ</v>
      </c>
      <c r="E269" s="171">
        <f t="shared" ca="1" si="380"/>
        <v>10.081262994059406</v>
      </c>
      <c r="F269" s="171">
        <f t="shared" ca="1" si="381"/>
        <v>0.56007623762376235</v>
      </c>
      <c r="G269" s="171">
        <f t="shared" ca="1" si="382"/>
        <v>0.56007623762376235</v>
      </c>
      <c r="I269" s="382" t="str">
        <f t="shared" si="322"/>
        <v>PulpPaper</v>
      </c>
      <c r="J269" s="222" t="str">
        <f t="shared" ref="J269:M269" si="441">+J262</f>
        <v>BQ</v>
      </c>
      <c r="K269" s="222" t="str">
        <f t="shared" si="441"/>
        <v>BR</v>
      </c>
      <c r="L269" s="222" t="str">
        <f t="shared" ref="L269" si="442">+L262</f>
        <v>BS</v>
      </c>
      <c r="M269" s="223">
        <f t="shared" si="441"/>
        <v>60</v>
      </c>
      <c r="N269" s="224"/>
      <c r="P269" s="226"/>
    </row>
    <row r="270" spans="2:16" ht="12.75" customHeight="1">
      <c r="B270" s="164" t="str">
        <f t="shared" si="440"/>
        <v>IRDTF</v>
      </c>
      <c r="C270" s="164" t="str">
        <f t="shared" si="440"/>
        <v>Paper &amp; Pulp industry Demand Haulage Tractors, Trucks, Fishing boats, Forest machines</v>
      </c>
      <c r="D270" s="166" t="str">
        <f t="shared" si="440"/>
        <v>PJ</v>
      </c>
      <c r="E270" s="171">
        <f t="shared" ca="1" si="380"/>
        <v>1.0044996594059405</v>
      </c>
      <c r="F270" s="171">
        <f t="shared" ca="1" si="381"/>
        <v>5.5812475247524751E-2</v>
      </c>
      <c r="G270" s="171">
        <f t="shared" ca="1" si="382"/>
        <v>5.5812475247524751E-2</v>
      </c>
      <c r="I270" s="382" t="str">
        <f t="shared" si="322"/>
        <v>PulpPaper</v>
      </c>
      <c r="J270" s="222" t="str">
        <f t="shared" ref="J270:M270" si="443">+J263</f>
        <v>BQ</v>
      </c>
      <c r="K270" s="222" t="str">
        <f t="shared" si="443"/>
        <v>BR</v>
      </c>
      <c r="L270" s="222" t="str">
        <f t="shared" ref="L270" si="444">+L263</f>
        <v>BS</v>
      </c>
      <c r="M270" s="223">
        <f t="shared" si="443"/>
        <v>61</v>
      </c>
      <c r="N270" s="224"/>
    </row>
    <row r="271" spans="2:16" ht="12.75" customHeight="1">
      <c r="B271" s="263" t="str">
        <f t="shared" si="440"/>
        <v>IRDFL</v>
      </c>
      <c r="C271" s="263" t="str">
        <f t="shared" si="440"/>
        <v>Paper &amp; Pulp industry Demand Haulage Forklifts</v>
      </c>
      <c r="D271" s="264" t="str">
        <f t="shared" si="440"/>
        <v>PJ</v>
      </c>
      <c r="E271" s="171">
        <f t="shared" ca="1" si="380"/>
        <v>0</v>
      </c>
      <c r="F271" s="171">
        <f t="shared" ca="1" si="381"/>
        <v>0</v>
      </c>
      <c r="G271" s="171">
        <f t="shared" ca="1" si="382"/>
        <v>0</v>
      </c>
      <c r="I271" s="382" t="str">
        <f t="shared" si="322"/>
        <v>PulpPaper</v>
      </c>
      <c r="J271" s="222" t="str">
        <f t="shared" ref="J271:M271" si="445">+J264</f>
        <v>BQ</v>
      </c>
      <c r="K271" s="222" t="str">
        <f t="shared" si="445"/>
        <v>BR</v>
      </c>
      <c r="L271" s="222" t="str">
        <f t="shared" ref="L271" si="446">+L264</f>
        <v>BS</v>
      </c>
      <c r="M271" s="223">
        <f t="shared" si="445"/>
        <v>62</v>
      </c>
      <c r="N271" s="224"/>
    </row>
    <row r="272" spans="2:16" ht="12.75" customHeight="1">
      <c r="B272" s="164" t="str">
        <f t="shared" si="440"/>
        <v>IWDPH</v>
      </c>
      <c r="C272" s="164" t="str">
        <f t="shared" si="440"/>
        <v>Wood products industry Demand Process heat</v>
      </c>
      <c r="D272" s="166" t="str">
        <f t="shared" si="440"/>
        <v>PJ</v>
      </c>
      <c r="E272" s="253">
        <f t="shared" ca="1" si="380"/>
        <v>44.475439366336637</v>
      </c>
      <c r="F272" s="253">
        <f t="shared" ca="1" si="381"/>
        <v>2.4708924356435644</v>
      </c>
      <c r="G272" s="253">
        <f t="shared" ca="1" si="382"/>
        <v>2.4708924356435644</v>
      </c>
      <c r="I272" s="382" t="str">
        <f t="shared" si="322"/>
        <v>Wood</v>
      </c>
      <c r="J272" s="222" t="str">
        <f t="shared" ref="J272:M272" si="447">+J265</f>
        <v>BQ</v>
      </c>
      <c r="K272" s="222" t="str">
        <f t="shared" si="447"/>
        <v>BR</v>
      </c>
      <c r="L272" s="222" t="str">
        <f t="shared" ref="L272" si="448">+L265</f>
        <v>BS</v>
      </c>
      <c r="M272" s="223">
        <f t="shared" si="447"/>
        <v>26</v>
      </c>
      <c r="N272" s="224">
        <f>+N265</f>
        <v>37</v>
      </c>
      <c r="P272" s="226">
        <f ca="1">+SUM(INDIRECT("'" &amp; I272 &amp; "'!" &amp; "BQ26:BR62")) - SUM(E272:F278)</f>
        <v>0</v>
      </c>
    </row>
    <row r="273" spans="2:16" ht="12.75" customHeight="1">
      <c r="B273" s="164" t="str">
        <f t="shared" si="440"/>
        <v>IWDCO</v>
      </c>
      <c r="C273" s="164" t="str">
        <f t="shared" si="440"/>
        <v>Wood products industry Demand Cooling</v>
      </c>
      <c r="D273" s="166" t="str">
        <f t="shared" si="440"/>
        <v>PJ</v>
      </c>
      <c r="E273" s="171">
        <f t="shared" ref="E273:E299" ca="1" si="449">+SUM(INDIRECT("'" &amp; $I273 &amp; "'!" &amp; J273 &amp; $M273 &amp; IF(ISBLANK($N273),"",":" &amp; J273 &amp; $N273)))</f>
        <v>0</v>
      </c>
      <c r="F273" s="171">
        <f t="shared" ref="F273:F299" ca="1" si="450">+SUM(INDIRECT("'" &amp; $I273 &amp; "'!" &amp; K273 &amp; $M273 &amp; IF(ISBLANK($N273),"",":" &amp; K273 &amp; $N273)))</f>
        <v>0</v>
      </c>
      <c r="G273" s="171">
        <f t="shared" ref="G273:G299" ca="1" si="451">+SUM(INDIRECT("'" &amp; $I273 &amp; "'!" &amp; L273 &amp; $M273 &amp; IF(ISBLANK($N273),"",":" &amp; L273 &amp; $N273)))</f>
        <v>0</v>
      </c>
      <c r="I273" s="382" t="str">
        <f t="shared" si="322"/>
        <v>Wood</v>
      </c>
      <c r="J273" s="222" t="str">
        <f t="shared" ref="J273:M273" si="452">+J266</f>
        <v>BQ</v>
      </c>
      <c r="K273" s="222" t="str">
        <f t="shared" si="452"/>
        <v>BR</v>
      </c>
      <c r="L273" s="222" t="str">
        <f t="shared" ref="L273" si="453">+L266</f>
        <v>BS</v>
      </c>
      <c r="M273" s="223">
        <f t="shared" si="452"/>
        <v>38</v>
      </c>
      <c r="N273" s="224">
        <f>+N266</f>
        <v>46</v>
      </c>
    </row>
    <row r="274" spans="2:16" ht="12.75" customHeight="1">
      <c r="B274" s="164" t="str">
        <f t="shared" si="440"/>
        <v>IWDSH</v>
      </c>
      <c r="C274" s="164" t="str">
        <f t="shared" si="440"/>
        <v>Wood products industry Demand Spatial Heat</v>
      </c>
      <c r="D274" s="166" t="str">
        <f t="shared" si="440"/>
        <v>PJ</v>
      </c>
      <c r="E274" s="171">
        <f t="shared" ca="1" si="449"/>
        <v>15.777086114851485</v>
      </c>
      <c r="F274" s="171">
        <f t="shared" ca="1" si="450"/>
        <v>3.1223762376237629E-5</v>
      </c>
      <c r="G274" s="171">
        <f t="shared" ca="1" si="451"/>
        <v>3.1223762376237629E-5</v>
      </c>
      <c r="I274" s="382" t="str">
        <f t="shared" ref="I274:I299" si="454">I173</f>
        <v>Wood</v>
      </c>
      <c r="J274" s="222" t="str">
        <f t="shared" ref="J274:M274" si="455">+J267</f>
        <v>BQ</v>
      </c>
      <c r="K274" s="222" t="str">
        <f t="shared" si="455"/>
        <v>BR</v>
      </c>
      <c r="L274" s="222" t="str">
        <f t="shared" ref="L274" si="456">+L267</f>
        <v>BS</v>
      </c>
      <c r="M274" s="223">
        <f t="shared" si="455"/>
        <v>47</v>
      </c>
      <c r="N274" s="224">
        <f>+N267</f>
        <v>58</v>
      </c>
    </row>
    <row r="275" spans="2:16" ht="12.75" customHeight="1">
      <c r="B275" s="164" t="str">
        <f t="shared" si="440"/>
        <v>IWDLA</v>
      </c>
      <c r="C275" s="164" t="str">
        <f t="shared" si="440"/>
        <v>Wood products industry Demand Light</v>
      </c>
      <c r="D275" s="166" t="str">
        <f t="shared" si="440"/>
        <v>PJ</v>
      </c>
      <c r="E275" s="171">
        <f t="shared" ca="1" si="449"/>
        <v>1.341060594059406E-2</v>
      </c>
      <c r="F275" s="171">
        <f t="shared" ca="1" si="450"/>
        <v>7.493702970297031E-4</v>
      </c>
      <c r="G275" s="171">
        <f t="shared" ca="1" si="451"/>
        <v>7.493702970297031E-4</v>
      </c>
      <c r="I275" s="382" t="str">
        <f t="shared" si="454"/>
        <v>Wood</v>
      </c>
      <c r="J275" s="222" t="str">
        <f t="shared" ref="J275:M275" si="457">+J268</f>
        <v>BQ</v>
      </c>
      <c r="K275" s="222" t="str">
        <f t="shared" si="457"/>
        <v>BR</v>
      </c>
      <c r="L275" s="222" t="str">
        <f t="shared" ref="L275" si="458">+L268</f>
        <v>BS</v>
      </c>
      <c r="M275" s="223">
        <f t="shared" si="457"/>
        <v>59</v>
      </c>
      <c r="N275" s="224"/>
    </row>
    <row r="276" spans="2:16" ht="12.75" customHeight="1">
      <c r="B276" s="164" t="str">
        <f t="shared" si="440"/>
        <v>IWDEM</v>
      </c>
      <c r="C276" s="164" t="str">
        <f t="shared" si="440"/>
        <v>Wood products industry Demand Electric Motors</v>
      </c>
      <c r="D276" s="166" t="str">
        <f t="shared" si="440"/>
        <v>PJ</v>
      </c>
      <c r="E276" s="171">
        <f t="shared" ca="1" si="449"/>
        <v>0.12069545346534655</v>
      </c>
      <c r="F276" s="171">
        <f t="shared" ca="1" si="450"/>
        <v>6.7131089108910889E-3</v>
      </c>
      <c r="G276" s="171">
        <f t="shared" ca="1" si="451"/>
        <v>6.7131089108910889E-3</v>
      </c>
      <c r="I276" s="382" t="str">
        <f t="shared" si="454"/>
        <v>Wood</v>
      </c>
      <c r="J276" s="222" t="str">
        <f t="shared" ref="J276:M276" si="459">+J269</f>
        <v>BQ</v>
      </c>
      <c r="K276" s="222" t="str">
        <f t="shared" si="459"/>
        <v>BR</v>
      </c>
      <c r="L276" s="222" t="str">
        <f t="shared" ref="L276" si="460">+L269</f>
        <v>BS</v>
      </c>
      <c r="M276" s="223">
        <f t="shared" si="459"/>
        <v>60</v>
      </c>
      <c r="N276" s="224"/>
    </row>
    <row r="277" spans="2:16" ht="12.75" customHeight="1">
      <c r="B277" s="164" t="str">
        <f t="shared" si="440"/>
        <v>IWDTF</v>
      </c>
      <c r="C277" s="164" t="str">
        <f t="shared" si="440"/>
        <v>Wood products industry Demand Haulage Tractors, Trucks, Fishing boats, Forest machines</v>
      </c>
      <c r="D277" s="166" t="str">
        <f t="shared" si="440"/>
        <v>PJ</v>
      </c>
      <c r="E277" s="171">
        <f t="shared" ca="1" si="449"/>
        <v>0.50224982970297027</v>
      </c>
      <c r="F277" s="171">
        <f t="shared" ca="1" si="450"/>
        <v>2.7914043564356436E-2</v>
      </c>
      <c r="G277" s="171">
        <f t="shared" ca="1" si="451"/>
        <v>2.7914043564356436E-2</v>
      </c>
      <c r="I277" s="382" t="str">
        <f t="shared" si="454"/>
        <v>Wood</v>
      </c>
      <c r="J277" s="222" t="str">
        <f t="shared" ref="J277:M277" si="461">+J270</f>
        <v>BQ</v>
      </c>
      <c r="K277" s="222" t="str">
        <f t="shared" si="461"/>
        <v>BR</v>
      </c>
      <c r="L277" s="222" t="str">
        <f t="shared" ref="L277" si="462">+L270</f>
        <v>BS</v>
      </c>
      <c r="M277" s="223">
        <f t="shared" si="461"/>
        <v>61</v>
      </c>
      <c r="N277" s="224"/>
    </row>
    <row r="278" spans="2:16" ht="12.75" customHeight="1">
      <c r="B278" s="263" t="str">
        <f t="shared" si="440"/>
        <v>IWDFL</v>
      </c>
      <c r="C278" s="263" t="str">
        <f t="shared" si="440"/>
        <v>Wood products industry Demand Haulage Forklifts</v>
      </c>
      <c r="D278" s="264" t="str">
        <f t="shared" si="440"/>
        <v>PJ</v>
      </c>
      <c r="E278" s="171">
        <f t="shared" ca="1" si="449"/>
        <v>0</v>
      </c>
      <c r="F278" s="171">
        <f t="shared" ca="1" si="450"/>
        <v>0</v>
      </c>
      <c r="G278" s="171">
        <f t="shared" ca="1" si="451"/>
        <v>0</v>
      </c>
      <c r="I278" s="382" t="str">
        <f t="shared" si="454"/>
        <v>Wood</v>
      </c>
      <c r="J278" s="222" t="str">
        <f t="shared" ref="J278:M278" si="463">+J271</f>
        <v>BQ</v>
      </c>
      <c r="K278" s="222" t="str">
        <f t="shared" si="463"/>
        <v>BR</v>
      </c>
      <c r="L278" s="222" t="str">
        <f t="shared" ref="L278" si="464">+L271</f>
        <v>BS</v>
      </c>
      <c r="M278" s="223">
        <f t="shared" si="463"/>
        <v>62</v>
      </c>
      <c r="N278" s="224"/>
    </row>
    <row r="279" spans="2:16" ht="12.75" customHeight="1">
      <c r="B279" s="164" t="str">
        <f t="shared" si="440"/>
        <v>ILDPH</v>
      </c>
      <c r="C279" s="164" t="str">
        <f t="shared" si="440"/>
        <v>Textile &amp; Leather Demand Process heat</v>
      </c>
      <c r="D279" s="166" t="str">
        <f t="shared" si="440"/>
        <v>PJ</v>
      </c>
      <c r="E279" s="253">
        <f t="shared" ca="1" si="449"/>
        <v>8.073528237623762</v>
      </c>
      <c r="F279" s="253">
        <f t="shared" ca="1" si="450"/>
        <v>0.44856057029702973</v>
      </c>
      <c r="G279" s="253">
        <f t="shared" ca="1" si="451"/>
        <v>0.44856057029702973</v>
      </c>
      <c r="I279" s="382" t="str">
        <f t="shared" si="454"/>
        <v>TextileLeather</v>
      </c>
      <c r="J279" s="222" t="str">
        <f t="shared" ref="J279:M279" si="465">+J272</f>
        <v>BQ</v>
      </c>
      <c r="K279" s="222" t="str">
        <f t="shared" si="465"/>
        <v>BR</v>
      </c>
      <c r="L279" s="222" t="str">
        <f t="shared" ref="L279" si="466">+L272</f>
        <v>BS</v>
      </c>
      <c r="M279" s="223">
        <f t="shared" si="465"/>
        <v>26</v>
      </c>
      <c r="N279" s="224">
        <f>+N272</f>
        <v>37</v>
      </c>
      <c r="P279" s="226">
        <f ca="1">+SUM(INDIRECT("'" &amp; I279 &amp; "'!" &amp; "BQ26:BR62")) - SUM(E279:F285)</f>
        <v>0</v>
      </c>
    </row>
    <row r="280" spans="2:16" ht="12.75" customHeight="1">
      <c r="B280" s="164" t="str">
        <f t="shared" si="440"/>
        <v>ILDCO</v>
      </c>
      <c r="C280" s="164" t="str">
        <f t="shared" si="440"/>
        <v>Textile &amp; Leather Demand Cooling</v>
      </c>
      <c r="D280" s="166" t="str">
        <f t="shared" si="440"/>
        <v>PJ</v>
      </c>
      <c r="E280" s="255">
        <f t="shared" ca="1" si="449"/>
        <v>0</v>
      </c>
      <c r="F280" s="255">
        <f t="shared" ca="1" si="450"/>
        <v>0</v>
      </c>
      <c r="G280" s="255">
        <f t="shared" ca="1" si="451"/>
        <v>0</v>
      </c>
      <c r="I280" s="382" t="str">
        <f t="shared" si="454"/>
        <v>TextileLeather</v>
      </c>
      <c r="J280" s="222" t="str">
        <f t="shared" ref="J280:M280" si="467">+J273</f>
        <v>BQ</v>
      </c>
      <c r="K280" s="222" t="str">
        <f t="shared" si="467"/>
        <v>BR</v>
      </c>
      <c r="L280" s="222" t="str">
        <f t="shared" ref="L280" si="468">+L273</f>
        <v>BS</v>
      </c>
      <c r="M280" s="223">
        <f t="shared" si="467"/>
        <v>38</v>
      </c>
      <c r="N280" s="224">
        <f>+N273</f>
        <v>46</v>
      </c>
    </row>
    <row r="281" spans="2:16" ht="12.75" customHeight="1">
      <c r="B281" s="164" t="str">
        <f t="shared" si="440"/>
        <v>ILDSH</v>
      </c>
      <c r="C281" s="164" t="str">
        <f t="shared" si="440"/>
        <v>Textile &amp; Leather Demand Spatial Heat</v>
      </c>
      <c r="D281" s="166" t="str">
        <f t="shared" si="440"/>
        <v>PJ</v>
      </c>
      <c r="E281" s="171">
        <f t="shared" ca="1" si="449"/>
        <v>6.725379849504951</v>
      </c>
      <c r="F281" s="171">
        <f t="shared" ca="1" si="450"/>
        <v>0</v>
      </c>
      <c r="G281" s="171">
        <f t="shared" ca="1" si="451"/>
        <v>0</v>
      </c>
      <c r="I281" s="382" t="str">
        <f t="shared" si="454"/>
        <v>TextileLeather</v>
      </c>
      <c r="J281" s="222" t="str">
        <f t="shared" ref="J281:M281" si="469">+J274</f>
        <v>BQ</v>
      </c>
      <c r="K281" s="222" t="str">
        <f t="shared" si="469"/>
        <v>BR</v>
      </c>
      <c r="L281" s="222" t="str">
        <f t="shared" ref="L281" si="470">+L274</f>
        <v>BS</v>
      </c>
      <c r="M281" s="223">
        <f t="shared" si="469"/>
        <v>47</v>
      </c>
      <c r="N281" s="224">
        <f>+N274</f>
        <v>58</v>
      </c>
    </row>
    <row r="282" spans="2:16" ht="12.75" customHeight="1">
      <c r="B282" s="164" t="str">
        <f t="shared" si="440"/>
        <v>ILDLA</v>
      </c>
      <c r="C282" s="164" t="str">
        <f t="shared" si="440"/>
        <v>Textile &amp; Leather Demand Light</v>
      </c>
      <c r="D282" s="166" t="str">
        <f t="shared" si="440"/>
        <v>PJ</v>
      </c>
      <c r="E282" s="171">
        <f t="shared" ca="1" si="449"/>
        <v>0</v>
      </c>
      <c r="F282" s="171">
        <f t="shared" ca="1" si="450"/>
        <v>0</v>
      </c>
      <c r="G282" s="171">
        <f t="shared" ca="1" si="451"/>
        <v>0</v>
      </c>
      <c r="I282" s="382" t="str">
        <f t="shared" si="454"/>
        <v>TextileLeather</v>
      </c>
      <c r="J282" s="222" t="str">
        <f t="shared" ref="J282:M282" si="471">+J275</f>
        <v>BQ</v>
      </c>
      <c r="K282" s="222" t="str">
        <f t="shared" si="471"/>
        <v>BR</v>
      </c>
      <c r="L282" s="222" t="str">
        <f t="shared" ref="L282" si="472">+L275</f>
        <v>BS</v>
      </c>
      <c r="M282" s="223">
        <f t="shared" si="471"/>
        <v>59</v>
      </c>
      <c r="N282" s="224"/>
    </row>
    <row r="283" spans="2:16" ht="12.75" customHeight="1">
      <c r="B283" s="164" t="str">
        <f t="shared" si="440"/>
        <v>ILDEM</v>
      </c>
      <c r="C283" s="164" t="str">
        <f t="shared" si="440"/>
        <v>Textile &amp; Leather Demand Electric Motors</v>
      </c>
      <c r="D283" s="166" t="str">
        <f t="shared" si="440"/>
        <v>PJ</v>
      </c>
      <c r="E283" s="171">
        <f t="shared" ca="1" si="449"/>
        <v>0</v>
      </c>
      <c r="F283" s="171">
        <f t="shared" ca="1" si="450"/>
        <v>0</v>
      </c>
      <c r="G283" s="171">
        <f t="shared" ca="1" si="451"/>
        <v>0</v>
      </c>
      <c r="I283" s="382" t="str">
        <f t="shared" si="454"/>
        <v>TextileLeather</v>
      </c>
      <c r="J283" s="222" t="str">
        <f t="shared" ref="J283:M283" si="473">+J276</f>
        <v>BQ</v>
      </c>
      <c r="K283" s="222" t="str">
        <f t="shared" si="473"/>
        <v>BR</v>
      </c>
      <c r="L283" s="222" t="str">
        <f t="shared" ref="L283" si="474">+L276</f>
        <v>BS</v>
      </c>
      <c r="M283" s="223">
        <f t="shared" si="473"/>
        <v>60</v>
      </c>
      <c r="N283" s="224"/>
    </row>
    <row r="284" spans="2:16" ht="12.75" customHeight="1">
      <c r="B284" s="164" t="str">
        <f t="shared" si="440"/>
        <v>ILDTF</v>
      </c>
      <c r="C284" s="164" t="str">
        <f t="shared" si="440"/>
        <v>Textile &amp; Leather Demand Haulage Tractors, Trucks, Fishing boats, Forest machines</v>
      </c>
      <c r="D284" s="254" t="str">
        <f t="shared" si="440"/>
        <v>PJ</v>
      </c>
      <c r="E284" s="171">
        <f t="shared" ca="1" si="449"/>
        <v>0.50224982970297027</v>
      </c>
      <c r="F284" s="171">
        <f t="shared" ca="1" si="450"/>
        <v>2.7914043564356436E-2</v>
      </c>
      <c r="G284" s="171">
        <f t="shared" ca="1" si="451"/>
        <v>2.7914043564356436E-2</v>
      </c>
      <c r="I284" s="382" t="str">
        <f t="shared" si="454"/>
        <v>TextileLeather</v>
      </c>
      <c r="J284" s="222" t="str">
        <f t="shared" ref="J284:M284" si="475">+J277</f>
        <v>BQ</v>
      </c>
      <c r="K284" s="222" t="str">
        <f t="shared" si="475"/>
        <v>BR</v>
      </c>
      <c r="L284" s="222" t="str">
        <f t="shared" ref="L284" si="476">+L277</f>
        <v>BS</v>
      </c>
      <c r="M284" s="223">
        <f t="shared" si="475"/>
        <v>61</v>
      </c>
      <c r="N284" s="224"/>
    </row>
    <row r="285" spans="2:16" ht="12.75" customHeight="1">
      <c r="B285" s="263" t="str">
        <f t="shared" si="440"/>
        <v>ILDFL</v>
      </c>
      <c r="C285" s="263" t="str">
        <f t="shared" si="440"/>
        <v>Textile &amp; Leather Demand Haulage Forklifts</v>
      </c>
      <c r="D285" s="264" t="str">
        <f t="shared" si="440"/>
        <v>PJ</v>
      </c>
      <c r="E285" s="171">
        <f t="shared" ca="1" si="449"/>
        <v>0</v>
      </c>
      <c r="F285" s="171">
        <f t="shared" ca="1" si="450"/>
        <v>0</v>
      </c>
      <c r="G285" s="171">
        <f t="shared" ca="1" si="451"/>
        <v>0</v>
      </c>
      <c r="I285" s="382" t="str">
        <f t="shared" si="454"/>
        <v>TextileLeather</v>
      </c>
      <c r="J285" s="222" t="str">
        <f t="shared" ref="J285:M285" si="477">+J278</f>
        <v>BQ</v>
      </c>
      <c r="K285" s="222" t="str">
        <f t="shared" si="477"/>
        <v>BR</v>
      </c>
      <c r="L285" s="222" t="str">
        <f t="shared" ref="L285" si="478">+L278</f>
        <v>BS</v>
      </c>
      <c r="M285" s="223">
        <f t="shared" si="477"/>
        <v>62</v>
      </c>
      <c r="N285" s="224"/>
    </row>
    <row r="286" spans="2:16" ht="12.75" customHeight="1">
      <c r="B286" s="164" t="str">
        <f t="shared" si="440"/>
        <v>INDPH</v>
      </c>
      <c r="C286" s="164" t="str">
        <f t="shared" si="440"/>
        <v>Construction Demand Process heat</v>
      </c>
      <c r="D286" s="166" t="str">
        <f t="shared" si="440"/>
        <v>PJ</v>
      </c>
      <c r="E286" s="253">
        <f t="shared" ca="1" si="449"/>
        <v>23.328209584158415</v>
      </c>
      <c r="F286" s="253">
        <f t="shared" ca="1" si="450"/>
        <v>1.2960203168316831</v>
      </c>
      <c r="G286" s="253">
        <f t="shared" ca="1" si="451"/>
        <v>1.2960203168316831</v>
      </c>
      <c r="I286" s="382" t="str">
        <f t="shared" si="454"/>
        <v>Construction</v>
      </c>
      <c r="J286" s="222" t="str">
        <f t="shared" ref="J286:M286" si="479">+J279</f>
        <v>BQ</v>
      </c>
      <c r="K286" s="222" t="str">
        <f t="shared" si="479"/>
        <v>BR</v>
      </c>
      <c r="L286" s="222" t="str">
        <f t="shared" ref="L286" si="480">+L279</f>
        <v>BS</v>
      </c>
      <c r="M286" s="223">
        <f t="shared" si="479"/>
        <v>26</v>
      </c>
      <c r="N286" s="224">
        <f>+N279</f>
        <v>37</v>
      </c>
      <c r="P286" s="226">
        <f ca="1">+SUM(INDIRECT("'" &amp; I286 &amp; "'!" &amp; "BQ26:BR62")) - SUM(E286:F292)</f>
        <v>0</v>
      </c>
    </row>
    <row r="287" spans="2:16" ht="12.75" customHeight="1">
      <c r="B287" s="164" t="str">
        <f t="shared" si="440"/>
        <v>INDCO</v>
      </c>
      <c r="C287" s="164" t="str">
        <f t="shared" si="440"/>
        <v>Construction Demand Cooling</v>
      </c>
      <c r="D287" s="166" t="str">
        <f t="shared" si="440"/>
        <v>PJ</v>
      </c>
      <c r="E287" s="171">
        <f t="shared" ca="1" si="449"/>
        <v>0</v>
      </c>
      <c r="F287" s="171">
        <f t="shared" ca="1" si="450"/>
        <v>0</v>
      </c>
      <c r="G287" s="171">
        <f t="shared" ca="1" si="451"/>
        <v>0</v>
      </c>
      <c r="I287" s="382" t="str">
        <f t="shared" si="454"/>
        <v>Construction</v>
      </c>
      <c r="J287" s="222" t="str">
        <f t="shared" ref="J287:M287" si="481">+J280</f>
        <v>BQ</v>
      </c>
      <c r="K287" s="222" t="str">
        <f t="shared" si="481"/>
        <v>BR</v>
      </c>
      <c r="L287" s="222" t="str">
        <f t="shared" ref="L287" si="482">+L280</f>
        <v>BS</v>
      </c>
      <c r="M287" s="223">
        <f t="shared" si="481"/>
        <v>38</v>
      </c>
      <c r="N287" s="224">
        <f>+N280</f>
        <v>46</v>
      </c>
    </row>
    <row r="288" spans="2:16" ht="12.75" customHeight="1">
      <c r="B288" s="164" t="str">
        <f t="shared" si="440"/>
        <v>INDSH</v>
      </c>
      <c r="C288" s="164" t="str">
        <f t="shared" si="440"/>
        <v>Construction Demand Spatial Heat</v>
      </c>
      <c r="D288" s="166" t="str">
        <f t="shared" si="440"/>
        <v>PJ</v>
      </c>
      <c r="E288" s="171">
        <f t="shared" ca="1" si="449"/>
        <v>16.651007999999997</v>
      </c>
      <c r="F288" s="171">
        <f t="shared" ca="1" si="450"/>
        <v>0</v>
      </c>
      <c r="G288" s="171">
        <f t="shared" ca="1" si="451"/>
        <v>0</v>
      </c>
      <c r="I288" s="382" t="str">
        <f t="shared" si="454"/>
        <v>Construction</v>
      </c>
      <c r="J288" s="222" t="str">
        <f t="shared" ref="J288:M288" si="483">+J281</f>
        <v>BQ</v>
      </c>
      <c r="K288" s="222" t="str">
        <f t="shared" si="483"/>
        <v>BR</v>
      </c>
      <c r="L288" s="222" t="str">
        <f t="shared" ref="L288" si="484">+L281</f>
        <v>BS</v>
      </c>
      <c r="M288" s="223">
        <f t="shared" si="483"/>
        <v>47</v>
      </c>
      <c r="N288" s="224">
        <f>+N281</f>
        <v>58</v>
      </c>
    </row>
    <row r="289" spans="2:16" ht="12.75" customHeight="1">
      <c r="B289" s="164" t="str">
        <f t="shared" ref="B289:D299" si="485">B87</f>
        <v>INDLA</v>
      </c>
      <c r="C289" s="164" t="str">
        <f t="shared" si="485"/>
        <v>Construction Demand Light</v>
      </c>
      <c r="D289" s="166" t="str">
        <f t="shared" si="485"/>
        <v>PJ</v>
      </c>
      <c r="E289" s="171">
        <f t="shared" ca="1" si="449"/>
        <v>0</v>
      </c>
      <c r="F289" s="171">
        <f t="shared" ca="1" si="450"/>
        <v>0</v>
      </c>
      <c r="G289" s="171">
        <f t="shared" ca="1" si="451"/>
        <v>0</v>
      </c>
      <c r="I289" s="382" t="str">
        <f t="shared" si="454"/>
        <v>Construction</v>
      </c>
      <c r="J289" s="222" t="str">
        <f t="shared" ref="J289:M289" si="486">+J282</f>
        <v>BQ</v>
      </c>
      <c r="K289" s="222" t="str">
        <f t="shared" si="486"/>
        <v>BR</v>
      </c>
      <c r="L289" s="222" t="str">
        <f t="shared" ref="L289" si="487">+L282</f>
        <v>BS</v>
      </c>
      <c r="M289" s="223">
        <f t="shared" si="486"/>
        <v>59</v>
      </c>
      <c r="N289" s="224"/>
    </row>
    <row r="290" spans="2:16" ht="12.75" customHeight="1">
      <c r="B290" s="164" t="str">
        <f t="shared" si="485"/>
        <v>INDEM</v>
      </c>
      <c r="C290" s="164" t="str">
        <f t="shared" si="485"/>
        <v>Construction Demand Electric Motors</v>
      </c>
      <c r="D290" s="166" t="str">
        <f t="shared" si="485"/>
        <v>PJ</v>
      </c>
      <c r="E290" s="171">
        <f t="shared" ca="1" si="449"/>
        <v>0</v>
      </c>
      <c r="F290" s="171">
        <f t="shared" ca="1" si="450"/>
        <v>0</v>
      </c>
      <c r="G290" s="171">
        <f t="shared" ca="1" si="451"/>
        <v>0</v>
      </c>
      <c r="I290" s="382" t="str">
        <f t="shared" si="454"/>
        <v>Construction</v>
      </c>
      <c r="J290" s="222" t="str">
        <f t="shared" ref="J290:M290" si="488">+J283</f>
        <v>BQ</v>
      </c>
      <c r="K290" s="222" t="str">
        <f t="shared" si="488"/>
        <v>BR</v>
      </c>
      <c r="L290" s="222" t="str">
        <f t="shared" ref="L290" si="489">+L283</f>
        <v>BS</v>
      </c>
      <c r="M290" s="223">
        <f t="shared" si="488"/>
        <v>60</v>
      </c>
      <c r="N290" s="224"/>
    </row>
    <row r="291" spans="2:16" ht="12.75" customHeight="1">
      <c r="B291" s="164" t="str">
        <f t="shared" si="485"/>
        <v>INDTF</v>
      </c>
      <c r="C291" s="164" t="str">
        <f t="shared" si="485"/>
        <v>Construction Demand Haulage Tractors, Trucks, Fishing boats, Forest machines</v>
      </c>
      <c r="D291" s="166" t="str">
        <f t="shared" si="485"/>
        <v>PJ</v>
      </c>
      <c r="E291" s="171">
        <f t="shared" ca="1" si="449"/>
        <v>50.684393798019805</v>
      </c>
      <c r="F291" s="171">
        <f t="shared" ca="1" si="450"/>
        <v>2.8158057267326733</v>
      </c>
      <c r="G291" s="171">
        <f t="shared" ca="1" si="451"/>
        <v>2.8158057267326733</v>
      </c>
      <c r="I291" s="382" t="str">
        <f t="shared" si="454"/>
        <v>Construction</v>
      </c>
      <c r="J291" s="222" t="str">
        <f t="shared" ref="J291:M291" si="490">+J284</f>
        <v>BQ</v>
      </c>
      <c r="K291" s="222" t="str">
        <f t="shared" si="490"/>
        <v>BR</v>
      </c>
      <c r="L291" s="222" t="str">
        <f t="shared" ref="L291" si="491">+L284</f>
        <v>BS</v>
      </c>
      <c r="M291" s="223">
        <f t="shared" si="490"/>
        <v>61</v>
      </c>
      <c r="N291" s="224"/>
    </row>
    <row r="292" spans="2:16" ht="12.75" customHeight="1">
      <c r="B292" s="263" t="str">
        <f t="shared" si="485"/>
        <v>INDFL</v>
      </c>
      <c r="C292" s="263" t="str">
        <f t="shared" si="485"/>
        <v>Construction Demand Haulage Forklifts</v>
      </c>
      <c r="D292" s="264" t="str">
        <f t="shared" si="485"/>
        <v>PJ</v>
      </c>
      <c r="E292" s="265">
        <f t="shared" ca="1" si="449"/>
        <v>0</v>
      </c>
      <c r="F292" s="265">
        <f t="shared" ca="1" si="450"/>
        <v>0</v>
      </c>
      <c r="G292" s="265">
        <f t="shared" ca="1" si="451"/>
        <v>0</v>
      </c>
      <c r="I292" s="382" t="str">
        <f t="shared" si="454"/>
        <v>Construction</v>
      </c>
      <c r="J292" s="222" t="str">
        <f t="shared" ref="J292:M292" si="492">+J285</f>
        <v>BQ</v>
      </c>
      <c r="K292" s="222" t="str">
        <f t="shared" si="492"/>
        <v>BR</v>
      </c>
      <c r="L292" s="222" t="str">
        <f t="shared" ref="L292" si="493">+L285</f>
        <v>BS</v>
      </c>
      <c r="M292" s="223">
        <f t="shared" si="492"/>
        <v>62</v>
      </c>
      <c r="N292" s="224"/>
    </row>
    <row r="293" spans="2:16" ht="12.75" customHeight="1">
      <c r="B293" s="164" t="str">
        <f t="shared" si="485"/>
        <v>IODPH</v>
      </c>
      <c r="C293" s="164" t="str">
        <f t="shared" si="485"/>
        <v>Other comm Demand Process heat</v>
      </c>
      <c r="D293" s="166" t="str">
        <f t="shared" si="485"/>
        <v>PJ</v>
      </c>
      <c r="E293" s="255">
        <f t="shared" ca="1" si="449"/>
        <v>31.441704237623757</v>
      </c>
      <c r="F293" s="255">
        <f t="shared" ca="1" si="450"/>
        <v>1.7468133861386139</v>
      </c>
      <c r="G293" s="255">
        <f t="shared" ca="1" si="451"/>
        <v>1.7468133861386139</v>
      </c>
      <c r="I293" s="382" t="str">
        <f t="shared" si="454"/>
        <v>Other</v>
      </c>
      <c r="J293" s="222" t="str">
        <f t="shared" ref="J293:M293" si="494">+J286</f>
        <v>BQ</v>
      </c>
      <c r="K293" s="222" t="str">
        <f t="shared" si="494"/>
        <v>BR</v>
      </c>
      <c r="L293" s="222" t="str">
        <f t="shared" ref="L293" si="495">+L286</f>
        <v>BS</v>
      </c>
      <c r="M293" s="223">
        <f t="shared" si="494"/>
        <v>26</v>
      </c>
      <c r="N293" s="224">
        <f>+N286</f>
        <v>37</v>
      </c>
      <c r="P293" s="226">
        <f ca="1">+SUM(INDIRECT("'" &amp; I293 &amp; "'!" &amp; "BQ26:BR62")) - SUM(E293:F299)</f>
        <v>0</v>
      </c>
    </row>
    <row r="294" spans="2:16" ht="12.75" customHeight="1">
      <c r="B294" s="164" t="str">
        <f t="shared" si="485"/>
        <v>IODCO</v>
      </c>
      <c r="C294" s="164" t="str">
        <f t="shared" si="485"/>
        <v>Other comm Demand Cooling</v>
      </c>
      <c r="D294" s="166" t="str">
        <f t="shared" si="485"/>
        <v>PJ</v>
      </c>
      <c r="E294" s="171">
        <f t="shared" ca="1" si="449"/>
        <v>2.4979009900990103E-4</v>
      </c>
      <c r="F294" s="171">
        <f t="shared" ca="1" si="450"/>
        <v>1.5611881188118815E-5</v>
      </c>
      <c r="G294" s="171">
        <f t="shared" ca="1" si="451"/>
        <v>1.5611881188118815E-5</v>
      </c>
      <c r="I294" s="382" t="str">
        <f t="shared" si="454"/>
        <v>Other</v>
      </c>
      <c r="J294" s="222" t="str">
        <f t="shared" ref="J294:M294" si="496">+J287</f>
        <v>BQ</v>
      </c>
      <c r="K294" s="222" t="str">
        <f t="shared" si="496"/>
        <v>BR</v>
      </c>
      <c r="L294" s="222" t="str">
        <f t="shared" ref="L294" si="497">+L287</f>
        <v>BS</v>
      </c>
      <c r="M294" s="223">
        <f t="shared" si="496"/>
        <v>38</v>
      </c>
      <c r="N294" s="224">
        <f>+N287</f>
        <v>46</v>
      </c>
    </row>
    <row r="295" spans="2:16" ht="12.75" customHeight="1">
      <c r="B295" s="164" t="str">
        <f t="shared" si="485"/>
        <v>IODSH</v>
      </c>
      <c r="C295" s="164" t="str">
        <f t="shared" si="485"/>
        <v>Other comm Demand Spatial Heat</v>
      </c>
      <c r="D295" s="166" t="str">
        <f t="shared" si="485"/>
        <v>PJ</v>
      </c>
      <c r="E295" s="171">
        <f t="shared" ca="1" si="449"/>
        <v>58.530894059405938</v>
      </c>
      <c r="F295" s="171">
        <f t="shared" ca="1" si="450"/>
        <v>1.5611881188118815E-5</v>
      </c>
      <c r="G295" s="171">
        <f t="shared" ca="1" si="451"/>
        <v>1.5611881188118815E-5</v>
      </c>
      <c r="I295" s="382" t="str">
        <f t="shared" si="454"/>
        <v>Other</v>
      </c>
      <c r="J295" s="222" t="str">
        <f t="shared" ref="J295:M295" si="498">+J288</f>
        <v>BQ</v>
      </c>
      <c r="K295" s="222" t="str">
        <f t="shared" si="498"/>
        <v>BR</v>
      </c>
      <c r="L295" s="222" t="str">
        <f t="shared" ref="L295" si="499">+L288</f>
        <v>BS</v>
      </c>
      <c r="M295" s="223">
        <f t="shared" si="498"/>
        <v>47</v>
      </c>
      <c r="N295" s="224">
        <f>+N288</f>
        <v>58</v>
      </c>
    </row>
    <row r="296" spans="2:16" ht="12.75" customHeight="1">
      <c r="B296" s="164" t="str">
        <f t="shared" si="485"/>
        <v>IODLA</v>
      </c>
      <c r="C296" s="164" t="str">
        <f t="shared" si="485"/>
        <v>Other comm Demand Light</v>
      </c>
      <c r="D296" s="166" t="str">
        <f t="shared" si="485"/>
        <v>PJ</v>
      </c>
      <c r="E296" s="171">
        <f t="shared" ca="1" si="449"/>
        <v>4.3713267326732672E-4</v>
      </c>
      <c r="F296" s="171">
        <f t="shared" ca="1" si="450"/>
        <v>3.1223762376237629E-5</v>
      </c>
      <c r="G296" s="171">
        <f t="shared" ca="1" si="451"/>
        <v>3.1223762376237629E-5</v>
      </c>
      <c r="I296" s="382" t="str">
        <f t="shared" si="454"/>
        <v>Other</v>
      </c>
      <c r="J296" s="222" t="str">
        <f t="shared" ref="J296:M296" si="500">+J289</f>
        <v>BQ</v>
      </c>
      <c r="K296" s="222" t="str">
        <f t="shared" si="500"/>
        <v>BR</v>
      </c>
      <c r="L296" s="222" t="str">
        <f t="shared" ref="L296" si="501">+L289</f>
        <v>BS</v>
      </c>
      <c r="M296" s="223">
        <f t="shared" si="500"/>
        <v>59</v>
      </c>
      <c r="N296" s="224"/>
    </row>
    <row r="297" spans="2:16" ht="12.75" customHeight="1">
      <c r="B297" s="164" t="str">
        <f t="shared" si="485"/>
        <v>IODEM</v>
      </c>
      <c r="C297" s="164" t="str">
        <f t="shared" si="485"/>
        <v>Other comm Demand Electric Motors</v>
      </c>
      <c r="D297" s="166" t="str">
        <f t="shared" si="485"/>
        <v>PJ</v>
      </c>
      <c r="E297" s="171">
        <f t="shared" ca="1" si="449"/>
        <v>1.6548594059405941E-3</v>
      </c>
      <c r="F297" s="171">
        <f t="shared" ca="1" si="450"/>
        <v>9.3671287128712887E-5</v>
      </c>
      <c r="G297" s="171">
        <f t="shared" ca="1" si="451"/>
        <v>9.3671287128712887E-5</v>
      </c>
      <c r="I297" s="382" t="str">
        <f t="shared" si="454"/>
        <v>Other</v>
      </c>
      <c r="J297" s="222" t="str">
        <f t="shared" ref="J297:M297" si="502">+J290</f>
        <v>BQ</v>
      </c>
      <c r="K297" s="222" t="str">
        <f t="shared" si="502"/>
        <v>BR</v>
      </c>
      <c r="L297" s="222" t="str">
        <f t="shared" ref="L297" si="503">+L290</f>
        <v>BS</v>
      </c>
      <c r="M297" s="223">
        <f t="shared" si="502"/>
        <v>60</v>
      </c>
      <c r="N297" s="224"/>
    </row>
    <row r="298" spans="2:16" ht="12.75" customHeight="1">
      <c r="B298" s="164" t="str">
        <f t="shared" si="485"/>
        <v>IODTF</v>
      </c>
      <c r="C298" s="164" t="str">
        <f t="shared" si="485"/>
        <v>Other comm Demand Haulage Tractors, Trucks, Fishing boats, Forest machines</v>
      </c>
      <c r="D298" s="166" t="str">
        <f t="shared" si="485"/>
        <v>PJ</v>
      </c>
      <c r="E298" s="171">
        <f t="shared" ca="1" si="449"/>
        <v>2.8975807603960395</v>
      </c>
      <c r="F298" s="171">
        <f t="shared" ca="1" si="450"/>
        <v>0.16098971881188118</v>
      </c>
      <c r="G298" s="171">
        <f t="shared" ca="1" si="451"/>
        <v>0.16098971881188118</v>
      </c>
      <c r="I298" s="382" t="str">
        <f t="shared" si="454"/>
        <v>Other</v>
      </c>
      <c r="J298" s="222" t="str">
        <f t="shared" ref="J298:M298" si="504">+J291</f>
        <v>BQ</v>
      </c>
      <c r="K298" s="222" t="str">
        <f t="shared" si="504"/>
        <v>BR</v>
      </c>
      <c r="L298" s="222" t="str">
        <f t="shared" ref="L298" si="505">+L291</f>
        <v>BS</v>
      </c>
      <c r="M298" s="223">
        <f t="shared" si="504"/>
        <v>61</v>
      </c>
      <c r="N298" s="224"/>
    </row>
    <row r="299" spans="2:16" ht="12.75" customHeight="1">
      <c r="B299" s="164" t="str">
        <f t="shared" si="485"/>
        <v>IODFL</v>
      </c>
      <c r="C299" s="164" t="str">
        <f t="shared" si="485"/>
        <v>Other comm Demand Haulage Forklifts</v>
      </c>
      <c r="D299" s="166" t="str">
        <f t="shared" si="485"/>
        <v>PJ</v>
      </c>
      <c r="E299" s="171">
        <f t="shared" ca="1" si="449"/>
        <v>0</v>
      </c>
      <c r="F299" s="171">
        <f t="shared" ca="1" si="450"/>
        <v>0</v>
      </c>
      <c r="G299" s="171">
        <f t="shared" ca="1" si="451"/>
        <v>0</v>
      </c>
      <c r="I299" s="382" t="str">
        <f t="shared" si="454"/>
        <v>Other</v>
      </c>
      <c r="J299" s="222" t="str">
        <f t="shared" ref="J299:M299" si="506">+J292</f>
        <v>BQ</v>
      </c>
      <c r="K299" s="222" t="str">
        <f t="shared" si="506"/>
        <v>BR</v>
      </c>
      <c r="L299" s="222" t="str">
        <f t="shared" ref="L299" si="507">+L292</f>
        <v>BS</v>
      </c>
      <c r="M299" s="223">
        <f t="shared" si="506"/>
        <v>62</v>
      </c>
      <c r="N299" s="224"/>
    </row>
    <row r="1048576" spans="16:16" ht="12.75" customHeight="1">
      <c r="P1048576" s="226"/>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56"/>
  <sheetViews>
    <sheetView showGridLines="0" topLeftCell="F1" zoomScale="85" zoomScaleNormal="85" workbookViewId="0">
      <selection activeCell="AQ26" sqref="AQ2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7" width="10.83203125" style="36" customWidth="1"/>
    <col min="8" max="8" width="11" style="36" customWidth="1"/>
    <col min="9" max="9" width="10.83203125" style="36" customWidth="1"/>
    <col min="10" max="10" width="11.33203125" style="36" customWidth="1"/>
    <col min="11" max="11" width="10.83203125" style="36"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7.1640625" style="285" bestFit="1" customWidth="1"/>
    <col min="26" max="27" width="6.6640625" style="285"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56" width="9.1640625" style="25"/>
    <col min="57" max="58" width="9.5" style="25" bestFit="1" customWidth="1"/>
    <col min="59" max="16384" width="9.1640625" style="25"/>
  </cols>
  <sheetData>
    <row r="1" spans="3:28" ht="12.75" customHeight="1"/>
    <row r="2" spans="3:28" ht="12.75" customHeight="1">
      <c r="C2" s="62" t="s">
        <v>196</v>
      </c>
      <c r="D2" s="131">
        <v>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+INDEX(Commodities!$X$6:$X$18,D2)</f>
        <v xml:space="preserve">Iron &amp; Steel </v>
      </c>
      <c r="E5" s="25"/>
      <c r="F5" s="197"/>
      <c r="G5" s="198"/>
    </row>
    <row r="6" spans="3:28" ht="12.75" customHeight="1">
      <c r="C6" s="62"/>
      <c r="D6" s="70" t="str">
        <f>+INDEX(Commodities!$Y$6:$Y$18,D2)</f>
        <v>01 Iron and steel</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 Iron and steel</v>
      </c>
      <c r="E9" s="25"/>
    </row>
    <row r="10" spans="3:28" ht="12.75" customHeight="1">
      <c r="C10" s="62" t="s">
        <v>154</v>
      </c>
      <c r="D10" s="70">
        <f>+ROW(Processes!$M$44) - ROW(Processes!$M$7)</f>
        <v>37</v>
      </c>
      <c r="E10" s="25"/>
    </row>
    <row r="11" spans="3:28" ht="12.75" customHeight="1">
      <c r="C11" s="62" t="s">
        <v>194</v>
      </c>
      <c r="D11" s="70">
        <f>+$D$10*$D$2-$D$10</f>
        <v>0</v>
      </c>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Iron and steel</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8" ht="12.75" customHeight="1">
      <c r="C17" s="287"/>
      <c r="D17" s="429"/>
      <c r="E17" s="287"/>
      <c r="L17" s="288"/>
      <c r="M17" s="36"/>
      <c r="N17" s="36"/>
      <c r="O17" s="288"/>
      <c r="R17" s="285"/>
      <c r="S17" s="25"/>
      <c r="U17" s="285"/>
      <c r="X17" s="34"/>
      <c r="Y17" s="287"/>
      <c r="Z17" s="34"/>
      <c r="AA17" s="25"/>
      <c r="AD17" s="285"/>
      <c r="AE17" s="285"/>
      <c r="AF17" s="285"/>
    </row>
    <row r="18" spans="3:78" ht="12.75" customHeight="1">
      <c r="C18" s="287"/>
      <c r="D18" s="524"/>
      <c r="E18" s="287"/>
      <c r="I18" s="288"/>
      <c r="L18" s="288"/>
      <c r="M18" s="36"/>
      <c r="N18" s="36"/>
      <c r="O18" s="288"/>
      <c r="P18" s="36"/>
      <c r="R18" s="285"/>
      <c r="S18" s="25"/>
      <c r="U18" s="285"/>
      <c r="Z18" s="34"/>
      <c r="AA18" s="34"/>
      <c r="AB18" s="33"/>
      <c r="AE18" s="285"/>
      <c r="AF18" s="285"/>
      <c r="AG18" s="285"/>
      <c r="BK18" s="548"/>
      <c r="BL18" s="291"/>
      <c r="BM18" s="293"/>
      <c r="BN18" s="293"/>
      <c r="BO18" s="293"/>
      <c r="BP18" s="293"/>
      <c r="BQ18" s="291"/>
      <c r="BR18" s="291"/>
      <c r="BS18" s="291"/>
      <c r="BT18" s="291"/>
      <c r="BU18" s="291"/>
      <c r="BV18" s="291"/>
    </row>
    <row r="19" spans="3:78" ht="12.75" customHeight="1">
      <c r="C19" s="287"/>
      <c r="D19" s="287"/>
      <c r="E19" s="287"/>
      <c r="G19" s="512" t="s">
        <v>62</v>
      </c>
      <c r="H19" s="512"/>
      <c r="I19" s="519"/>
      <c r="J19" s="512"/>
      <c r="K19" s="512"/>
      <c r="L19" s="519"/>
      <c r="M19" s="512"/>
      <c r="N19" s="512"/>
      <c r="O19" s="512"/>
      <c r="P19" s="36"/>
      <c r="R19" s="285"/>
      <c r="S19" s="398"/>
      <c r="U19" s="285"/>
      <c r="Z19" s="25"/>
      <c r="AA19" s="25"/>
      <c r="AB19" s="230"/>
      <c r="AE19" s="285"/>
      <c r="AF19" s="285"/>
      <c r="AG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row>
    <row r="20" spans="3:78" ht="12.75" customHeight="1">
      <c r="E20" s="25"/>
      <c r="G20" s="513">
        <v>2010</v>
      </c>
      <c r="H20" s="513"/>
      <c r="I20" s="520"/>
      <c r="J20" s="513">
        <v>2015</v>
      </c>
      <c r="K20" s="513"/>
      <c r="L20" s="520"/>
      <c r="M20" s="513">
        <v>2019</v>
      </c>
      <c r="N20" s="513"/>
      <c r="O20" s="513"/>
      <c r="P20" s="67"/>
      <c r="Q20" s="68"/>
      <c r="R20" s="297"/>
      <c r="S20" s="67"/>
      <c r="T20" s="66"/>
      <c r="U20" s="295"/>
      <c r="X20" s="69"/>
      <c r="Y20" s="298"/>
      <c r="Z20" s="69"/>
      <c r="AA20" s="69"/>
      <c r="AB20" s="233"/>
      <c r="AC20" s="34"/>
      <c r="AD20" s="34"/>
      <c r="AE20" s="287"/>
      <c r="AF20" s="287"/>
      <c r="AG20" s="287"/>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row>
    <row r="21" spans="3:78" ht="12.75" customHeight="1">
      <c r="E21" s="25"/>
      <c r="F21" s="65"/>
      <c r="G21" s="387">
        <v>1.0009999999999999</v>
      </c>
      <c r="H21" s="387">
        <v>1.0009999999999999</v>
      </c>
      <c r="I21" s="387">
        <v>1.0009999999999999</v>
      </c>
      <c r="J21" s="387">
        <v>1.01</v>
      </c>
      <c r="K21" s="387">
        <v>1.01</v>
      </c>
      <c r="L21" s="387">
        <v>1.01</v>
      </c>
      <c r="M21" s="387">
        <v>1.01</v>
      </c>
      <c r="N21" s="387">
        <v>1.01</v>
      </c>
      <c r="O21" s="387">
        <v>1.01</v>
      </c>
      <c r="P21" s="65"/>
      <c r="Q21" s="71"/>
      <c r="R21" s="299"/>
      <c r="S21" s="65"/>
      <c r="T21" s="65"/>
      <c r="U21" s="294"/>
      <c r="X21" s="69"/>
      <c r="Y21" s="298"/>
      <c r="Z21" s="69"/>
      <c r="AA21" s="69"/>
      <c r="AB21" s="230"/>
      <c r="AC21" s="34"/>
      <c r="AD21" s="34"/>
      <c r="AE21" s="287"/>
      <c r="AF21" s="287"/>
      <c r="AG21" s="287"/>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row>
    <row r="22" spans="3:78" ht="12.75" customHeight="1">
      <c r="F22" s="72"/>
      <c r="G22" s="72"/>
      <c r="H22" s="72"/>
      <c r="I22" s="300"/>
      <c r="L22" s="288"/>
      <c r="M22" s="72"/>
      <c r="N22" s="72"/>
      <c r="O22" s="300"/>
      <c r="P22" s="36"/>
      <c r="Q22" s="113"/>
      <c r="R22" s="314"/>
      <c r="S22" s="113"/>
      <c r="T22" s="72"/>
      <c r="U22" s="300"/>
      <c r="V22" s="72"/>
      <c r="W22" s="72"/>
      <c r="X22" s="73"/>
      <c r="Y22" s="301"/>
      <c r="Z22" s="73"/>
      <c r="AA22" s="73"/>
      <c r="AB22" s="231"/>
      <c r="AE22" s="285"/>
      <c r="AF22" s="285"/>
      <c r="AG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row>
    <row r="23" spans="3:78" ht="12.75" customHeight="1">
      <c r="F23" s="74" t="s">
        <v>8</v>
      </c>
      <c r="G23" s="74"/>
      <c r="H23" s="74"/>
      <c r="I23" s="302"/>
      <c r="L23" s="288"/>
      <c r="M23" s="74"/>
      <c r="N23" s="74"/>
      <c r="O23" s="302"/>
      <c r="P23" s="75"/>
      <c r="Q23" s="114"/>
      <c r="R23" s="315"/>
      <c r="S23" s="114"/>
      <c r="T23" s="74"/>
      <c r="U23" s="302"/>
      <c r="V23" s="74"/>
      <c r="W23" s="74"/>
      <c r="X23" s="73"/>
      <c r="Y23" s="301"/>
      <c r="Z23" s="73"/>
      <c r="AA23" s="73"/>
      <c r="AB23" s="232"/>
      <c r="AE23" s="285"/>
      <c r="AF23" s="285"/>
      <c r="AG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row>
    <row r="24" spans="3:78" ht="25.5" customHeight="1">
      <c r="C24" s="38" t="s">
        <v>2</v>
      </c>
      <c r="D24" s="38" t="s">
        <v>26</v>
      </c>
      <c r="E24" s="38" t="s">
        <v>14</v>
      </c>
      <c r="F24" s="38" t="s">
        <v>15</v>
      </c>
      <c r="G24" s="76" t="s">
        <v>420</v>
      </c>
      <c r="H24" s="132" t="s">
        <v>517</v>
      </c>
      <c r="I24" s="316" t="s">
        <v>518</v>
      </c>
      <c r="J24" s="76" t="s">
        <v>421</v>
      </c>
      <c r="K24" s="132" t="s">
        <v>519</v>
      </c>
      <c r="L24" s="316" t="s">
        <v>520</v>
      </c>
      <c r="M24" s="76" t="s">
        <v>561</v>
      </c>
      <c r="N24" s="132" t="s">
        <v>562</v>
      </c>
      <c r="O24" s="316" t="s">
        <v>563</v>
      </c>
      <c r="P24" s="304" t="s">
        <v>564</v>
      </c>
      <c r="Q24" s="316" t="s">
        <v>565</v>
      </c>
      <c r="R24" s="316" t="s">
        <v>566</v>
      </c>
      <c r="S24" s="282" t="s">
        <v>422</v>
      </c>
      <c r="T24" s="283" t="s">
        <v>521</v>
      </c>
      <c r="U24" s="316" t="s">
        <v>522</v>
      </c>
      <c r="V24" s="282" t="s">
        <v>325</v>
      </c>
      <c r="W24" s="551" t="s">
        <v>423</v>
      </c>
      <c r="X24" s="552" t="s">
        <v>523</v>
      </c>
      <c r="Y24" s="553" t="s">
        <v>524</v>
      </c>
      <c r="Z24" s="51" t="s">
        <v>0</v>
      </c>
      <c r="AA24" s="51" t="s">
        <v>324</v>
      </c>
      <c r="AB24" s="554" t="s">
        <v>58</v>
      </c>
      <c r="AC24" s="555" t="s">
        <v>106</v>
      </c>
      <c r="AD24" s="555" t="s">
        <v>294</v>
      </c>
      <c r="AE24" s="556" t="s">
        <v>111</v>
      </c>
      <c r="AG24" s="285"/>
      <c r="AH24" s="285"/>
      <c r="AI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row>
    <row r="25" spans="3:78" ht="25" thickBot="1">
      <c r="C25" s="77" t="s">
        <v>27</v>
      </c>
      <c r="D25" s="77"/>
      <c r="E25" s="77"/>
      <c r="F25" s="77"/>
      <c r="G25" s="77" t="s">
        <v>46</v>
      </c>
      <c r="H25" s="77" t="s">
        <v>46</v>
      </c>
      <c r="I25" s="305"/>
      <c r="J25" s="77" t="s">
        <v>46</v>
      </c>
      <c r="K25" s="77" t="s">
        <v>46</v>
      </c>
      <c r="L25" s="305"/>
      <c r="M25" s="77" t="s">
        <v>46</v>
      </c>
      <c r="N25" s="77" t="s">
        <v>46</v>
      </c>
      <c r="O25" s="305"/>
      <c r="P25" s="305" t="s">
        <v>46</v>
      </c>
      <c r="Q25" s="305" t="s">
        <v>46</v>
      </c>
      <c r="R25" s="305"/>
      <c r="S25" s="277" t="s">
        <v>46</v>
      </c>
      <c r="T25" s="277"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row>
    <row r="26" spans="3:78" ht="12.75" customHeight="1">
      <c r="C26" s="146" t="str">
        <f ca="1">+IF(OFFSET(Processes!B7,$D$11,0)="*","*",OFFSET(Processes!D7,$D$11,0))</f>
        <v>INDSDPHBNGAE1</v>
      </c>
      <c r="D26" s="146" t="str">
        <f ca="1">+OFFSET(Processes!E7,$D$11,0)</f>
        <v>Iron &amp; Steel  Heat Medium Temp. Boiler - Nat. Gas Existing 1</v>
      </c>
      <c r="E26" s="149" t="str">
        <f>+Processes!O7</f>
        <v>INDSNG1,INDSNG2,INDNGA</v>
      </c>
      <c r="F26" s="149" t="str">
        <f ca="1">+OFFSET(Processes!$M$12,$D$11,0) &amp; Processes!P7</f>
        <v>ISDPH</v>
      </c>
      <c r="G26" s="322">
        <f>ROUNDUP(AN26/($Z26*$AA26)*G$21*W26,3)</f>
        <v>6191.4450000000006</v>
      </c>
      <c r="H26" s="322">
        <f t="shared" ref="H26:I26" si="0">ROUNDUP(AO26/($Z26*$AA26)*H$21*X26,3)</f>
        <v>0</v>
      </c>
      <c r="I26" s="322">
        <f t="shared" si="0"/>
        <v>0</v>
      </c>
      <c r="J26" s="322">
        <f>ROUNDUP(BA26/($Z26*$AA26)*J$21*W26,3)</f>
        <v>5539.2080000000005</v>
      </c>
      <c r="K26" s="322">
        <f>ROUNDUP(BB26/($Z26*$AA26)*K$21*X26,3)</f>
        <v>0</v>
      </c>
      <c r="L26" s="322">
        <f>ROUNDUP(BC26/($Z26*$AA26)*L$21*Y26,3)</f>
        <v>0</v>
      </c>
      <c r="M26" s="322">
        <f>ROUNDUP(BN26/($Z26*$AA26)*M$21*W26,3)</f>
        <v>5886.9570000000003</v>
      </c>
      <c r="N26" s="322">
        <f>ROUNDUP(BO26/($Z26*$AA26)*N$21*X26,3)</f>
        <v>0</v>
      </c>
      <c r="O26" s="322">
        <f>ROUNDUP(BP26/($Z26*$AA26)*O$21*Y26,3)</f>
        <v>0</v>
      </c>
      <c r="P26" s="322">
        <f>M26</f>
        <v>5886.9570000000003</v>
      </c>
      <c r="Q26" s="322">
        <f>N26</f>
        <v>0</v>
      </c>
      <c r="R26" s="322">
        <f>O26</f>
        <v>0</v>
      </c>
      <c r="S26" s="322">
        <f t="shared" ref="S26:S62" si="1">IF($AB26=20,0,M26/5)*IF(M26=0,0,1)</f>
        <v>0</v>
      </c>
      <c r="T26" s="322">
        <f t="shared" ref="T26:T62" si="2">IF($AB26=20,0,N26/5)*IF(N26=0,0,1)</f>
        <v>0</v>
      </c>
      <c r="U26" s="322">
        <f t="shared" ref="U26:U62" si="3">IF($AB26=20,0,O26/5)*IF(O26=0,0,1)</f>
        <v>0</v>
      </c>
      <c r="V26" s="322">
        <v>5</v>
      </c>
      <c r="W26" s="342">
        <f>I131</f>
        <v>0.98</v>
      </c>
      <c r="X26" s="557">
        <f t="shared" ref="X26:Y28" si="4">W26</f>
        <v>0.98</v>
      </c>
      <c r="Y26" s="557">
        <f t="shared" si="4"/>
        <v>0.98</v>
      </c>
      <c r="Z26" s="169">
        <f>3.6*8760/1000000</f>
        <v>3.1536000000000002E-2</v>
      </c>
      <c r="AA26" s="390">
        <v>0.5</v>
      </c>
      <c r="AB26" s="278">
        <v>20</v>
      </c>
      <c r="AC26" s="269"/>
      <c r="AD26" s="269"/>
      <c r="AE26" s="273"/>
      <c r="AG26" s="236">
        <f t="shared" ref="AG26:AG41" si="5">((G26*Z26*AA26/W26)+(H26*Z26*AA26/X26))/$G$21</f>
        <v>99.519566922873068</v>
      </c>
      <c r="AH26" s="236">
        <f t="shared" ref="AH26:AH41" si="6">((J26*Z26*AA26/W26)+(K26*Z26*AA26/X26))/$J$21</f>
        <v>88.242303237017609</v>
      </c>
      <c r="AI26" s="236">
        <f t="shared" ref="AI26:AI41" si="7">((M26*AA26*Z26/W26)+(N26*Z26*AA26/X26))/$M$21</f>
        <v>93.782115554657523</v>
      </c>
      <c r="AK26" s="530" t="str">
        <f ca="1">F26</f>
        <v>ISDPH</v>
      </c>
      <c r="AL26" s="350" t="s">
        <v>97</v>
      </c>
      <c r="AM26" s="313">
        <f>I77/1000</f>
        <v>99.519558000000004</v>
      </c>
      <c r="AN26" s="310">
        <f>AM26*$AN$23</f>
        <v>99.519558000000004</v>
      </c>
      <c r="AO26" s="311">
        <f>AM26*$AO$23</f>
        <v>0</v>
      </c>
      <c r="AP26" s="311">
        <f>AM26*$AP$23</f>
        <v>0</v>
      </c>
      <c r="AQ26" s="312">
        <f>AN26*$W26</f>
        <v>97.529166840000002</v>
      </c>
      <c r="AR26" s="312">
        <f>AO26*$X26</f>
        <v>0</v>
      </c>
      <c r="AS26" s="312">
        <f>AP26*$Y26</f>
        <v>0</v>
      </c>
      <c r="AT26" s="313">
        <f>IFERROR(AQ26/W26,0)</f>
        <v>99.519558000000004</v>
      </c>
      <c r="AU26" s="310">
        <f t="shared" ref="AT26:AV29" si="8">IFERROR(AR26/X26,0)</f>
        <v>0</v>
      </c>
      <c r="AV26" s="357">
        <f t="shared" si="8"/>
        <v>0</v>
      </c>
      <c r="AW26" s="285"/>
      <c r="AX26" s="530" t="str">
        <f t="shared" ref="AX26:AX62" ca="1" si="9">AK26</f>
        <v>ISDPH</v>
      </c>
      <c r="AY26" s="350" t="s">
        <v>97</v>
      </c>
      <c r="AZ26" s="313">
        <f>I97/1000</f>
        <v>88.2423</v>
      </c>
      <c r="BA26" s="310">
        <f>AZ26*$AN$23</f>
        <v>88.2423</v>
      </c>
      <c r="BB26" s="311">
        <f>AZ26*$BB$23</f>
        <v>0</v>
      </c>
      <c r="BC26" s="311">
        <f>AZ26*$BC$23</f>
        <v>0</v>
      </c>
      <c r="BD26" s="313">
        <f t="shared" ref="BD26" si="10">IFERROR(J26*$Z26*AA26/J$21,0)</f>
        <v>86.477457172277241</v>
      </c>
      <c r="BE26" s="310">
        <f>IFERROR(K26*$Z26*AA26/K$21,0)</f>
        <v>0</v>
      </c>
      <c r="BF26" s="357">
        <f>IFERROR(L26*$Z26*AA26/L$21,0)</f>
        <v>0</v>
      </c>
      <c r="BG26" s="313">
        <f t="shared" ref="BG26:BG35" si="11">IFERROR(BD26/W26,0)</f>
        <v>88.242303237017595</v>
      </c>
      <c r="BH26" s="310">
        <f t="shared" ref="BH26:BH35" si="12">IFERROR(BE26/X26,0)</f>
        <v>0</v>
      </c>
      <c r="BI26" s="357">
        <f t="shared" ref="BI26:BI35" si="13">IFERROR(BF26/Y26,0)</f>
        <v>0</v>
      </c>
      <c r="BJ26" s="285"/>
      <c r="BK26" s="530" t="str">
        <f ca="1">AK26</f>
        <v>ISDPH</v>
      </c>
      <c r="BL26" s="350" t="s">
        <v>97</v>
      </c>
      <c r="BM26" s="313">
        <f>I117/1000</f>
        <v>93.7821</v>
      </c>
      <c r="BN26" s="310">
        <f>BM26*$AN$23</f>
        <v>93.7821</v>
      </c>
      <c r="BO26" s="311">
        <f>BM26*$BB$23</f>
        <v>0</v>
      </c>
      <c r="BP26" s="311">
        <f>BM26*$BC$23</f>
        <v>0</v>
      </c>
      <c r="BQ26" s="313">
        <f>IFERROR(M26*$Z26*$AA26/M$21,0)</f>
        <v>91.906473243564363</v>
      </c>
      <c r="BR26" s="310">
        <f>IFERROR(N26*$Z26*$AA26/N$21,0)</f>
        <v>0</v>
      </c>
      <c r="BS26" s="357">
        <f>IFERROR(O26*$Z26*$AA26/O$21,0)</f>
        <v>0</v>
      </c>
      <c r="BT26" s="313">
        <f>IFERROR(BQ26/W26,0)</f>
        <v>93.782115554657508</v>
      </c>
      <c r="BU26" s="310">
        <f>IFERROR(BR26/X26,0)</f>
        <v>0</v>
      </c>
      <c r="BV26" s="357">
        <f>IFERROR(BS26/Y26,0)</f>
        <v>0</v>
      </c>
      <c r="BX26" s="45"/>
      <c r="BY26" s="45"/>
    </row>
    <row r="27" spans="3:78" ht="12.75" customHeight="1">
      <c r="C27" s="146" t="str">
        <f ca="1">+IF(OFFSET(Processes!B8,$D$11,0)="*","*",OFFSET(Processes!D8,$D$11,0))</f>
        <v>INDSDPHBCOAE1</v>
      </c>
      <c r="D27" s="146" t="str">
        <f ca="1">+OFFSET(Processes!E8,$D$11,0)</f>
        <v>Iron &amp; Steel  Heat Medium Temp. Boiler - Coal Existing 1</v>
      </c>
      <c r="E27" s="149" t="str">
        <f>+Processes!O8</f>
        <v>INDCOA</v>
      </c>
      <c r="F27" s="149" t="str">
        <f ca="1">+OFFSET(Processes!$M$12,$D$11,0) &amp; Processes!P8</f>
        <v>ISDPH</v>
      </c>
      <c r="G27" s="322">
        <f t="shared" ref="G27:G62" si="14">ROUNDUP(AN27/($Z27*$AA27)*G$21*W27,3)</f>
        <v>1745.933</v>
      </c>
      <c r="H27" s="322">
        <f t="shared" ref="H27:H62" si="15">ROUNDUP(AO27/($Z27*$AA27)*H$21*X27,3)</f>
        <v>0</v>
      </c>
      <c r="I27" s="322">
        <f t="shared" ref="I27:I61" si="16">ROUNDUP(AP27/($Z27*$AA27)*I$21*Y27,3)</f>
        <v>0</v>
      </c>
      <c r="J27" s="322">
        <f t="shared" ref="J27:J62" si="17">ROUNDUP(BA27/($Z27*$AA27)*J$21*W27,3)</f>
        <v>2283.556</v>
      </c>
      <c r="K27" s="322">
        <f t="shared" ref="K27:K62" si="18">ROUNDUP(BB27/($Z27*$AA27)*K$21*X27,3)</f>
        <v>0</v>
      </c>
      <c r="L27" s="322">
        <f t="shared" ref="L27:L62" si="19">ROUNDUP(BC27/($Z27*$AA27)*L$21*Y27,3)</f>
        <v>0</v>
      </c>
      <c r="M27" s="322">
        <f t="shared" ref="M27:M62" si="20">ROUNDUP(BN27/($Z27*$AA27)*M$21*W27,3)</f>
        <v>1695.5930000000001</v>
      </c>
      <c r="N27" s="322">
        <f t="shared" ref="N27:N62" si="21">ROUNDUP(BO27/($Z27*$AA27)*N$21*X27,3)</f>
        <v>0</v>
      </c>
      <c r="O27" s="322">
        <f t="shared" ref="O27:O62" si="22">ROUNDUP(BP27/($Z27*$AA27)*O$21*Y27,3)</f>
        <v>0</v>
      </c>
      <c r="P27" s="322">
        <f t="shared" ref="P27:P62" si="23">M27</f>
        <v>1695.5930000000001</v>
      </c>
      <c r="Q27" s="322">
        <f t="shared" ref="Q27:Q62" si="24">N27</f>
        <v>0</v>
      </c>
      <c r="R27" s="322">
        <f t="shared" ref="R27:R62" si="25">O27</f>
        <v>0</v>
      </c>
      <c r="S27" s="322">
        <f t="shared" si="1"/>
        <v>0</v>
      </c>
      <c r="T27" s="322">
        <f t="shared" si="2"/>
        <v>0</v>
      </c>
      <c r="U27" s="322">
        <f t="shared" si="3"/>
        <v>0</v>
      </c>
      <c r="V27" s="322">
        <v>5</v>
      </c>
      <c r="W27" s="343">
        <f>D131</f>
        <v>0.93099999999999994</v>
      </c>
      <c r="X27" s="522">
        <f t="shared" si="4"/>
        <v>0.93099999999999994</v>
      </c>
      <c r="Y27" s="522">
        <f t="shared" si="4"/>
        <v>0.93099999999999994</v>
      </c>
      <c r="Z27" s="169">
        <f>3.6*8760/1000000</f>
        <v>3.1536000000000002E-2</v>
      </c>
      <c r="AA27" s="390">
        <f>$AA$26</f>
        <v>0.5</v>
      </c>
      <c r="AB27" s="278">
        <v>20</v>
      </c>
      <c r="AC27" s="269"/>
      <c r="AD27" s="269"/>
      <c r="AE27" s="273"/>
      <c r="AF27" s="285"/>
      <c r="AG27" s="236">
        <f t="shared" si="5"/>
        <v>29.540675805397619</v>
      </c>
      <c r="AH27" s="236">
        <f t="shared" si="6"/>
        <v>38.292808763067505</v>
      </c>
      <c r="AI27" s="236">
        <f t="shared" si="7"/>
        <v>28.433293726536998</v>
      </c>
      <c r="AK27" s="290"/>
      <c r="AL27" s="291" t="s">
        <v>98</v>
      </c>
      <c r="AM27" s="307">
        <f>D77/1000</f>
        <v>29.540658999999998</v>
      </c>
      <c r="AN27" s="308">
        <f>AM27*$AN$23</f>
        <v>29.540658999999998</v>
      </c>
      <c r="AO27" s="309">
        <f t="shared" ref="AO27:AO29" si="26">AM27*$AO$23</f>
        <v>0</v>
      </c>
      <c r="AP27" s="309">
        <f>AM27*$AP$23</f>
        <v>0</v>
      </c>
      <c r="AQ27" s="306">
        <f t="shared" ref="AQ27:AQ62" si="27">IFERROR(G27*$Z27*$AA27/G$21,0)</f>
        <v>27.50236917482518</v>
      </c>
      <c r="AR27" s="309">
        <f t="shared" ref="AR27:AR62" si="28">IFERROR(H27*$Z27*$AA27/H$21,0)</f>
        <v>0</v>
      </c>
      <c r="AS27" s="540">
        <f t="shared" ref="AS27:AS62" si="29">IFERROR(I27*$Z27*$AA27/I$21,0)</f>
        <v>0</v>
      </c>
      <c r="AT27" s="307">
        <f t="shared" si="8"/>
        <v>29.540675805397619</v>
      </c>
      <c r="AU27" s="308">
        <f t="shared" si="8"/>
        <v>0</v>
      </c>
      <c r="AV27" s="353">
        <f t="shared" si="8"/>
        <v>0</v>
      </c>
      <c r="AW27" s="285"/>
      <c r="AX27" s="290"/>
      <c r="AY27" s="291" t="s">
        <v>98</v>
      </c>
      <c r="AZ27" s="307">
        <f>D97/1000</f>
        <v>38.292796000000003</v>
      </c>
      <c r="BA27" s="308">
        <f>AZ27*$AN$23</f>
        <v>38.292796000000003</v>
      </c>
      <c r="BB27" s="309">
        <f t="shared" ref="BB27:BB29" si="30">AZ27*$BB$23</f>
        <v>0</v>
      </c>
      <c r="BC27" s="309">
        <f t="shared" ref="BC27:BC29" si="31">AZ27*$BC$23</f>
        <v>0</v>
      </c>
      <c r="BD27" s="307">
        <f t="shared" ref="BD27:BD62" si="32">IFERROR(J27*$Z27*AA27/J$21,0)</f>
        <v>35.65060495841584</v>
      </c>
      <c r="BE27" s="308">
        <f t="shared" ref="BE27:BE62" si="33">IFERROR(K27*$Z27*AA27/K$21,0)</f>
        <v>0</v>
      </c>
      <c r="BF27" s="353">
        <f t="shared" ref="BF27:BF62" si="34">IFERROR(L27*$Z27*AA27/L$21,0)</f>
        <v>0</v>
      </c>
      <c r="BG27" s="307">
        <f t="shared" si="11"/>
        <v>38.292808763067498</v>
      </c>
      <c r="BH27" s="308">
        <f t="shared" si="12"/>
        <v>0</v>
      </c>
      <c r="BI27" s="353">
        <f t="shared" si="13"/>
        <v>0</v>
      </c>
      <c r="BJ27" s="285"/>
      <c r="BK27" s="290"/>
      <c r="BL27" s="291" t="s">
        <v>98</v>
      </c>
      <c r="BM27" s="307">
        <f>D117/1000</f>
        <v>28.433278999999999</v>
      </c>
      <c r="BN27" s="308">
        <f>BM27*$AN$23</f>
        <v>28.433278999999999</v>
      </c>
      <c r="BO27" s="309">
        <f t="shared" ref="BO27:BO29" si="35">BM27*$BB$23</f>
        <v>0</v>
      </c>
      <c r="BP27" s="309">
        <f t="shared" ref="BP27:BP29" si="36">BM27*$BC$23</f>
        <v>0</v>
      </c>
      <c r="BQ27" s="307">
        <f t="shared" ref="BQ27:BQ62" si="37">IFERROR(M27*$Z27*$AA27/M$21,0)</f>
        <v>26.471396459405945</v>
      </c>
      <c r="BR27" s="308">
        <f t="shared" ref="BR27:BR62" si="38">IFERROR(N27*$Z27*$AA27/N$21,0)</f>
        <v>0</v>
      </c>
      <c r="BS27" s="353">
        <f t="shared" ref="BS27:BS62" si="39">IFERROR(O27*$Z27*$AA27/O$21,0)</f>
        <v>0</v>
      </c>
      <c r="BT27" s="307">
        <f t="shared" ref="BT27:BT35" si="40">IFERROR(BQ27/W27,0)</f>
        <v>28.433293726536998</v>
      </c>
      <c r="BU27" s="308">
        <f t="shared" ref="BU27:BU35" si="41">IFERROR(BR27/X27,0)</f>
        <v>0</v>
      </c>
      <c r="BV27" s="353">
        <f t="shared" ref="BV27:BV35" si="42">IFERROR(BS27/Y27,0)</f>
        <v>0</v>
      </c>
    </row>
    <row r="28" spans="3:78" ht="12.75" customHeight="1">
      <c r="C28" s="146" t="str">
        <f ca="1">+IF(OFFSET(Processes!B9,$D$11,0)="*","*",OFFSET(Processes!D9,$D$11,0))</f>
        <v>INDSDPHBDSLE1</v>
      </c>
      <c r="D28" s="146" t="str">
        <f ca="1">+OFFSET(Processes!E9,$D$11,0)</f>
        <v>Iron &amp; Steel  Heat Medium Temp. Boiler - Diesel Existing 1</v>
      </c>
      <c r="E28" s="149" t="str">
        <f>+Processes!O9</f>
        <v>INDDSB1,INDDSB2,INDDSL</v>
      </c>
      <c r="F28" s="149" t="str">
        <f ca="1">+OFFSET(Processes!$M$12,$D$11,0) &amp; Processes!P9</f>
        <v>ISDPH</v>
      </c>
      <c r="G28" s="322">
        <f t="shared" si="14"/>
        <v>19.215</v>
      </c>
      <c r="H28" s="322">
        <f t="shared" si="15"/>
        <v>0</v>
      </c>
      <c r="I28" s="322">
        <f t="shared" si="16"/>
        <v>0</v>
      </c>
      <c r="J28" s="322">
        <f t="shared" si="17"/>
        <v>50.955999999999996</v>
      </c>
      <c r="K28" s="322">
        <f t="shared" si="18"/>
        <v>0</v>
      </c>
      <c r="L28" s="322">
        <f t="shared" si="19"/>
        <v>0</v>
      </c>
      <c r="M28" s="322">
        <f t="shared" si="20"/>
        <v>6.468</v>
      </c>
      <c r="N28" s="322">
        <f t="shared" si="21"/>
        <v>0</v>
      </c>
      <c r="O28" s="322">
        <f t="shared" si="22"/>
        <v>0</v>
      </c>
      <c r="P28" s="322">
        <f t="shared" si="23"/>
        <v>6.468</v>
      </c>
      <c r="Q28" s="322">
        <f t="shared" si="24"/>
        <v>0</v>
      </c>
      <c r="R28" s="322">
        <f t="shared" si="25"/>
        <v>0</v>
      </c>
      <c r="S28" s="322">
        <f t="shared" si="1"/>
        <v>0</v>
      </c>
      <c r="T28" s="322">
        <f t="shared" si="2"/>
        <v>0</v>
      </c>
      <c r="U28" s="322">
        <f t="shared" si="3"/>
        <v>0</v>
      </c>
      <c r="V28" s="322">
        <v>5</v>
      </c>
      <c r="W28" s="343">
        <f>F131</f>
        <v>0.94079999999999997</v>
      </c>
      <c r="X28" s="522">
        <f t="shared" si="4"/>
        <v>0.94079999999999997</v>
      </c>
      <c r="Y28" s="522">
        <f t="shared" si="4"/>
        <v>0.94079999999999997</v>
      </c>
      <c r="Z28" s="169">
        <f>3.6*8760/1000000</f>
        <v>3.1536000000000002E-2</v>
      </c>
      <c r="AA28" s="390">
        <f>$AA$26</f>
        <v>0.5</v>
      </c>
      <c r="AB28" s="278">
        <v>20</v>
      </c>
      <c r="AC28" s="269"/>
      <c r="AD28" s="269"/>
      <c r="AE28" s="273"/>
      <c r="AF28" s="285"/>
      <c r="AG28" s="236">
        <f t="shared" si="5"/>
        <v>0.32172559583273874</v>
      </c>
      <c r="AH28" s="236">
        <f t="shared" si="6"/>
        <v>0.84557718731056786</v>
      </c>
      <c r="AI28" s="236">
        <f t="shared" si="7"/>
        <v>0.10733168316831684</v>
      </c>
      <c r="AK28" s="290"/>
      <c r="AL28" s="291" t="s">
        <v>59</v>
      </c>
      <c r="AM28" s="307">
        <f>F77/1000</f>
        <v>0.32171249999999996</v>
      </c>
      <c r="AN28" s="308">
        <f>AM28*$AN$23</f>
        <v>0.32171249999999996</v>
      </c>
      <c r="AO28" s="309">
        <f t="shared" si="26"/>
        <v>0</v>
      </c>
      <c r="AP28" s="309">
        <f>AM28*$AP$23</f>
        <v>0</v>
      </c>
      <c r="AQ28" s="306">
        <f t="shared" si="27"/>
        <v>0.30267944055944063</v>
      </c>
      <c r="AR28" s="309">
        <f t="shared" si="28"/>
        <v>0</v>
      </c>
      <c r="AS28" s="540">
        <f t="shared" si="29"/>
        <v>0</v>
      </c>
      <c r="AT28" s="307">
        <f t="shared" si="8"/>
        <v>0.3217255958327388</v>
      </c>
      <c r="AU28" s="308">
        <f t="shared" si="8"/>
        <v>0</v>
      </c>
      <c r="AV28" s="353">
        <f t="shared" si="8"/>
        <v>0</v>
      </c>
      <c r="AW28" s="285"/>
      <c r="AX28" s="290"/>
      <c r="AY28" s="291" t="s">
        <v>59</v>
      </c>
      <c r="AZ28" s="307">
        <f>F97/1000</f>
        <v>0.84557650000000006</v>
      </c>
      <c r="BA28" s="308">
        <f>AZ28*$AN$23</f>
        <v>0.84557650000000006</v>
      </c>
      <c r="BB28" s="309">
        <f t="shared" si="30"/>
        <v>0</v>
      </c>
      <c r="BC28" s="309">
        <f t="shared" si="31"/>
        <v>0</v>
      </c>
      <c r="BD28" s="307">
        <f t="shared" si="32"/>
        <v>0.79551901782178225</v>
      </c>
      <c r="BE28" s="308">
        <f t="shared" si="33"/>
        <v>0</v>
      </c>
      <c r="BF28" s="353">
        <f t="shared" si="34"/>
        <v>0</v>
      </c>
      <c r="BG28" s="307">
        <f t="shared" si="11"/>
        <v>0.84557718731056786</v>
      </c>
      <c r="BH28" s="308">
        <f t="shared" si="12"/>
        <v>0</v>
      </c>
      <c r="BI28" s="353">
        <f t="shared" si="13"/>
        <v>0</v>
      </c>
      <c r="BJ28" s="285"/>
      <c r="BK28" s="290"/>
      <c r="BL28" s="291" t="s">
        <v>59</v>
      </c>
      <c r="BM28" s="307">
        <f>F117/1000</f>
        <v>0.1073175</v>
      </c>
      <c r="BN28" s="308">
        <f>BM28*$AN$23</f>
        <v>0.1073175</v>
      </c>
      <c r="BO28" s="309">
        <f t="shared" si="35"/>
        <v>0</v>
      </c>
      <c r="BP28" s="309">
        <f t="shared" si="36"/>
        <v>0</v>
      </c>
      <c r="BQ28" s="307">
        <f t="shared" si="37"/>
        <v>0.10097764752475248</v>
      </c>
      <c r="BR28" s="308">
        <f t="shared" si="38"/>
        <v>0</v>
      </c>
      <c r="BS28" s="353">
        <f t="shared" si="39"/>
        <v>0</v>
      </c>
      <c r="BT28" s="307">
        <f t="shared" si="40"/>
        <v>0.10733168316831684</v>
      </c>
      <c r="BU28" s="308">
        <f t="shared" si="41"/>
        <v>0</v>
      </c>
      <c r="BV28" s="353">
        <f t="shared" si="42"/>
        <v>0</v>
      </c>
    </row>
    <row r="29" spans="3:78" ht="12.75" customHeight="1">
      <c r="C29" s="146" t="str">
        <f ca="1">+IF(OFFSET(Processes!B10,$D$11,0)="*","*",OFFSET(Processes!D10,$D$11,0))</f>
        <v>INDSDPHBWPEE1</v>
      </c>
      <c r="D29" s="146" t="str">
        <f ca="1">+OFFSET(Processes!E10,$D$11,0)</f>
        <v>Iron &amp; Steel  Heat Medium Temp. Boiler - Wood Pellets Existing 1</v>
      </c>
      <c r="E29" s="149" t="str">
        <f>+Processes!O10</f>
        <v>INDWPE</v>
      </c>
      <c r="F29" s="149" t="str">
        <f ca="1">+OFFSET(Processes!$M$12,$D$11,0) &amp; Processes!P10</f>
        <v>ISDPH</v>
      </c>
      <c r="G29" s="321">
        <f t="shared" si="14"/>
        <v>0</v>
      </c>
      <c r="H29" s="321">
        <f t="shared" si="15"/>
        <v>0</v>
      </c>
      <c r="I29" s="321">
        <f t="shared" si="16"/>
        <v>0</v>
      </c>
      <c r="J29" s="321">
        <f t="shared" si="17"/>
        <v>3.3620000000000001</v>
      </c>
      <c r="K29" s="321">
        <f t="shared" si="18"/>
        <v>0</v>
      </c>
      <c r="L29" s="321">
        <f t="shared" si="19"/>
        <v>0</v>
      </c>
      <c r="M29" s="321">
        <f t="shared" si="20"/>
        <v>0</v>
      </c>
      <c r="N29" s="321">
        <f t="shared" si="21"/>
        <v>0</v>
      </c>
      <c r="O29" s="321">
        <f t="shared" si="22"/>
        <v>0</v>
      </c>
      <c r="P29" s="321">
        <f t="shared" si="23"/>
        <v>0</v>
      </c>
      <c r="Q29" s="321">
        <f t="shared" si="24"/>
        <v>0</v>
      </c>
      <c r="R29" s="321">
        <f t="shared" si="25"/>
        <v>0</v>
      </c>
      <c r="S29" s="321">
        <f t="shared" si="1"/>
        <v>0</v>
      </c>
      <c r="T29" s="321">
        <f t="shared" si="2"/>
        <v>0</v>
      </c>
      <c r="U29" s="321">
        <f t="shared" si="3"/>
        <v>0</v>
      </c>
      <c r="V29" s="321">
        <v>5</v>
      </c>
      <c r="W29" s="343">
        <f>$K$131</f>
        <v>0.83299999999999996</v>
      </c>
      <c r="X29" s="522">
        <f>$W$29</f>
        <v>0.83299999999999996</v>
      </c>
      <c r="Y29" s="522">
        <f>$W$29</f>
        <v>0.83299999999999996</v>
      </c>
      <c r="Z29" s="169">
        <f>3.6*8760/1000000</f>
        <v>3.1536000000000002E-2</v>
      </c>
      <c r="AA29" s="390">
        <f>$AA$26</f>
        <v>0.5</v>
      </c>
      <c r="AB29" s="278">
        <v>20</v>
      </c>
      <c r="AC29" s="269">
        <v>0.5</v>
      </c>
      <c r="AD29" s="319">
        <v>0.5</v>
      </c>
      <c r="AE29" s="273">
        <v>5</v>
      </c>
      <c r="AF29" s="285"/>
      <c r="AG29" s="236">
        <f t="shared" si="5"/>
        <v>0</v>
      </c>
      <c r="AH29" s="236">
        <f t="shared" si="6"/>
        <v>6.3009777376297066E-2</v>
      </c>
      <c r="AI29" s="236">
        <f t="shared" si="7"/>
        <v>0</v>
      </c>
      <c r="AK29" s="290"/>
      <c r="AL29" s="559" t="s">
        <v>99</v>
      </c>
      <c r="AM29" s="560">
        <f>K77/1000</f>
        <v>0</v>
      </c>
      <c r="AN29" s="561">
        <f>AM29*$AN$23</f>
        <v>0</v>
      </c>
      <c r="AO29" s="562">
        <f t="shared" si="26"/>
        <v>0</v>
      </c>
      <c r="AP29" s="562">
        <f>AM29*$AP$23</f>
        <v>0</v>
      </c>
      <c r="AQ29" s="582">
        <f t="shared" si="27"/>
        <v>0</v>
      </c>
      <c r="AR29" s="562">
        <f t="shared" si="28"/>
        <v>0</v>
      </c>
      <c r="AS29" s="563">
        <f t="shared" si="29"/>
        <v>0</v>
      </c>
      <c r="AT29" s="560">
        <f t="shared" si="8"/>
        <v>0</v>
      </c>
      <c r="AU29" s="561">
        <f t="shared" si="8"/>
        <v>0</v>
      </c>
      <c r="AV29" s="566">
        <f t="shared" si="8"/>
        <v>0</v>
      </c>
      <c r="AW29" s="285"/>
      <c r="AX29" s="290"/>
      <c r="AY29" s="559" t="s">
        <v>99</v>
      </c>
      <c r="AZ29" s="560">
        <f>K97/1000</f>
        <v>6.3E-2</v>
      </c>
      <c r="BA29" s="561">
        <f>AZ29*$AN$23</f>
        <v>6.3E-2</v>
      </c>
      <c r="BB29" s="562">
        <f t="shared" si="30"/>
        <v>0</v>
      </c>
      <c r="BC29" s="562">
        <f t="shared" si="31"/>
        <v>0</v>
      </c>
      <c r="BD29" s="560">
        <f t="shared" si="32"/>
        <v>5.2487144554455446E-2</v>
      </c>
      <c r="BE29" s="561">
        <f t="shared" si="33"/>
        <v>0</v>
      </c>
      <c r="BF29" s="566">
        <f t="shared" si="34"/>
        <v>0</v>
      </c>
      <c r="BG29" s="560">
        <f t="shared" si="11"/>
        <v>6.3009777376297052E-2</v>
      </c>
      <c r="BH29" s="561">
        <f t="shared" si="12"/>
        <v>0</v>
      </c>
      <c r="BI29" s="566">
        <f t="shared" si="13"/>
        <v>0</v>
      </c>
      <c r="BJ29" s="285"/>
      <c r="BK29" s="290"/>
      <c r="BL29" s="559" t="s">
        <v>99</v>
      </c>
      <c r="BM29" s="560">
        <f>K117/1000</f>
        <v>0</v>
      </c>
      <c r="BN29" s="561">
        <f>BM29*$AN$23</f>
        <v>0</v>
      </c>
      <c r="BO29" s="562">
        <f t="shared" si="35"/>
        <v>0</v>
      </c>
      <c r="BP29" s="562">
        <f t="shared" si="36"/>
        <v>0</v>
      </c>
      <c r="BQ29" s="560">
        <f t="shared" si="37"/>
        <v>0</v>
      </c>
      <c r="BR29" s="561">
        <f t="shared" si="38"/>
        <v>0</v>
      </c>
      <c r="BS29" s="566">
        <f t="shared" si="39"/>
        <v>0</v>
      </c>
      <c r="BT29" s="560">
        <f t="shared" si="40"/>
        <v>0</v>
      </c>
      <c r="BU29" s="561">
        <f t="shared" si="41"/>
        <v>0</v>
      </c>
      <c r="BV29" s="566">
        <f t="shared" si="42"/>
        <v>0</v>
      </c>
    </row>
    <row r="30" spans="3:78" ht="12.75" customHeight="1">
      <c r="C30" s="146"/>
      <c r="D30" s="146"/>
      <c r="E30" s="149" t="str">
        <f>+Processes!O11</f>
        <v>INDWCH</v>
      </c>
      <c r="F30" s="172"/>
      <c r="G30" s="321"/>
      <c r="H30" s="321"/>
      <c r="I30" s="321"/>
      <c r="J30" s="321"/>
      <c r="K30" s="321"/>
      <c r="L30" s="321"/>
      <c r="M30" s="321"/>
      <c r="N30" s="321"/>
      <c r="O30" s="321"/>
      <c r="P30" s="321">
        <f t="shared" si="23"/>
        <v>0</v>
      </c>
      <c r="Q30" s="321">
        <f t="shared" si="24"/>
        <v>0</v>
      </c>
      <c r="R30" s="321">
        <f t="shared" si="25"/>
        <v>0</v>
      </c>
      <c r="S30" s="321">
        <f t="shared" si="1"/>
        <v>0</v>
      </c>
      <c r="T30" s="321">
        <f t="shared" si="2"/>
        <v>0</v>
      </c>
      <c r="U30" s="321">
        <f t="shared" si="3"/>
        <v>0</v>
      </c>
      <c r="V30" s="321" t="str">
        <f>IF(S30&gt;0,0.001,"")</f>
        <v/>
      </c>
      <c r="W30" s="343">
        <f>$K$131</f>
        <v>0.83299999999999996</v>
      </c>
      <c r="X30" s="522">
        <f>$W$29</f>
        <v>0.83299999999999996</v>
      </c>
      <c r="Y30" s="522">
        <f>$W$29</f>
        <v>0.83299999999999996</v>
      </c>
      <c r="Z30" s="167"/>
      <c r="AA30" s="390"/>
      <c r="AB30" s="278"/>
      <c r="AC30" s="269">
        <f>1-AC29</f>
        <v>0.5</v>
      </c>
      <c r="AD30" s="319">
        <f>1-AD29</f>
        <v>0.5</v>
      </c>
      <c r="AE30" s="273">
        <v>5</v>
      </c>
      <c r="AF30" s="285"/>
      <c r="AG30" s="236">
        <f t="shared" si="5"/>
        <v>0</v>
      </c>
      <c r="AH30" s="236">
        <f t="shared" si="6"/>
        <v>0</v>
      </c>
      <c r="AI30" s="236">
        <f t="shared" si="7"/>
        <v>0</v>
      </c>
      <c r="AK30" s="354"/>
      <c r="AL30" s="559" t="s">
        <v>107</v>
      </c>
      <c r="AM30" s="560"/>
      <c r="AN30" s="561"/>
      <c r="AO30" s="562"/>
      <c r="AP30" s="562"/>
      <c r="AQ30" s="582">
        <f t="shared" si="27"/>
        <v>0</v>
      </c>
      <c r="AR30" s="562">
        <f t="shared" si="28"/>
        <v>0</v>
      </c>
      <c r="AS30" s="563">
        <f t="shared" si="29"/>
        <v>0</v>
      </c>
      <c r="AT30" s="560"/>
      <c r="AU30" s="561"/>
      <c r="AV30" s="566"/>
      <c r="AW30" s="285"/>
      <c r="AX30" s="354"/>
      <c r="AY30" s="559" t="s">
        <v>107</v>
      </c>
      <c r="AZ30" s="560"/>
      <c r="BA30" s="561"/>
      <c r="BB30" s="562"/>
      <c r="BC30" s="562"/>
      <c r="BD30" s="560">
        <f t="shared" si="32"/>
        <v>0</v>
      </c>
      <c r="BE30" s="561">
        <f t="shared" si="33"/>
        <v>0</v>
      </c>
      <c r="BF30" s="566">
        <f t="shared" si="34"/>
        <v>0</v>
      </c>
      <c r="BG30" s="560">
        <f t="shared" si="11"/>
        <v>0</v>
      </c>
      <c r="BH30" s="561">
        <f t="shared" si="12"/>
        <v>0</v>
      </c>
      <c r="BI30" s="566">
        <f t="shared" si="13"/>
        <v>0</v>
      </c>
      <c r="BJ30" s="285"/>
      <c r="BK30" s="354"/>
      <c r="BL30" s="559" t="s">
        <v>107</v>
      </c>
      <c r="BM30" s="560"/>
      <c r="BN30" s="561"/>
      <c r="BO30" s="562"/>
      <c r="BP30" s="562"/>
      <c r="BQ30" s="560">
        <f t="shared" si="37"/>
        <v>0</v>
      </c>
      <c r="BR30" s="561">
        <f t="shared" si="38"/>
        <v>0</v>
      </c>
      <c r="BS30" s="566">
        <f t="shared" si="39"/>
        <v>0</v>
      </c>
      <c r="BT30" s="560">
        <f t="shared" si="40"/>
        <v>0</v>
      </c>
      <c r="BU30" s="561">
        <f t="shared" si="41"/>
        <v>0</v>
      </c>
      <c r="BV30" s="566">
        <f t="shared" si="42"/>
        <v>0</v>
      </c>
      <c r="BY30" s="386"/>
      <c r="BZ30" s="386"/>
    </row>
    <row r="31" spans="3:78" ht="12.75" customHeight="1">
      <c r="C31" s="146" t="str">
        <f ca="1">+IF(OFFSET(Processes!B12,$D$11,0)="*","*",OFFSET(Processes!D12,$D$11,0))</f>
        <v>INDSDPHBBGAE1</v>
      </c>
      <c r="D31" s="146" t="str">
        <f ca="1">+OFFSET(Processes!E12,$D$11,0)</f>
        <v>Iron &amp; Steel  Heat Medium Temp. Boiler - Biogas Existing 1</v>
      </c>
      <c r="E31" s="149" t="str">
        <f>+Processes!O12</f>
        <v>INDBGA</v>
      </c>
      <c r="F31" s="172" t="str">
        <f ca="1">+OFFSET(Processes!$M$12,$D$11,0) &amp; Processes!P12</f>
        <v>ISDPH</v>
      </c>
      <c r="G31" s="322">
        <f t="shared" si="14"/>
        <v>0</v>
      </c>
      <c r="H31" s="322">
        <f t="shared" si="15"/>
        <v>0</v>
      </c>
      <c r="I31" s="322">
        <f t="shared" si="16"/>
        <v>0</v>
      </c>
      <c r="J31" s="322" t="e">
        <f t="shared" si="17"/>
        <v>#REF!</v>
      </c>
      <c r="K31" s="322" t="e">
        <f t="shared" si="18"/>
        <v>#REF!</v>
      </c>
      <c r="L31" s="322" t="e">
        <f t="shared" si="19"/>
        <v>#REF!</v>
      </c>
      <c r="M31" s="322">
        <f t="shared" si="20"/>
        <v>5404.9880000000003</v>
      </c>
      <c r="N31" s="322">
        <f t="shared" si="21"/>
        <v>0</v>
      </c>
      <c r="O31" s="322">
        <f t="shared" si="22"/>
        <v>0</v>
      </c>
      <c r="P31" s="322">
        <f t="shared" si="23"/>
        <v>5404.9880000000003</v>
      </c>
      <c r="Q31" s="322">
        <f t="shared" si="24"/>
        <v>0</v>
      </c>
      <c r="R31" s="322">
        <f t="shared" si="25"/>
        <v>0</v>
      </c>
      <c r="S31" s="322">
        <f t="shared" si="1"/>
        <v>0</v>
      </c>
      <c r="T31" s="322">
        <f t="shared" si="2"/>
        <v>0</v>
      </c>
      <c r="U31" s="322">
        <f t="shared" si="3"/>
        <v>0</v>
      </c>
      <c r="V31" s="322">
        <v>5</v>
      </c>
      <c r="W31" s="343">
        <f>J131</f>
        <v>0.98</v>
      </c>
      <c r="X31" s="522">
        <f t="shared" ref="X31:Y34" si="43">W31</f>
        <v>0.98</v>
      </c>
      <c r="Y31" s="522">
        <f t="shared" si="43"/>
        <v>0.98</v>
      </c>
      <c r="Z31" s="169">
        <f t="shared" ref="Z31:Z36" si="44">3.6*8760/1000000</f>
        <v>3.1536000000000002E-2</v>
      </c>
      <c r="AA31" s="390">
        <f t="shared" ref="AA31:AA41" si="45">$AA$26</f>
        <v>0.5</v>
      </c>
      <c r="AB31" s="278">
        <v>20</v>
      </c>
      <c r="AC31" s="269"/>
      <c r="AD31" s="269"/>
      <c r="AE31" s="273"/>
      <c r="AF31" s="285"/>
      <c r="AG31" s="236">
        <f t="shared" si="5"/>
        <v>0</v>
      </c>
      <c r="AH31" s="236" t="e">
        <f t="shared" si="6"/>
        <v>#REF!</v>
      </c>
      <c r="AI31" s="236">
        <f t="shared" si="7"/>
        <v>86.104112733885643</v>
      </c>
      <c r="AK31" s="290"/>
      <c r="AL31" s="559" t="s">
        <v>100</v>
      </c>
      <c r="AM31" s="560">
        <f>J77/1000</f>
        <v>0</v>
      </c>
      <c r="AN31" s="561">
        <f t="shared" ref="AN31:AN41" si="46">AM31*$AN$23</f>
        <v>0</v>
      </c>
      <c r="AO31" s="562">
        <f t="shared" ref="AO31:AO33" si="47">AM31*$AO$23</f>
        <v>0</v>
      </c>
      <c r="AP31" s="562">
        <f t="shared" ref="AP31:AP37" si="48">AM31*$AP$23</f>
        <v>0</v>
      </c>
      <c r="AQ31" s="582">
        <f t="shared" si="27"/>
        <v>0</v>
      </c>
      <c r="AR31" s="562">
        <f t="shared" si="28"/>
        <v>0</v>
      </c>
      <c r="AS31" s="563">
        <f>IFERROR(I31*$Z31*$AA31/I$21,0)</f>
        <v>0</v>
      </c>
      <c r="AT31" s="560">
        <f t="shared" ref="AT31:AV34" si="49">IFERROR(AQ31/W31,0)</f>
        <v>0</v>
      </c>
      <c r="AU31" s="561">
        <f t="shared" si="49"/>
        <v>0</v>
      </c>
      <c r="AV31" s="566">
        <f t="shared" si="49"/>
        <v>0</v>
      </c>
      <c r="AW31" s="285"/>
      <c r="AX31" s="290"/>
      <c r="AY31" s="559" t="s">
        <v>100</v>
      </c>
      <c r="AZ31" s="560" t="e">
        <f>J97/1000</f>
        <v>#REF!</v>
      </c>
      <c r="BA31" s="561" t="e">
        <f>AZ31*$AN$23</f>
        <v>#REF!</v>
      </c>
      <c r="BB31" s="562" t="e">
        <f>AZ31*$BB$23</f>
        <v>#REF!</v>
      </c>
      <c r="BC31" s="562" t="e">
        <f>AZ31*$BC$23</f>
        <v>#REF!</v>
      </c>
      <c r="BD31" s="560">
        <f t="shared" si="32"/>
        <v>0</v>
      </c>
      <c r="BE31" s="561">
        <f t="shared" si="33"/>
        <v>0</v>
      </c>
      <c r="BF31" s="566">
        <f t="shared" si="34"/>
        <v>0</v>
      </c>
      <c r="BG31" s="560">
        <f t="shared" si="11"/>
        <v>0</v>
      </c>
      <c r="BH31" s="561">
        <f t="shared" si="12"/>
        <v>0</v>
      </c>
      <c r="BI31" s="566">
        <f t="shared" si="13"/>
        <v>0</v>
      </c>
      <c r="BJ31" s="285"/>
      <c r="BK31" s="290"/>
      <c r="BL31" s="559" t="s">
        <v>100</v>
      </c>
      <c r="BM31" s="560">
        <f>J117/1000</f>
        <v>86.104112000000001</v>
      </c>
      <c r="BN31" s="561">
        <f>BM31*$AN$23</f>
        <v>86.104112000000001</v>
      </c>
      <c r="BO31" s="562">
        <f>BM31*$BB$23</f>
        <v>0</v>
      </c>
      <c r="BP31" s="562">
        <f>BM31*$BC$23</f>
        <v>0</v>
      </c>
      <c r="BQ31" s="560">
        <f t="shared" si="37"/>
        <v>84.382030479207927</v>
      </c>
      <c r="BR31" s="561">
        <f t="shared" si="38"/>
        <v>0</v>
      </c>
      <c r="BS31" s="566">
        <f t="shared" si="39"/>
        <v>0</v>
      </c>
      <c r="BT31" s="560">
        <f t="shared" si="40"/>
        <v>86.104112733885643</v>
      </c>
      <c r="BU31" s="561">
        <f t="shared" si="41"/>
        <v>0</v>
      </c>
      <c r="BV31" s="566">
        <f t="shared" si="42"/>
        <v>0</v>
      </c>
      <c r="BX31" s="385"/>
      <c r="BY31" s="385"/>
      <c r="BZ31" s="385"/>
    </row>
    <row r="32" spans="3:78" ht="12.75" customHeight="1">
      <c r="C32" s="146" t="str">
        <f ca="1">+IF(OFFSET(Processes!B13,$D$11,0)="*","*",OFFSET(Processes!D13,$D$11,0))</f>
        <v>INDSDPHBHFOE1</v>
      </c>
      <c r="D32" s="146" t="str">
        <f ca="1">+OFFSET(Processes!E13,$D$11,0)</f>
        <v>Iron &amp; Steel  Heat Medium Temp. Boiler - Heavy Fuel Oil Existing 1</v>
      </c>
      <c r="E32" s="149" t="str">
        <f>+Processes!O13</f>
        <v>INDHFO</v>
      </c>
      <c r="F32" s="172" t="str">
        <f ca="1">+OFFSET(Processes!$M$12,$D$11,0) &amp; Processes!P13</f>
        <v>ISDPH</v>
      </c>
      <c r="G32" s="322">
        <f t="shared" si="14"/>
        <v>11.923999999999999</v>
      </c>
      <c r="H32" s="322">
        <f t="shared" si="15"/>
        <v>0</v>
      </c>
      <c r="I32" s="322">
        <f t="shared" si="16"/>
        <v>0</v>
      </c>
      <c r="J32" s="322">
        <f t="shared" si="17"/>
        <v>0</v>
      </c>
      <c r="K32" s="322">
        <f t="shared" si="18"/>
        <v>0</v>
      </c>
      <c r="L32" s="322">
        <f t="shared" si="19"/>
        <v>0</v>
      </c>
      <c r="M32" s="322">
        <f t="shared" si="20"/>
        <v>0</v>
      </c>
      <c r="N32" s="322">
        <f t="shared" si="21"/>
        <v>0</v>
      </c>
      <c r="O32" s="322">
        <f t="shared" si="22"/>
        <v>0</v>
      </c>
      <c r="P32" s="322">
        <f t="shared" si="23"/>
        <v>0</v>
      </c>
      <c r="Q32" s="322">
        <f t="shared" si="24"/>
        <v>0</v>
      </c>
      <c r="R32" s="322">
        <f t="shared" si="25"/>
        <v>0</v>
      </c>
      <c r="S32" s="322">
        <f t="shared" si="1"/>
        <v>0</v>
      </c>
      <c r="T32" s="322">
        <f t="shared" si="2"/>
        <v>0</v>
      </c>
      <c r="U32" s="322">
        <f t="shared" si="3"/>
        <v>0</v>
      </c>
      <c r="V32" s="322">
        <v>5</v>
      </c>
      <c r="W32" s="343">
        <f>E131</f>
        <v>0.93099999999999994</v>
      </c>
      <c r="X32" s="522">
        <f t="shared" si="43"/>
        <v>0.93099999999999994</v>
      </c>
      <c r="Y32" s="522">
        <f t="shared" si="43"/>
        <v>0.93099999999999994</v>
      </c>
      <c r="Z32" s="169">
        <f t="shared" si="44"/>
        <v>3.1536000000000002E-2</v>
      </c>
      <c r="AA32" s="390">
        <f t="shared" si="45"/>
        <v>0.5</v>
      </c>
      <c r="AB32" s="278">
        <v>20</v>
      </c>
      <c r="AC32" s="269"/>
      <c r="AD32" s="269"/>
      <c r="AE32" s="273"/>
      <c r="AF32" s="285"/>
      <c r="AG32" s="236">
        <f t="shared" si="5"/>
        <v>0.20175059312331065</v>
      </c>
      <c r="AH32" s="236">
        <f t="shared" si="6"/>
        <v>0</v>
      </c>
      <c r="AI32" s="236">
        <f t="shared" si="7"/>
        <v>0</v>
      </c>
      <c r="AK32" s="290"/>
      <c r="AL32" s="559" t="s">
        <v>101</v>
      </c>
      <c r="AM32" s="560">
        <f>E77/1000</f>
        <v>0.20174</v>
      </c>
      <c r="AN32" s="561">
        <f t="shared" si="46"/>
        <v>0.20174</v>
      </c>
      <c r="AO32" s="562">
        <f>AM32*$AO$23</f>
        <v>0</v>
      </c>
      <c r="AP32" s="562">
        <f t="shared" si="48"/>
        <v>0</v>
      </c>
      <c r="AQ32" s="582">
        <f>IFERROR(G32*$Z32*$AA32/G$21,0)</f>
        <v>0.18782980219780221</v>
      </c>
      <c r="AR32" s="562">
        <f t="shared" si="28"/>
        <v>0</v>
      </c>
      <c r="AS32" s="563">
        <f t="shared" si="29"/>
        <v>0</v>
      </c>
      <c r="AT32" s="560">
        <f t="shared" si="49"/>
        <v>0.20175059312331065</v>
      </c>
      <c r="AU32" s="561">
        <f t="shared" si="49"/>
        <v>0</v>
      </c>
      <c r="AV32" s="566">
        <f t="shared" si="49"/>
        <v>0</v>
      </c>
      <c r="AW32" s="285"/>
      <c r="AX32" s="290"/>
      <c r="AY32" s="559" t="s">
        <v>101</v>
      </c>
      <c r="AZ32" s="560">
        <f>E97/1000</f>
        <v>0</v>
      </c>
      <c r="BA32" s="561">
        <f>AZ32*$AN$23</f>
        <v>0</v>
      </c>
      <c r="BB32" s="562">
        <f t="shared" ref="BB32:BB34" si="50">AZ32*$BB$23</f>
        <v>0</v>
      </c>
      <c r="BC32" s="562">
        <f t="shared" ref="BC32:BC34" si="51">AZ32*$BC$23</f>
        <v>0</v>
      </c>
      <c r="BD32" s="560">
        <f>IFERROR(J32*$Z32*AA32/J$21,0)</f>
        <v>0</v>
      </c>
      <c r="BE32" s="561">
        <f>IFERROR(K32*$Z32*AA32/K$21,0)</f>
        <v>0</v>
      </c>
      <c r="BF32" s="566">
        <f t="shared" si="34"/>
        <v>0</v>
      </c>
      <c r="BG32" s="560">
        <f t="shared" si="11"/>
        <v>0</v>
      </c>
      <c r="BH32" s="561">
        <f t="shared" si="12"/>
        <v>0</v>
      </c>
      <c r="BI32" s="566">
        <f t="shared" si="13"/>
        <v>0</v>
      </c>
      <c r="BJ32" s="285"/>
      <c r="BK32" s="290"/>
      <c r="BL32" s="559" t="s">
        <v>101</v>
      </c>
      <c r="BM32" s="560">
        <f>E117/1000</f>
        <v>0</v>
      </c>
      <c r="BN32" s="561">
        <f>BM32*$AN$23</f>
        <v>0</v>
      </c>
      <c r="BO32" s="562">
        <f t="shared" ref="BO32:BO62" si="52">BM32*$BB$23</f>
        <v>0</v>
      </c>
      <c r="BP32" s="562">
        <f t="shared" ref="BP32:BP62" si="53">BM32*$BC$23</f>
        <v>0</v>
      </c>
      <c r="BQ32" s="560">
        <f t="shared" si="37"/>
        <v>0</v>
      </c>
      <c r="BR32" s="561">
        <f t="shared" si="38"/>
        <v>0</v>
      </c>
      <c r="BS32" s="566">
        <f t="shared" si="39"/>
        <v>0</v>
      </c>
      <c r="BT32" s="560">
        <f t="shared" si="40"/>
        <v>0</v>
      </c>
      <c r="BU32" s="561">
        <f t="shared" si="41"/>
        <v>0</v>
      </c>
      <c r="BV32" s="566">
        <f t="shared" si="42"/>
        <v>0</v>
      </c>
      <c r="BX32" s="385"/>
      <c r="BY32" s="385"/>
      <c r="BZ32" s="385"/>
    </row>
    <row r="33" spans="3:78" ht="12.75" customHeight="1">
      <c r="C33" s="146" t="str">
        <f ca="1">+IF(OFFSET(Processes!B14,$D$11,0)="*","*",OFFSET(Processes!D14,$D$11,0))</f>
        <v>INDSDPHBLPGE1</v>
      </c>
      <c r="D33" s="146" t="str">
        <f ca="1">+OFFSET(Processes!E14,$D$11,0)</f>
        <v>Iron &amp; Steel  Heat Medium Temp. Boiler - Liquified Petroleum Gas Existing 1</v>
      </c>
      <c r="E33" s="149" t="str">
        <f>+Processes!O14</f>
        <v>INDLPG</v>
      </c>
      <c r="F33" s="172" t="str">
        <f ca="1">+OFFSET(Processes!$M$12,$D$11,0) &amp; Processes!P14</f>
        <v>ISDPH</v>
      </c>
      <c r="G33" s="322">
        <f t="shared" si="14"/>
        <v>40.808999999999997</v>
      </c>
      <c r="H33" s="322">
        <f t="shared" si="15"/>
        <v>0</v>
      </c>
      <c r="I33" s="322">
        <f t="shared" si="16"/>
        <v>0</v>
      </c>
      <c r="J33" s="322">
        <f t="shared" si="17"/>
        <v>0.71199999999999997</v>
      </c>
      <c r="K33" s="322">
        <f t="shared" si="18"/>
        <v>0</v>
      </c>
      <c r="L33" s="322">
        <f t="shared" si="19"/>
        <v>0</v>
      </c>
      <c r="M33" s="322" t="e">
        <f t="shared" si="20"/>
        <v>#REF!</v>
      </c>
      <c r="N33" s="322" t="e">
        <f t="shared" si="21"/>
        <v>#REF!</v>
      </c>
      <c r="O33" s="322" t="e">
        <f t="shared" si="22"/>
        <v>#REF!</v>
      </c>
      <c r="P33" s="322" t="e">
        <f t="shared" si="23"/>
        <v>#REF!</v>
      </c>
      <c r="Q33" s="322" t="e">
        <f t="shared" si="24"/>
        <v>#REF!</v>
      </c>
      <c r="R33" s="322" t="e">
        <f t="shared" si="25"/>
        <v>#REF!</v>
      </c>
      <c r="S33" s="322" t="e">
        <f t="shared" si="1"/>
        <v>#REF!</v>
      </c>
      <c r="T33" s="322" t="e">
        <f t="shared" si="2"/>
        <v>#REF!</v>
      </c>
      <c r="U33" s="322" t="e">
        <f t="shared" si="3"/>
        <v>#REF!</v>
      </c>
      <c r="V33" s="322">
        <v>5</v>
      </c>
      <c r="W33" s="343">
        <f>H131</f>
        <v>0.98</v>
      </c>
      <c r="X33" s="522">
        <f t="shared" si="43"/>
        <v>0.98</v>
      </c>
      <c r="Y33" s="522">
        <f t="shared" si="43"/>
        <v>0.98</v>
      </c>
      <c r="Z33" s="169">
        <f t="shared" si="44"/>
        <v>3.1536000000000002E-2</v>
      </c>
      <c r="AA33" s="390">
        <f t="shared" si="45"/>
        <v>0.5</v>
      </c>
      <c r="AB33" s="278">
        <v>20</v>
      </c>
      <c r="AC33" s="269"/>
      <c r="AD33" s="269"/>
      <c r="AE33" s="273"/>
      <c r="AF33" s="285"/>
      <c r="AG33" s="236">
        <f t="shared" si="5"/>
        <v>0.65595252910354962</v>
      </c>
      <c r="AH33" s="236">
        <f t="shared" si="6"/>
        <v>1.1342509597898566E-2</v>
      </c>
      <c r="AI33" s="236" t="e">
        <f t="shared" si="7"/>
        <v>#REF!</v>
      </c>
      <c r="AK33" s="290"/>
      <c r="AL33" s="559" t="s">
        <v>53</v>
      </c>
      <c r="AM33" s="560">
        <f>H77/1000</f>
        <v>0.65594174999999999</v>
      </c>
      <c r="AN33" s="561">
        <f t="shared" si="46"/>
        <v>0.65594174999999999</v>
      </c>
      <c r="AO33" s="562">
        <f t="shared" si="47"/>
        <v>0</v>
      </c>
      <c r="AP33" s="562">
        <f t="shared" si="48"/>
        <v>0</v>
      </c>
      <c r="AQ33" s="582">
        <f t="shared" si="27"/>
        <v>0.64283347852147854</v>
      </c>
      <c r="AR33" s="562">
        <f t="shared" si="28"/>
        <v>0</v>
      </c>
      <c r="AS33" s="563">
        <f t="shared" si="29"/>
        <v>0</v>
      </c>
      <c r="AT33" s="560">
        <f t="shared" si="49"/>
        <v>0.65595252910354951</v>
      </c>
      <c r="AU33" s="561">
        <f t="shared" si="49"/>
        <v>0</v>
      </c>
      <c r="AV33" s="566">
        <f t="shared" si="49"/>
        <v>0</v>
      </c>
      <c r="AW33" s="285"/>
      <c r="AX33" s="290"/>
      <c r="AY33" s="559" t="s">
        <v>53</v>
      </c>
      <c r="AZ33" s="560">
        <f>H97/1000</f>
        <v>1.1341499999999999E-2</v>
      </c>
      <c r="BA33" s="561">
        <f>AZ33*$AN$23</f>
        <v>1.1341499999999999E-2</v>
      </c>
      <c r="BB33" s="562">
        <f t="shared" si="50"/>
        <v>0</v>
      </c>
      <c r="BC33" s="562">
        <f t="shared" si="51"/>
        <v>0</v>
      </c>
      <c r="BD33" s="560">
        <f t="shared" si="32"/>
        <v>1.1115659405940595E-2</v>
      </c>
      <c r="BE33" s="561">
        <f t="shared" si="33"/>
        <v>0</v>
      </c>
      <c r="BF33" s="566">
        <f t="shared" si="34"/>
        <v>0</v>
      </c>
      <c r="BG33" s="560">
        <f t="shared" si="11"/>
        <v>1.1342509597898566E-2</v>
      </c>
      <c r="BH33" s="561">
        <f t="shared" si="12"/>
        <v>0</v>
      </c>
      <c r="BI33" s="566">
        <f t="shared" si="13"/>
        <v>0</v>
      </c>
      <c r="BJ33" s="285"/>
      <c r="BK33" s="290"/>
      <c r="BL33" s="559" t="s">
        <v>53</v>
      </c>
      <c r="BM33" s="560" t="e">
        <f>H117/1000</f>
        <v>#REF!</v>
      </c>
      <c r="BN33" s="561" t="e">
        <f>BM33*$AN$23</f>
        <v>#REF!</v>
      </c>
      <c r="BO33" s="562" t="e">
        <f t="shared" si="52"/>
        <v>#REF!</v>
      </c>
      <c r="BP33" s="562" t="e">
        <f t="shared" si="53"/>
        <v>#REF!</v>
      </c>
      <c r="BQ33" s="560">
        <f t="shared" si="37"/>
        <v>0</v>
      </c>
      <c r="BR33" s="561">
        <f t="shared" si="38"/>
        <v>0</v>
      </c>
      <c r="BS33" s="566">
        <f t="shared" si="39"/>
        <v>0</v>
      </c>
      <c r="BT33" s="560">
        <f t="shared" si="40"/>
        <v>0</v>
      </c>
      <c r="BU33" s="561">
        <f t="shared" si="41"/>
        <v>0</v>
      </c>
      <c r="BV33" s="566">
        <f t="shared" si="42"/>
        <v>0</v>
      </c>
      <c r="BX33" s="385"/>
      <c r="BY33" s="385"/>
    </row>
    <row r="34" spans="3:78" ht="12.75" customHeight="1">
      <c r="C34" s="146" t="str">
        <f ca="1">+IF(OFFSET(Processes!B15,$D$11,0)="*","*",OFFSET(Processes!D15,$D$11,0))</f>
        <v>INDSDPHBWSTE1</v>
      </c>
      <c r="D34" s="146" t="str">
        <f ca="1">+OFFSET(Processes!E15,$D$11,0)</f>
        <v>Iron &amp; Steel  Heat Medium Temp. Boiler - Waste Existing 1</v>
      </c>
      <c r="E34" s="149" t="str">
        <f>+Processes!O15</f>
        <v>INDWST</v>
      </c>
      <c r="F34" s="172" t="str">
        <f ca="1">+OFFSET(Processes!$M$12,$D$11,0) &amp; Processes!P15</f>
        <v>ISDPH</v>
      </c>
      <c r="G34" s="322">
        <f t="shared" si="14"/>
        <v>0</v>
      </c>
      <c r="H34" s="322">
        <f t="shared" si="15"/>
        <v>0</v>
      </c>
      <c r="I34" s="322">
        <f t="shared" si="16"/>
        <v>0</v>
      </c>
      <c r="J34" s="322">
        <f t="shared" si="17"/>
        <v>0</v>
      </c>
      <c r="K34" s="322">
        <f t="shared" si="18"/>
        <v>0</v>
      </c>
      <c r="L34" s="322">
        <f t="shared" si="19"/>
        <v>0</v>
      </c>
      <c r="M34" s="322">
        <f t="shared" si="20"/>
        <v>0.23899999999999999</v>
      </c>
      <c r="N34" s="322">
        <f t="shared" si="21"/>
        <v>0</v>
      </c>
      <c r="O34" s="322">
        <f t="shared" si="22"/>
        <v>0</v>
      </c>
      <c r="P34" s="322">
        <f t="shared" si="23"/>
        <v>0.23899999999999999</v>
      </c>
      <c r="Q34" s="322">
        <f t="shared" si="24"/>
        <v>0</v>
      </c>
      <c r="R34" s="322">
        <f t="shared" si="25"/>
        <v>0</v>
      </c>
      <c r="S34" s="322">
        <f t="shared" si="1"/>
        <v>0</v>
      </c>
      <c r="T34" s="322">
        <f t="shared" si="2"/>
        <v>0</v>
      </c>
      <c r="U34" s="322">
        <f t="shared" si="3"/>
        <v>0</v>
      </c>
      <c r="V34" s="322">
        <v>5</v>
      </c>
      <c r="W34" s="343">
        <f>L131</f>
        <v>0.93099999999999994</v>
      </c>
      <c r="X34" s="522">
        <f t="shared" si="43"/>
        <v>0.93099999999999994</v>
      </c>
      <c r="Y34" s="522">
        <f t="shared" si="43"/>
        <v>0.93099999999999994</v>
      </c>
      <c r="Z34" s="169">
        <f t="shared" si="44"/>
        <v>3.1536000000000002E-2</v>
      </c>
      <c r="AA34" s="390">
        <f t="shared" si="45"/>
        <v>0.5</v>
      </c>
      <c r="AB34" s="278">
        <v>20</v>
      </c>
      <c r="AC34" s="269"/>
      <c r="AD34" s="269"/>
      <c r="AE34" s="273"/>
      <c r="AF34" s="285"/>
      <c r="AG34" s="236">
        <f t="shared" si="5"/>
        <v>0</v>
      </c>
      <c r="AH34" s="236">
        <f t="shared" si="6"/>
        <v>0</v>
      </c>
      <c r="AI34" s="236">
        <f t="shared" si="7"/>
        <v>4.0077761589263116E-3</v>
      </c>
      <c r="AK34" s="290"/>
      <c r="AL34" s="559" t="s">
        <v>102</v>
      </c>
      <c r="AM34" s="560">
        <f>$L77/1000</f>
        <v>0</v>
      </c>
      <c r="AN34" s="561">
        <f t="shared" si="46"/>
        <v>0</v>
      </c>
      <c r="AO34" s="562">
        <f t="shared" ref="AO34" si="54">AM34*$AO$23</f>
        <v>0</v>
      </c>
      <c r="AP34" s="562">
        <f t="shared" si="48"/>
        <v>0</v>
      </c>
      <c r="AQ34" s="582">
        <f t="shared" si="27"/>
        <v>0</v>
      </c>
      <c r="AR34" s="562">
        <f t="shared" si="28"/>
        <v>0</v>
      </c>
      <c r="AS34" s="563">
        <f t="shared" si="29"/>
        <v>0</v>
      </c>
      <c r="AT34" s="560">
        <f t="shared" si="49"/>
        <v>0</v>
      </c>
      <c r="AU34" s="561">
        <f t="shared" si="49"/>
        <v>0</v>
      </c>
      <c r="AV34" s="566">
        <f t="shared" si="49"/>
        <v>0</v>
      </c>
      <c r="AW34" s="285"/>
      <c r="AX34" s="290"/>
      <c r="AY34" s="559" t="s">
        <v>102</v>
      </c>
      <c r="AZ34" s="560">
        <f>$L97/1000</f>
        <v>0</v>
      </c>
      <c r="BA34" s="561">
        <f>AZ34*$AN$23</f>
        <v>0</v>
      </c>
      <c r="BB34" s="562">
        <f t="shared" si="50"/>
        <v>0</v>
      </c>
      <c r="BC34" s="562">
        <f t="shared" si="51"/>
        <v>0</v>
      </c>
      <c r="BD34" s="560">
        <f t="shared" si="32"/>
        <v>0</v>
      </c>
      <c r="BE34" s="561">
        <f t="shared" si="33"/>
        <v>0</v>
      </c>
      <c r="BF34" s="566">
        <f t="shared" si="34"/>
        <v>0</v>
      </c>
      <c r="BG34" s="560">
        <f t="shared" si="11"/>
        <v>0</v>
      </c>
      <c r="BH34" s="561">
        <f t="shared" si="12"/>
        <v>0</v>
      </c>
      <c r="BI34" s="566">
        <f t="shared" si="13"/>
        <v>0</v>
      </c>
      <c r="BJ34" s="285"/>
      <c r="BK34" s="290"/>
      <c r="BL34" s="559" t="s">
        <v>102</v>
      </c>
      <c r="BM34" s="560">
        <f>$L117/1000</f>
        <v>4.0000000000000001E-3</v>
      </c>
      <c r="BN34" s="561">
        <f>BM34*$AN$23</f>
        <v>4.0000000000000001E-3</v>
      </c>
      <c r="BO34" s="562">
        <f t="shared" si="52"/>
        <v>0</v>
      </c>
      <c r="BP34" s="562">
        <f t="shared" si="53"/>
        <v>0</v>
      </c>
      <c r="BQ34" s="560">
        <f t="shared" si="37"/>
        <v>3.7312396039603959E-3</v>
      </c>
      <c r="BR34" s="561">
        <f t="shared" si="38"/>
        <v>0</v>
      </c>
      <c r="BS34" s="566">
        <f t="shared" si="39"/>
        <v>0</v>
      </c>
      <c r="BT34" s="560">
        <f t="shared" si="40"/>
        <v>4.0077761589263116E-3</v>
      </c>
      <c r="BU34" s="561">
        <f t="shared" si="41"/>
        <v>0</v>
      </c>
      <c r="BV34" s="566">
        <f t="shared" si="42"/>
        <v>0</v>
      </c>
    </row>
    <row r="35" spans="3:78" ht="12.75" customHeight="1">
      <c r="C35" s="173" t="str">
        <f ca="1">+IF(OFFSET(Processes!B16,$D$11,0)="*","*",OFFSET(Processes!D16,$D$11,0))</f>
        <v>INDSDPHBHETE1</v>
      </c>
      <c r="D35" s="146" t="str">
        <f ca="1">+OFFSET(Processes!E16,$D$11,0)</f>
        <v>Iron &amp; Steel  Heat Medium Temp. Boiler - Dist. Heat Existing 1</v>
      </c>
      <c r="E35" s="149" t="str">
        <f>+Processes!O16</f>
        <v>INDHCE</v>
      </c>
      <c r="F35" s="172" t="str">
        <f ca="1">+OFFSET(Processes!$M$12,$D$11,0) &amp; Processes!P16</f>
        <v>ISDPH</v>
      </c>
      <c r="G35" s="321">
        <f t="shared" si="14"/>
        <v>0</v>
      </c>
      <c r="H35" s="321">
        <f t="shared" si="15"/>
        <v>0</v>
      </c>
      <c r="I35" s="321">
        <f t="shared" si="16"/>
        <v>0</v>
      </c>
      <c r="J35" s="321">
        <f t="shared" si="17"/>
        <v>0</v>
      </c>
      <c r="K35" s="321">
        <f t="shared" si="18"/>
        <v>0</v>
      </c>
      <c r="L35" s="321">
        <f t="shared" si="19"/>
        <v>0</v>
      </c>
      <c r="M35" s="321">
        <f t="shared" si="20"/>
        <v>0</v>
      </c>
      <c r="N35" s="321">
        <f t="shared" si="21"/>
        <v>0</v>
      </c>
      <c r="O35" s="321">
        <f t="shared" si="22"/>
        <v>0</v>
      </c>
      <c r="P35" s="321">
        <f t="shared" si="23"/>
        <v>0</v>
      </c>
      <c r="Q35" s="321">
        <f t="shared" si="24"/>
        <v>0</v>
      </c>
      <c r="R35" s="321">
        <f t="shared" si="25"/>
        <v>0</v>
      </c>
      <c r="S35" s="321">
        <f t="shared" si="1"/>
        <v>0</v>
      </c>
      <c r="T35" s="321">
        <f t="shared" si="2"/>
        <v>0</v>
      </c>
      <c r="U35" s="321">
        <f t="shared" si="3"/>
        <v>0</v>
      </c>
      <c r="V35" s="321">
        <v>5</v>
      </c>
      <c r="W35" s="343">
        <f>$N$131</f>
        <v>0.94079999999999997</v>
      </c>
      <c r="X35" s="522">
        <f>$W$35</f>
        <v>0.94079999999999997</v>
      </c>
      <c r="Y35" s="522">
        <f>$W$35</f>
        <v>0.94079999999999997</v>
      </c>
      <c r="Z35" s="169">
        <f t="shared" si="44"/>
        <v>3.1536000000000002E-2</v>
      </c>
      <c r="AA35" s="390">
        <f t="shared" si="45"/>
        <v>0.5</v>
      </c>
      <c r="AB35" s="278">
        <v>20</v>
      </c>
      <c r="AC35" s="284"/>
      <c r="AD35" s="319"/>
      <c r="AE35" s="273"/>
      <c r="AF35" s="285"/>
      <c r="AG35" s="236">
        <f t="shared" si="5"/>
        <v>0</v>
      </c>
      <c r="AH35" s="236">
        <f t="shared" si="6"/>
        <v>0</v>
      </c>
      <c r="AI35" s="236">
        <f t="shared" si="7"/>
        <v>0</v>
      </c>
      <c r="AK35" s="290"/>
      <c r="AL35" s="559" t="s">
        <v>103</v>
      </c>
      <c r="AM35" s="560">
        <f>N77/1000</f>
        <v>0</v>
      </c>
      <c r="AN35" s="613">
        <f>AM35</f>
        <v>0</v>
      </c>
      <c r="AO35" s="614">
        <v>0</v>
      </c>
      <c r="AP35" s="614">
        <v>0</v>
      </c>
      <c r="AQ35" s="582">
        <f t="shared" si="27"/>
        <v>0</v>
      </c>
      <c r="AR35" s="562">
        <f t="shared" si="28"/>
        <v>0</v>
      </c>
      <c r="AS35" s="563">
        <f t="shared" si="29"/>
        <v>0</v>
      </c>
      <c r="AT35" s="560">
        <f>AN35-AQ35</f>
        <v>0</v>
      </c>
      <c r="AU35" s="561">
        <f>AO35-AR35</f>
        <v>0</v>
      </c>
      <c r="AV35" s="566">
        <f>AP35-AS35</f>
        <v>0</v>
      </c>
      <c r="AW35" s="285"/>
      <c r="AX35" s="290"/>
      <c r="AY35" s="559" t="s">
        <v>103</v>
      </c>
      <c r="AZ35" s="560">
        <f>N97/1000</f>
        <v>0</v>
      </c>
      <c r="BA35" s="613">
        <f>AZ35</f>
        <v>0</v>
      </c>
      <c r="BB35" s="614">
        <v>0</v>
      </c>
      <c r="BC35" s="614">
        <v>0</v>
      </c>
      <c r="BD35" s="560">
        <f t="shared" si="32"/>
        <v>0</v>
      </c>
      <c r="BE35" s="561">
        <f t="shared" si="33"/>
        <v>0</v>
      </c>
      <c r="BF35" s="566">
        <f t="shared" si="34"/>
        <v>0</v>
      </c>
      <c r="BG35" s="560">
        <f t="shared" si="11"/>
        <v>0</v>
      </c>
      <c r="BH35" s="561">
        <f t="shared" si="12"/>
        <v>0</v>
      </c>
      <c r="BI35" s="566">
        <f t="shared" si="13"/>
        <v>0</v>
      </c>
      <c r="BJ35" s="285"/>
      <c r="BK35" s="290"/>
      <c r="BL35" s="559" t="s">
        <v>103</v>
      </c>
      <c r="BM35" s="560">
        <f>N117/1000</f>
        <v>0</v>
      </c>
      <c r="BN35" s="613">
        <f>BM35</f>
        <v>0</v>
      </c>
      <c r="BO35" s="614">
        <v>0</v>
      </c>
      <c r="BP35" s="614">
        <v>0</v>
      </c>
      <c r="BQ35" s="560">
        <f t="shared" si="37"/>
        <v>0</v>
      </c>
      <c r="BR35" s="561">
        <f t="shared" si="38"/>
        <v>0</v>
      </c>
      <c r="BS35" s="566">
        <f t="shared" si="39"/>
        <v>0</v>
      </c>
      <c r="BT35" s="560">
        <f t="shared" si="40"/>
        <v>0</v>
      </c>
      <c r="BU35" s="561">
        <f t="shared" si="41"/>
        <v>0</v>
      </c>
      <c r="BV35" s="566">
        <f t="shared" si="42"/>
        <v>0</v>
      </c>
    </row>
    <row r="36" spans="3:78" ht="12.75" customHeight="1">
      <c r="C36" s="173" t="str">
        <f ca="1">+IF(OFFSET(Processes!B17,$D$11,0)="*","*",OFFSET(Processes!D17,$D$11,0))</f>
        <v>INDSDPHBHETE2</v>
      </c>
      <c r="D36" s="146" t="str">
        <f ca="1">+OFFSET(Processes!E17,$D$11,0)</f>
        <v>Iron &amp; Steel  Heat Medium Temp. Boiler - Dist. Heat Existing 2</v>
      </c>
      <c r="E36" s="149" t="str">
        <f>+Processes!O17</f>
        <v>INDHDE</v>
      </c>
      <c r="F36" s="172" t="str">
        <f ca="1">+OFFSET(Processes!$M$12,$D$11,0) &amp; Processes!P17</f>
        <v>ISDPH</v>
      </c>
      <c r="G36" s="321"/>
      <c r="H36" s="321"/>
      <c r="I36" s="321"/>
      <c r="J36" s="321"/>
      <c r="K36" s="321"/>
      <c r="L36" s="321"/>
      <c r="M36" s="321"/>
      <c r="N36" s="321"/>
      <c r="O36" s="321"/>
      <c r="P36" s="321">
        <f t="shared" si="23"/>
        <v>0</v>
      </c>
      <c r="Q36" s="321">
        <f t="shared" si="24"/>
        <v>0</v>
      </c>
      <c r="R36" s="321">
        <f t="shared" si="25"/>
        <v>0</v>
      </c>
      <c r="S36" s="321">
        <f t="shared" si="1"/>
        <v>0</v>
      </c>
      <c r="T36" s="321">
        <f t="shared" si="2"/>
        <v>0</v>
      </c>
      <c r="U36" s="321">
        <f t="shared" si="3"/>
        <v>0</v>
      </c>
      <c r="V36" s="321">
        <v>5</v>
      </c>
      <c r="W36" s="343">
        <f>$N$131</f>
        <v>0.94079999999999997</v>
      </c>
      <c r="X36" s="522">
        <f>$W$35</f>
        <v>0.94079999999999997</v>
      </c>
      <c r="Y36" s="522">
        <f>$W$35</f>
        <v>0.94079999999999997</v>
      </c>
      <c r="Z36" s="319">
        <f t="shared" si="44"/>
        <v>3.1536000000000002E-2</v>
      </c>
      <c r="AA36" s="390">
        <f t="shared" si="45"/>
        <v>0.5</v>
      </c>
      <c r="AB36" s="329">
        <v>20</v>
      </c>
      <c r="AC36" s="284"/>
      <c r="AD36" s="319"/>
      <c r="AE36" s="273"/>
      <c r="AF36" s="285"/>
      <c r="AG36" s="236">
        <f t="shared" si="5"/>
        <v>0</v>
      </c>
      <c r="AH36" s="236">
        <f t="shared" si="6"/>
        <v>0</v>
      </c>
      <c r="AI36" s="236">
        <f t="shared" si="7"/>
        <v>0</v>
      </c>
      <c r="AK36" s="290"/>
      <c r="AL36" s="559" t="s">
        <v>104</v>
      </c>
      <c r="AM36" s="560"/>
      <c r="AN36" s="613">
        <f>AM36</f>
        <v>0</v>
      </c>
      <c r="AO36" s="614">
        <v>0</v>
      </c>
      <c r="AP36" s="614">
        <v>0</v>
      </c>
      <c r="AQ36" s="582">
        <f t="shared" si="27"/>
        <v>0</v>
      </c>
      <c r="AR36" s="562">
        <f t="shared" si="28"/>
        <v>0</v>
      </c>
      <c r="AS36" s="563">
        <f t="shared" si="29"/>
        <v>0</v>
      </c>
      <c r="AT36" s="560"/>
      <c r="AU36" s="561"/>
      <c r="AV36" s="566"/>
      <c r="AW36" s="285"/>
      <c r="AX36" s="290"/>
      <c r="AY36" s="559" t="s">
        <v>104</v>
      </c>
      <c r="AZ36" s="560"/>
      <c r="BA36" s="613">
        <f>AZ36</f>
        <v>0</v>
      </c>
      <c r="BB36" s="614">
        <v>0</v>
      </c>
      <c r="BC36" s="614">
        <v>0</v>
      </c>
      <c r="BD36" s="560">
        <f t="shared" si="32"/>
        <v>0</v>
      </c>
      <c r="BE36" s="561">
        <f t="shared" si="33"/>
        <v>0</v>
      </c>
      <c r="BF36" s="566">
        <f t="shared" si="34"/>
        <v>0</v>
      </c>
      <c r="BG36" s="560"/>
      <c r="BH36" s="561"/>
      <c r="BI36" s="566"/>
      <c r="BJ36" s="285"/>
      <c r="BK36" s="290"/>
      <c r="BL36" s="559" t="s">
        <v>104</v>
      </c>
      <c r="BM36" s="560"/>
      <c r="BN36" s="613">
        <f>BM36</f>
        <v>0</v>
      </c>
      <c r="BO36" s="614">
        <v>0</v>
      </c>
      <c r="BP36" s="614">
        <v>0</v>
      </c>
      <c r="BQ36" s="560">
        <f t="shared" si="37"/>
        <v>0</v>
      </c>
      <c r="BR36" s="561">
        <f t="shared" si="38"/>
        <v>0</v>
      </c>
      <c r="BS36" s="566">
        <f t="shared" si="39"/>
        <v>0</v>
      </c>
      <c r="BT36" s="560"/>
      <c r="BU36" s="561"/>
      <c r="BV36" s="566"/>
    </row>
    <row r="37" spans="3:78" ht="12.75" customHeight="1">
      <c r="C37" s="148" t="str">
        <f ca="1">+IF(OFFSET(Processes!B18,$D$11,0)="*","*",OFFSET(Processes!D18,$D$11,0))</f>
        <v>INDSDPHBELCE1</v>
      </c>
      <c r="D37" s="148" t="str">
        <f ca="1">+OFFSET(Processes!E18,$D$11,0)</f>
        <v>Iron &amp; Steel  Heat Medium Temp. Boiler - Electricity Existing 1</v>
      </c>
      <c r="E37" s="174" t="str">
        <f>+Processes!O18</f>
        <v>INDELC</v>
      </c>
      <c r="F37" s="174" t="str">
        <f ca="1">+OFFSET(Processes!$M$12,$D$11,0) &amp; Processes!P18</f>
        <v>ISDPH</v>
      </c>
      <c r="G37" s="324">
        <f t="shared" si="14"/>
        <v>922.33100000000002</v>
      </c>
      <c r="H37" s="324">
        <f t="shared" si="15"/>
        <v>0</v>
      </c>
      <c r="I37" s="324">
        <f t="shared" si="16"/>
        <v>0</v>
      </c>
      <c r="J37" s="324">
        <f t="shared" si="17"/>
        <v>895.24400000000003</v>
      </c>
      <c r="K37" s="324">
        <f t="shared" si="18"/>
        <v>0</v>
      </c>
      <c r="L37" s="324">
        <f t="shared" si="19"/>
        <v>0</v>
      </c>
      <c r="M37" s="324">
        <f t="shared" si="20"/>
        <v>0</v>
      </c>
      <c r="N37" s="324">
        <f t="shared" si="21"/>
        <v>0</v>
      </c>
      <c r="O37" s="324">
        <f t="shared" si="22"/>
        <v>0</v>
      </c>
      <c r="P37" s="324">
        <f t="shared" si="23"/>
        <v>0</v>
      </c>
      <c r="Q37" s="324">
        <f t="shared" si="24"/>
        <v>0</v>
      </c>
      <c r="R37" s="324">
        <f t="shared" si="25"/>
        <v>0</v>
      </c>
      <c r="S37" s="324">
        <f t="shared" si="1"/>
        <v>0</v>
      </c>
      <c r="T37" s="324">
        <f t="shared" si="2"/>
        <v>0</v>
      </c>
      <c r="U37" s="324">
        <f t="shared" si="3"/>
        <v>0</v>
      </c>
      <c r="V37" s="558">
        <v>5</v>
      </c>
      <c r="W37" s="345">
        <f>M131</f>
        <v>0.93099999999999994</v>
      </c>
      <c r="X37" s="523">
        <f t="shared" ref="X37:Y41" si="55">W37</f>
        <v>0.93099999999999994</v>
      </c>
      <c r="Y37" s="523">
        <f t="shared" si="55"/>
        <v>0.93099999999999994</v>
      </c>
      <c r="Z37" s="170">
        <f t="shared" ref="Z37:Z50" si="56">3.6*8760/1000000</f>
        <v>3.1536000000000002E-2</v>
      </c>
      <c r="AA37" s="391">
        <f t="shared" si="45"/>
        <v>0.5</v>
      </c>
      <c r="AB37" s="279">
        <v>20</v>
      </c>
      <c r="AC37" s="271"/>
      <c r="AD37" s="269"/>
      <c r="AE37" s="274"/>
      <c r="AF37" s="285"/>
      <c r="AG37" s="236">
        <f t="shared" si="5"/>
        <v>15.605570807280801</v>
      </c>
      <c r="AH37" s="236">
        <f t="shared" si="6"/>
        <v>15.012291044442792</v>
      </c>
      <c r="AI37" s="236">
        <f t="shared" si="7"/>
        <v>0</v>
      </c>
      <c r="AK37" s="352"/>
      <c r="AL37" s="567" t="s">
        <v>61</v>
      </c>
      <c r="AM37" s="568">
        <f>M77/1000</f>
        <v>15.605568000000002</v>
      </c>
      <c r="AN37" s="561">
        <f t="shared" si="46"/>
        <v>15.605568000000002</v>
      </c>
      <c r="AO37" s="562">
        <f t="shared" ref="AO37" si="57">AM37*$AO$23</f>
        <v>0</v>
      </c>
      <c r="AP37" s="562">
        <f t="shared" si="48"/>
        <v>0</v>
      </c>
      <c r="AQ37" s="582">
        <f t="shared" si="27"/>
        <v>14.528786421578424</v>
      </c>
      <c r="AR37" s="562">
        <f t="shared" si="28"/>
        <v>0</v>
      </c>
      <c r="AS37" s="563">
        <f t="shared" si="29"/>
        <v>0</v>
      </c>
      <c r="AT37" s="568">
        <f t="shared" ref="AT37:AV41" si="58">IFERROR(AQ37/W37,0)</f>
        <v>15.605570807280801</v>
      </c>
      <c r="AU37" s="569">
        <f t="shared" si="58"/>
        <v>0</v>
      </c>
      <c r="AV37" s="570">
        <f t="shared" si="58"/>
        <v>0</v>
      </c>
      <c r="AW37" s="285"/>
      <c r="AX37" s="352"/>
      <c r="AY37" s="567" t="s">
        <v>61</v>
      </c>
      <c r="AZ37" s="568">
        <f>M97/1000</f>
        <v>15.012288</v>
      </c>
      <c r="BA37" s="561">
        <f>AZ37*$AN$23</f>
        <v>15.012288</v>
      </c>
      <c r="BB37" s="562">
        <f t="shared" ref="BB37:BB62" si="59">AZ37*$BB$23</f>
        <v>0</v>
      </c>
      <c r="BC37" s="562">
        <f t="shared" ref="BC37:BC62" si="60">AZ37*$BC$23</f>
        <v>0</v>
      </c>
      <c r="BD37" s="568">
        <f t="shared" si="32"/>
        <v>13.97644296237624</v>
      </c>
      <c r="BE37" s="569">
        <f t="shared" si="33"/>
        <v>0</v>
      </c>
      <c r="BF37" s="570">
        <f>IFERROR(L37*$Z37*AA37/L$21,0)</f>
        <v>0</v>
      </c>
      <c r="BG37" s="568">
        <f t="shared" ref="BG37:BG56" si="61">IFERROR(BD37/W37,0)</f>
        <v>15.012291044442794</v>
      </c>
      <c r="BH37" s="569">
        <f t="shared" ref="BH37:BH56" si="62">IFERROR(BE37/X37,0)</f>
        <v>0</v>
      </c>
      <c r="BI37" s="570">
        <f t="shared" ref="BI37:BI56" si="63">IFERROR(BF37/Y37,0)</f>
        <v>0</v>
      </c>
      <c r="BJ37" s="285"/>
      <c r="BK37" s="352"/>
      <c r="BL37" s="567" t="s">
        <v>61</v>
      </c>
      <c r="BM37" s="568">
        <f>M117/1000</f>
        <v>0</v>
      </c>
      <c r="BN37" s="561">
        <f>BM37*$AN$23</f>
        <v>0</v>
      </c>
      <c r="BO37" s="562">
        <f t="shared" si="52"/>
        <v>0</v>
      </c>
      <c r="BP37" s="562">
        <f t="shared" si="53"/>
        <v>0</v>
      </c>
      <c r="BQ37" s="568">
        <f t="shared" si="37"/>
        <v>0</v>
      </c>
      <c r="BR37" s="569">
        <f t="shared" si="38"/>
        <v>0</v>
      </c>
      <c r="BS37" s="570">
        <f t="shared" si="39"/>
        <v>0</v>
      </c>
      <c r="BT37" s="568">
        <f t="shared" ref="BT37:BT56" si="64">IFERROR(BQ37/W37,0)</f>
        <v>0</v>
      </c>
      <c r="BU37" s="569">
        <f t="shared" ref="BU37:BU56" si="65">IFERROR(BR37/X37,0)</f>
        <v>0</v>
      </c>
      <c r="BV37" s="570">
        <f t="shared" ref="BV37:BV56" si="66">IFERROR(BS37/Y37,0)</f>
        <v>0</v>
      </c>
    </row>
    <row r="38" spans="3:78" ht="12.75" customHeight="1">
      <c r="C38" s="173" t="str">
        <f ca="1">+IF(OFFSET(Processes!B19,$D$11,0)="*","*",OFFSET(Processes!D19,$D$11,0))</f>
        <v>INDSDCOBNGAE1</v>
      </c>
      <c r="D38" s="173" t="str">
        <f ca="1">+OFFSET(Processes!E19,$D$11,0)</f>
        <v>Iron &amp; Steel  Heat High Temp. Boiler - Nat. Gas Existing 1</v>
      </c>
      <c r="E38" s="172" t="str">
        <f>+Processes!O19</f>
        <v>INDSNG1,INDSNG2,INDNGA</v>
      </c>
      <c r="F38" s="172" t="str">
        <f ca="1">+OFFSET(Processes!$M$12,$D$11,0) &amp; Processes!P19</f>
        <v>ISDCO</v>
      </c>
      <c r="G38" s="322">
        <f t="shared" si="14"/>
        <v>0</v>
      </c>
      <c r="H38" s="322">
        <f t="shared" si="15"/>
        <v>0</v>
      </c>
      <c r="I38" s="322">
        <f t="shared" si="16"/>
        <v>0</v>
      </c>
      <c r="J38" s="322">
        <f t="shared" si="17"/>
        <v>0</v>
      </c>
      <c r="K38" s="322">
        <f t="shared" si="18"/>
        <v>0</v>
      </c>
      <c r="L38" s="322">
        <f t="shared" si="19"/>
        <v>0</v>
      </c>
      <c r="M38" s="322">
        <f t="shared" si="20"/>
        <v>0</v>
      </c>
      <c r="N38" s="322">
        <f t="shared" si="21"/>
        <v>0</v>
      </c>
      <c r="O38" s="322">
        <f t="shared" si="22"/>
        <v>0</v>
      </c>
      <c r="P38" s="322">
        <f t="shared" si="23"/>
        <v>0</v>
      </c>
      <c r="Q38" s="322">
        <f t="shared" si="24"/>
        <v>0</v>
      </c>
      <c r="R38" s="322">
        <f t="shared" si="25"/>
        <v>0</v>
      </c>
      <c r="S38" s="323">
        <f t="shared" si="1"/>
        <v>0</v>
      </c>
      <c r="T38" s="323">
        <f t="shared" si="2"/>
        <v>0</v>
      </c>
      <c r="U38" s="323">
        <f t="shared" si="3"/>
        <v>0</v>
      </c>
      <c r="V38" s="323">
        <v>5</v>
      </c>
      <c r="W38" s="343">
        <f>I132</f>
        <v>0.96039999999999992</v>
      </c>
      <c r="X38" s="522">
        <f t="shared" si="55"/>
        <v>0.96039999999999992</v>
      </c>
      <c r="Y38" s="522">
        <f t="shared" si="55"/>
        <v>0.96039999999999992</v>
      </c>
      <c r="Z38" s="177">
        <f t="shared" si="56"/>
        <v>3.1536000000000002E-2</v>
      </c>
      <c r="AA38" s="392">
        <f t="shared" si="45"/>
        <v>0.5</v>
      </c>
      <c r="AB38" s="280">
        <v>20</v>
      </c>
      <c r="AC38" s="272"/>
      <c r="AD38" s="272"/>
      <c r="AE38" s="275"/>
      <c r="AF38" s="285"/>
      <c r="AG38" s="236">
        <f t="shared" si="5"/>
        <v>0</v>
      </c>
      <c r="AH38" s="236">
        <f t="shared" si="6"/>
        <v>0</v>
      </c>
      <c r="AI38" s="236">
        <f t="shared" si="7"/>
        <v>0</v>
      </c>
      <c r="AK38" s="530" t="str">
        <f ca="1">F38</f>
        <v>ISDCO</v>
      </c>
      <c r="AL38" s="571" t="s">
        <v>97</v>
      </c>
      <c r="AM38" s="572">
        <f>I78/1000</f>
        <v>0</v>
      </c>
      <c r="AN38" s="565">
        <f t="shared" si="46"/>
        <v>0</v>
      </c>
      <c r="AO38" s="565">
        <f>AM38*(1-$AN$23)</f>
        <v>0</v>
      </c>
      <c r="AP38" s="565"/>
      <c r="AQ38" s="564">
        <f t="shared" si="27"/>
        <v>0</v>
      </c>
      <c r="AR38" s="565">
        <f t="shared" si="28"/>
        <v>0</v>
      </c>
      <c r="AS38" s="573">
        <f t="shared" si="29"/>
        <v>0</v>
      </c>
      <c r="AT38" s="572">
        <f t="shared" si="58"/>
        <v>0</v>
      </c>
      <c r="AU38" s="574">
        <f t="shared" si="58"/>
        <v>0</v>
      </c>
      <c r="AV38" s="575">
        <f t="shared" si="58"/>
        <v>0</v>
      </c>
      <c r="AW38" s="285"/>
      <c r="AX38" s="530" t="str">
        <f t="shared" ca="1" si="9"/>
        <v>ISDCO</v>
      </c>
      <c r="AY38" s="571" t="s">
        <v>97</v>
      </c>
      <c r="AZ38" s="572">
        <f>I98/1000</f>
        <v>0</v>
      </c>
      <c r="BA38" s="565">
        <f>AZ38*$AN$23</f>
        <v>0</v>
      </c>
      <c r="BB38" s="565">
        <f t="shared" si="59"/>
        <v>0</v>
      </c>
      <c r="BC38" s="565">
        <f t="shared" si="60"/>
        <v>0</v>
      </c>
      <c r="BD38" s="572">
        <f t="shared" si="32"/>
        <v>0</v>
      </c>
      <c r="BE38" s="574">
        <f t="shared" si="33"/>
        <v>0</v>
      </c>
      <c r="BF38" s="575">
        <f t="shared" si="34"/>
        <v>0</v>
      </c>
      <c r="BG38" s="572">
        <f t="shared" si="61"/>
        <v>0</v>
      </c>
      <c r="BH38" s="574">
        <f t="shared" si="62"/>
        <v>0</v>
      </c>
      <c r="BI38" s="575">
        <f t="shared" si="63"/>
        <v>0</v>
      </c>
      <c r="BJ38" s="285"/>
      <c r="BK38" s="530" t="str">
        <f ca="1">AK38</f>
        <v>ISDCO</v>
      </c>
      <c r="BL38" s="571" t="s">
        <v>97</v>
      </c>
      <c r="BM38" s="572">
        <f>I118/1000</f>
        <v>0</v>
      </c>
      <c r="BN38" s="565">
        <f>BM38*$AN$23</f>
        <v>0</v>
      </c>
      <c r="BO38" s="565">
        <f t="shared" si="52"/>
        <v>0</v>
      </c>
      <c r="BP38" s="565">
        <f t="shared" si="53"/>
        <v>0</v>
      </c>
      <c r="BQ38" s="572">
        <f t="shared" si="37"/>
        <v>0</v>
      </c>
      <c r="BR38" s="574">
        <f t="shared" si="38"/>
        <v>0</v>
      </c>
      <c r="BS38" s="575">
        <f t="shared" si="39"/>
        <v>0</v>
      </c>
      <c r="BT38" s="572">
        <f t="shared" si="64"/>
        <v>0</v>
      </c>
      <c r="BU38" s="574">
        <f t="shared" si="65"/>
        <v>0</v>
      </c>
      <c r="BV38" s="575">
        <f t="shared" si="66"/>
        <v>0</v>
      </c>
    </row>
    <row r="39" spans="3:78" ht="12.75" customHeight="1">
      <c r="C39" s="173" t="str">
        <f ca="1">+IF(OFFSET(Processes!B20,$D$11,0)="*","*",OFFSET(Processes!D20,$D$11,0))</f>
        <v>INDSDCOBCOAE1</v>
      </c>
      <c r="D39" s="173" t="str">
        <f ca="1">+OFFSET(Processes!E20,$D$11,0)</f>
        <v>Iron &amp; Steel  Heat High Temp. Boiler - Coal Existing 1</v>
      </c>
      <c r="E39" s="172" t="str">
        <f>+Processes!O20</f>
        <v>INDCOA</v>
      </c>
      <c r="F39" s="172" t="str">
        <f ca="1">+OFFSET(Processes!$M$12,$D$11,0) &amp; Processes!P20</f>
        <v>ISDCO</v>
      </c>
      <c r="G39" s="322">
        <f t="shared" si="14"/>
        <v>0</v>
      </c>
      <c r="H39" s="322">
        <f t="shared" si="15"/>
        <v>0</v>
      </c>
      <c r="I39" s="322">
        <f t="shared" si="16"/>
        <v>0</v>
      </c>
      <c r="J39" s="322">
        <f t="shared" si="17"/>
        <v>0</v>
      </c>
      <c r="K39" s="322">
        <f t="shared" si="18"/>
        <v>0</v>
      </c>
      <c r="L39" s="322">
        <f t="shared" si="19"/>
        <v>0</v>
      </c>
      <c r="M39" s="322">
        <f t="shared" si="20"/>
        <v>0</v>
      </c>
      <c r="N39" s="322">
        <f t="shared" si="21"/>
        <v>0</v>
      </c>
      <c r="O39" s="322">
        <f t="shared" si="22"/>
        <v>0</v>
      </c>
      <c r="P39" s="322">
        <f t="shared" si="23"/>
        <v>0</v>
      </c>
      <c r="Q39" s="322">
        <f t="shared" si="24"/>
        <v>0</v>
      </c>
      <c r="R39" s="322">
        <f t="shared" si="25"/>
        <v>0</v>
      </c>
      <c r="S39" s="322">
        <f t="shared" si="1"/>
        <v>0</v>
      </c>
      <c r="T39" s="322">
        <f t="shared" si="2"/>
        <v>0</v>
      </c>
      <c r="U39" s="322">
        <f t="shared" si="3"/>
        <v>0</v>
      </c>
      <c r="V39" s="322">
        <v>5</v>
      </c>
      <c r="W39" s="343">
        <f>D132</f>
        <v>0.91237999999999997</v>
      </c>
      <c r="X39" s="522">
        <f t="shared" si="55"/>
        <v>0.91237999999999997</v>
      </c>
      <c r="Y39" s="522">
        <f t="shared" si="55"/>
        <v>0.91237999999999997</v>
      </c>
      <c r="Z39" s="177">
        <f t="shared" si="56"/>
        <v>3.1536000000000002E-2</v>
      </c>
      <c r="AA39" s="390">
        <f t="shared" si="45"/>
        <v>0.5</v>
      </c>
      <c r="AB39" s="278">
        <v>20</v>
      </c>
      <c r="AC39" s="271"/>
      <c r="AD39" s="271"/>
      <c r="AE39" s="275"/>
      <c r="AF39" s="285"/>
      <c r="AG39" s="236">
        <f t="shared" si="5"/>
        <v>0</v>
      </c>
      <c r="AH39" s="236">
        <f t="shared" si="6"/>
        <v>0</v>
      </c>
      <c r="AI39" s="236">
        <f t="shared" si="7"/>
        <v>0</v>
      </c>
      <c r="AK39" s="290"/>
      <c r="AL39" s="559" t="s">
        <v>98</v>
      </c>
      <c r="AM39" s="560">
        <f>D78/1000</f>
        <v>0</v>
      </c>
      <c r="AN39" s="562">
        <f t="shared" si="46"/>
        <v>0</v>
      </c>
      <c r="AO39" s="562">
        <f>AM39*(1-$AN$23)</f>
        <v>0</v>
      </c>
      <c r="AP39" s="562"/>
      <c r="AQ39" s="582">
        <f t="shared" si="27"/>
        <v>0</v>
      </c>
      <c r="AR39" s="562">
        <f t="shared" si="28"/>
        <v>0</v>
      </c>
      <c r="AS39" s="563">
        <f t="shared" si="29"/>
        <v>0</v>
      </c>
      <c r="AT39" s="560">
        <f t="shared" si="58"/>
        <v>0</v>
      </c>
      <c r="AU39" s="561">
        <f t="shared" si="58"/>
        <v>0</v>
      </c>
      <c r="AV39" s="566">
        <f t="shared" si="58"/>
        <v>0</v>
      </c>
      <c r="AW39" s="285"/>
      <c r="AX39" s="290"/>
      <c r="AY39" s="559" t="s">
        <v>98</v>
      </c>
      <c r="AZ39" s="560">
        <f>D98/1000</f>
        <v>0</v>
      </c>
      <c r="BA39" s="562">
        <f>AZ39*$AN$23</f>
        <v>0</v>
      </c>
      <c r="BB39" s="562">
        <f t="shared" si="59"/>
        <v>0</v>
      </c>
      <c r="BC39" s="562">
        <f t="shared" si="60"/>
        <v>0</v>
      </c>
      <c r="BD39" s="560">
        <f t="shared" si="32"/>
        <v>0</v>
      </c>
      <c r="BE39" s="561">
        <f t="shared" si="33"/>
        <v>0</v>
      </c>
      <c r="BF39" s="566">
        <f t="shared" si="34"/>
        <v>0</v>
      </c>
      <c r="BG39" s="560">
        <f t="shared" si="61"/>
        <v>0</v>
      </c>
      <c r="BH39" s="561">
        <f t="shared" si="62"/>
        <v>0</v>
      </c>
      <c r="BI39" s="566">
        <f t="shared" si="63"/>
        <v>0</v>
      </c>
      <c r="BJ39" s="285"/>
      <c r="BK39" s="290"/>
      <c r="BL39" s="559" t="s">
        <v>98</v>
      </c>
      <c r="BM39" s="560">
        <f>D118/1000</f>
        <v>0</v>
      </c>
      <c r="BN39" s="562">
        <f>BM39*$AN$23</f>
        <v>0</v>
      </c>
      <c r="BO39" s="562">
        <f t="shared" si="52"/>
        <v>0</v>
      </c>
      <c r="BP39" s="562">
        <f t="shared" si="53"/>
        <v>0</v>
      </c>
      <c r="BQ39" s="560">
        <f t="shared" si="37"/>
        <v>0</v>
      </c>
      <c r="BR39" s="561">
        <f t="shared" si="38"/>
        <v>0</v>
      </c>
      <c r="BS39" s="566">
        <f t="shared" si="39"/>
        <v>0</v>
      </c>
      <c r="BT39" s="560">
        <f t="shared" si="64"/>
        <v>0</v>
      </c>
      <c r="BU39" s="561">
        <f t="shared" si="65"/>
        <v>0</v>
      </c>
      <c r="BV39" s="566">
        <f t="shared" si="66"/>
        <v>0</v>
      </c>
    </row>
    <row r="40" spans="3:78" ht="12.75" customHeight="1">
      <c r="C40" s="173" t="str">
        <f ca="1">+IF(OFFSET(Processes!B21,$D$11,0)="*","*",OFFSET(Processes!D21,$D$11,0))</f>
        <v>INDSDCOBDSLE1</v>
      </c>
      <c r="D40" s="173" t="str">
        <f ca="1">+OFFSET(Processes!E21,$D$11,0)</f>
        <v>Iron &amp; Steel  Heat High Temp. Boiler - Diesel Existing 1</v>
      </c>
      <c r="E40" s="172" t="str">
        <f>+Processes!O21</f>
        <v>INDDSB1,INDDSB2,INDDSL</v>
      </c>
      <c r="F40" s="172" t="str">
        <f ca="1">+OFFSET(Processes!$M$12,$D$11,0) &amp; Processes!P21</f>
        <v>ISDCO</v>
      </c>
      <c r="G40" s="322">
        <f t="shared" si="14"/>
        <v>0</v>
      </c>
      <c r="H40" s="322">
        <f t="shared" si="15"/>
        <v>0</v>
      </c>
      <c r="I40" s="322">
        <f t="shared" si="16"/>
        <v>0</v>
      </c>
      <c r="J40" s="322">
        <f t="shared" si="17"/>
        <v>0</v>
      </c>
      <c r="K40" s="322">
        <f t="shared" si="18"/>
        <v>0</v>
      </c>
      <c r="L40" s="322">
        <f t="shared" si="19"/>
        <v>0</v>
      </c>
      <c r="M40" s="322">
        <f t="shared" si="20"/>
        <v>0</v>
      </c>
      <c r="N40" s="322">
        <f t="shared" si="21"/>
        <v>0</v>
      </c>
      <c r="O40" s="322">
        <f t="shared" si="22"/>
        <v>0</v>
      </c>
      <c r="P40" s="322">
        <f t="shared" si="23"/>
        <v>0</v>
      </c>
      <c r="Q40" s="322">
        <f t="shared" si="24"/>
        <v>0</v>
      </c>
      <c r="R40" s="322">
        <f t="shared" si="25"/>
        <v>0</v>
      </c>
      <c r="S40" s="322">
        <f t="shared" si="1"/>
        <v>0</v>
      </c>
      <c r="T40" s="322">
        <f t="shared" si="2"/>
        <v>0</v>
      </c>
      <c r="U40" s="322">
        <f t="shared" si="3"/>
        <v>0</v>
      </c>
      <c r="V40" s="322">
        <v>5</v>
      </c>
      <c r="W40" s="343">
        <f>F132</f>
        <v>0.92198399999999991</v>
      </c>
      <c r="X40" s="522">
        <f t="shared" si="55"/>
        <v>0.92198399999999991</v>
      </c>
      <c r="Y40" s="522">
        <f t="shared" si="55"/>
        <v>0.92198399999999991</v>
      </c>
      <c r="Z40" s="177">
        <f t="shared" si="56"/>
        <v>3.1536000000000002E-2</v>
      </c>
      <c r="AA40" s="392">
        <f t="shared" si="45"/>
        <v>0.5</v>
      </c>
      <c r="AB40" s="280">
        <v>20</v>
      </c>
      <c r="AC40" s="271"/>
      <c r="AD40" s="271"/>
      <c r="AE40" s="275"/>
      <c r="AF40" s="285"/>
      <c r="AG40" s="236">
        <f t="shared" si="5"/>
        <v>0</v>
      </c>
      <c r="AH40" s="236">
        <f t="shared" si="6"/>
        <v>0</v>
      </c>
      <c r="AI40" s="236">
        <f t="shared" si="7"/>
        <v>0</v>
      </c>
      <c r="AK40" s="290"/>
      <c r="AL40" s="559" t="s">
        <v>59</v>
      </c>
      <c r="AM40" s="560">
        <f>F78/1000</f>
        <v>0</v>
      </c>
      <c r="AN40" s="562">
        <f t="shared" si="46"/>
        <v>0</v>
      </c>
      <c r="AO40" s="562">
        <f>AM40*(1-$AN$23)</f>
        <v>0</v>
      </c>
      <c r="AP40" s="562"/>
      <c r="AQ40" s="582">
        <f t="shared" si="27"/>
        <v>0</v>
      </c>
      <c r="AR40" s="562">
        <f t="shared" si="28"/>
        <v>0</v>
      </c>
      <c r="AS40" s="563">
        <f t="shared" si="29"/>
        <v>0</v>
      </c>
      <c r="AT40" s="560">
        <f t="shared" si="58"/>
        <v>0</v>
      </c>
      <c r="AU40" s="561">
        <f t="shared" si="58"/>
        <v>0</v>
      </c>
      <c r="AV40" s="566">
        <f t="shared" si="58"/>
        <v>0</v>
      </c>
      <c r="AW40" s="285"/>
      <c r="AX40" s="290"/>
      <c r="AY40" s="559" t="s">
        <v>59</v>
      </c>
      <c r="AZ40" s="560">
        <f>F98/1000</f>
        <v>0</v>
      </c>
      <c r="BA40" s="562">
        <f>AZ40*$AN$23</f>
        <v>0</v>
      </c>
      <c r="BB40" s="562">
        <f t="shared" si="59"/>
        <v>0</v>
      </c>
      <c r="BC40" s="562">
        <f t="shared" si="60"/>
        <v>0</v>
      </c>
      <c r="BD40" s="560">
        <f t="shared" si="32"/>
        <v>0</v>
      </c>
      <c r="BE40" s="561">
        <f t="shared" si="33"/>
        <v>0</v>
      </c>
      <c r="BF40" s="566">
        <f t="shared" si="34"/>
        <v>0</v>
      </c>
      <c r="BG40" s="560">
        <f t="shared" si="61"/>
        <v>0</v>
      </c>
      <c r="BH40" s="561">
        <f t="shared" si="62"/>
        <v>0</v>
      </c>
      <c r="BI40" s="566">
        <f t="shared" si="63"/>
        <v>0</v>
      </c>
      <c r="BJ40" s="285"/>
      <c r="BK40" s="290"/>
      <c r="BL40" s="559" t="s">
        <v>59</v>
      </c>
      <c r="BM40" s="560">
        <f>F118/1000</f>
        <v>0</v>
      </c>
      <c r="BN40" s="562">
        <f>BM40*$AN$23</f>
        <v>0</v>
      </c>
      <c r="BO40" s="562">
        <f t="shared" si="52"/>
        <v>0</v>
      </c>
      <c r="BP40" s="562">
        <f t="shared" si="53"/>
        <v>0</v>
      </c>
      <c r="BQ40" s="560">
        <f t="shared" si="37"/>
        <v>0</v>
      </c>
      <c r="BR40" s="561">
        <f t="shared" si="38"/>
        <v>0</v>
      </c>
      <c r="BS40" s="566">
        <f t="shared" si="39"/>
        <v>0</v>
      </c>
      <c r="BT40" s="560">
        <f t="shared" si="64"/>
        <v>0</v>
      </c>
      <c r="BU40" s="561">
        <f t="shared" si="65"/>
        <v>0</v>
      </c>
      <c r="BV40" s="566">
        <f t="shared" si="66"/>
        <v>0</v>
      </c>
    </row>
    <row r="41" spans="3:78" ht="12.75" customHeight="1">
      <c r="C41" s="173" t="str">
        <f ca="1">+IF(OFFSET(Processes!B22,$D$11,0)="*","*",OFFSET(Processes!D22,$D$11,0))</f>
        <v>INDSDCOBWPEE1</v>
      </c>
      <c r="D41" s="173" t="str">
        <f ca="1">+OFFSET(Processes!E22,$D$11,0)</f>
        <v>Iron &amp; Steel  Heat High Temp. Boiler - Wood Pellets Existing 1</v>
      </c>
      <c r="E41" s="172" t="str">
        <f>+Processes!O22</f>
        <v>INDWPE</v>
      </c>
      <c r="F41" s="172" t="str">
        <f ca="1">+OFFSET(Processes!$M$12,$D$11,0) &amp; Processes!P22</f>
        <v>ISDCO</v>
      </c>
      <c r="G41" s="321">
        <f t="shared" si="14"/>
        <v>0</v>
      </c>
      <c r="H41" s="321">
        <f t="shared" si="15"/>
        <v>0</v>
      </c>
      <c r="I41" s="321">
        <f t="shared" si="16"/>
        <v>0</v>
      </c>
      <c r="J41" s="321">
        <f t="shared" si="17"/>
        <v>0</v>
      </c>
      <c r="K41" s="321">
        <f t="shared" si="18"/>
        <v>0</v>
      </c>
      <c r="L41" s="321">
        <f t="shared" si="19"/>
        <v>0</v>
      </c>
      <c r="M41" s="321">
        <f t="shared" si="20"/>
        <v>0</v>
      </c>
      <c r="N41" s="321">
        <f t="shared" si="21"/>
        <v>0</v>
      </c>
      <c r="O41" s="321">
        <f t="shared" si="22"/>
        <v>0</v>
      </c>
      <c r="P41" s="321">
        <f t="shared" si="23"/>
        <v>0</v>
      </c>
      <c r="Q41" s="321">
        <f t="shared" si="24"/>
        <v>0</v>
      </c>
      <c r="R41" s="321">
        <f t="shared" si="25"/>
        <v>0</v>
      </c>
      <c r="S41" s="321">
        <f t="shared" si="1"/>
        <v>0</v>
      </c>
      <c r="T41" s="321">
        <f t="shared" si="2"/>
        <v>0</v>
      </c>
      <c r="U41" s="321">
        <f t="shared" si="3"/>
        <v>0</v>
      </c>
      <c r="V41" s="321">
        <v>5</v>
      </c>
      <c r="W41" s="343">
        <f>K132</f>
        <v>0.81633999999999995</v>
      </c>
      <c r="X41" s="522">
        <f t="shared" si="55"/>
        <v>0.81633999999999995</v>
      </c>
      <c r="Y41" s="522">
        <f t="shared" si="55"/>
        <v>0.81633999999999995</v>
      </c>
      <c r="Z41" s="177">
        <f t="shared" si="56"/>
        <v>3.1536000000000002E-2</v>
      </c>
      <c r="AA41" s="392">
        <f t="shared" si="45"/>
        <v>0.5</v>
      </c>
      <c r="AB41" s="280">
        <v>20</v>
      </c>
      <c r="AC41" s="319">
        <v>0.5</v>
      </c>
      <c r="AD41" s="319">
        <v>0.5</v>
      </c>
      <c r="AE41" s="273">
        <v>5</v>
      </c>
      <c r="AF41" s="285"/>
      <c r="AG41" s="236">
        <f t="shared" si="5"/>
        <v>0</v>
      </c>
      <c r="AH41" s="236">
        <f t="shared" si="6"/>
        <v>0</v>
      </c>
      <c r="AI41" s="236">
        <f t="shared" si="7"/>
        <v>0</v>
      </c>
      <c r="AK41" s="290"/>
      <c r="AL41" s="559" t="s">
        <v>99</v>
      </c>
      <c r="AM41" s="560">
        <f>K78/1000</f>
        <v>0</v>
      </c>
      <c r="AN41" s="562">
        <f t="shared" si="46"/>
        <v>0</v>
      </c>
      <c r="AO41" s="562">
        <f>AM41*(1-$AN$23)</f>
        <v>0</v>
      </c>
      <c r="AP41" s="562"/>
      <c r="AQ41" s="582">
        <f t="shared" si="27"/>
        <v>0</v>
      </c>
      <c r="AR41" s="562">
        <f t="shared" si="28"/>
        <v>0</v>
      </c>
      <c r="AS41" s="563">
        <f t="shared" si="29"/>
        <v>0</v>
      </c>
      <c r="AT41" s="560">
        <f t="shared" si="58"/>
        <v>0</v>
      </c>
      <c r="AU41" s="561">
        <f t="shared" si="58"/>
        <v>0</v>
      </c>
      <c r="AV41" s="566">
        <f t="shared" si="58"/>
        <v>0</v>
      </c>
      <c r="AW41" s="285"/>
      <c r="AX41" s="290"/>
      <c r="AY41" s="559" t="s">
        <v>99</v>
      </c>
      <c r="AZ41" s="560">
        <f>K98/1000</f>
        <v>0</v>
      </c>
      <c r="BA41" s="562">
        <f>AZ41*$AN$23</f>
        <v>0</v>
      </c>
      <c r="BB41" s="562">
        <f t="shared" si="59"/>
        <v>0</v>
      </c>
      <c r="BC41" s="562">
        <f t="shared" si="60"/>
        <v>0</v>
      </c>
      <c r="BD41" s="560">
        <f t="shared" si="32"/>
        <v>0</v>
      </c>
      <c r="BE41" s="561">
        <f t="shared" si="33"/>
        <v>0</v>
      </c>
      <c r="BF41" s="566">
        <f t="shared" si="34"/>
        <v>0</v>
      </c>
      <c r="BG41" s="560">
        <f t="shared" si="61"/>
        <v>0</v>
      </c>
      <c r="BH41" s="561">
        <f t="shared" si="62"/>
        <v>0</v>
      </c>
      <c r="BI41" s="566">
        <f t="shared" si="63"/>
        <v>0</v>
      </c>
      <c r="BJ41" s="285"/>
      <c r="BK41" s="290"/>
      <c r="BL41" s="559" t="s">
        <v>99</v>
      </c>
      <c r="BM41" s="560">
        <f>K118/1000</f>
        <v>0</v>
      </c>
      <c r="BN41" s="562">
        <f>BM41*$AN$23</f>
        <v>0</v>
      </c>
      <c r="BO41" s="562">
        <f t="shared" si="52"/>
        <v>0</v>
      </c>
      <c r="BP41" s="562">
        <f t="shared" si="53"/>
        <v>0</v>
      </c>
      <c r="BQ41" s="560">
        <f t="shared" si="37"/>
        <v>0</v>
      </c>
      <c r="BR41" s="561">
        <f t="shared" si="38"/>
        <v>0</v>
      </c>
      <c r="BS41" s="566">
        <f t="shared" si="39"/>
        <v>0</v>
      </c>
      <c r="BT41" s="560">
        <f t="shared" si="64"/>
        <v>0</v>
      </c>
      <c r="BU41" s="561">
        <f t="shared" si="65"/>
        <v>0</v>
      </c>
      <c r="BV41" s="566">
        <f t="shared" si="66"/>
        <v>0</v>
      </c>
    </row>
    <row r="42" spans="3:78" ht="12.75" customHeight="1">
      <c r="C42" s="173"/>
      <c r="D42" s="173"/>
      <c r="E42" s="172" t="str">
        <f>+Processes!O23</f>
        <v>INDWCH</v>
      </c>
      <c r="F42" s="172"/>
      <c r="G42" s="321"/>
      <c r="H42" s="321"/>
      <c r="I42" s="321"/>
      <c r="J42" s="321"/>
      <c r="K42" s="321"/>
      <c r="L42" s="321"/>
      <c r="M42" s="321"/>
      <c r="N42" s="321"/>
      <c r="O42" s="321"/>
      <c r="P42" s="321">
        <f t="shared" si="23"/>
        <v>0</v>
      </c>
      <c r="Q42" s="321">
        <f t="shared" si="24"/>
        <v>0</v>
      </c>
      <c r="R42" s="321">
        <f t="shared" si="25"/>
        <v>0</v>
      </c>
      <c r="S42" s="321">
        <f t="shared" si="1"/>
        <v>0</v>
      </c>
      <c r="T42" s="321">
        <f t="shared" si="2"/>
        <v>0</v>
      </c>
      <c r="U42" s="321">
        <f t="shared" si="3"/>
        <v>0</v>
      </c>
      <c r="V42" s="321" t="str">
        <f>IF(S42&gt;0,0.001,"")</f>
        <v/>
      </c>
      <c r="W42" s="343"/>
      <c r="X42" s="522"/>
      <c r="Y42" s="522"/>
      <c r="Z42" s="177"/>
      <c r="AA42" s="392"/>
      <c r="AB42" s="280"/>
      <c r="AC42" s="319">
        <f>1-AC41</f>
        <v>0.5</v>
      </c>
      <c r="AD42" s="319">
        <f>1-AD41</f>
        <v>0.5</v>
      </c>
      <c r="AE42" s="273">
        <v>5</v>
      </c>
      <c r="AF42" s="285"/>
      <c r="AG42" s="236"/>
      <c r="AH42" s="236"/>
      <c r="AI42" s="236"/>
      <c r="AK42" s="290"/>
      <c r="AL42" s="559" t="s">
        <v>107</v>
      </c>
      <c r="AM42" s="560"/>
      <c r="AN42" s="562"/>
      <c r="AO42" s="562"/>
      <c r="AP42" s="562"/>
      <c r="AQ42" s="582">
        <f t="shared" si="27"/>
        <v>0</v>
      </c>
      <c r="AR42" s="562">
        <f t="shared" si="28"/>
        <v>0</v>
      </c>
      <c r="AS42" s="563">
        <f t="shared" si="29"/>
        <v>0</v>
      </c>
      <c r="AT42" s="560"/>
      <c r="AU42" s="561"/>
      <c r="AV42" s="566"/>
      <c r="AW42" s="285"/>
      <c r="AX42" s="290"/>
      <c r="AY42" s="559" t="s">
        <v>107</v>
      </c>
      <c r="AZ42" s="560"/>
      <c r="BA42" s="562"/>
      <c r="BB42" s="562">
        <f t="shared" si="59"/>
        <v>0</v>
      </c>
      <c r="BC42" s="562">
        <f t="shared" si="60"/>
        <v>0</v>
      </c>
      <c r="BD42" s="560">
        <f t="shared" si="32"/>
        <v>0</v>
      </c>
      <c r="BE42" s="561">
        <f t="shared" si="33"/>
        <v>0</v>
      </c>
      <c r="BF42" s="566">
        <f t="shared" si="34"/>
        <v>0</v>
      </c>
      <c r="BG42" s="560">
        <f t="shared" si="61"/>
        <v>0</v>
      </c>
      <c r="BH42" s="561">
        <f t="shared" si="62"/>
        <v>0</v>
      </c>
      <c r="BI42" s="566">
        <f t="shared" si="63"/>
        <v>0</v>
      </c>
      <c r="BJ42" s="285"/>
      <c r="BK42" s="290"/>
      <c r="BL42" s="559" t="s">
        <v>107</v>
      </c>
      <c r="BM42" s="560"/>
      <c r="BN42" s="562"/>
      <c r="BO42" s="562">
        <f t="shared" si="52"/>
        <v>0</v>
      </c>
      <c r="BP42" s="562">
        <f t="shared" si="53"/>
        <v>0</v>
      </c>
      <c r="BQ42" s="560">
        <f t="shared" si="37"/>
        <v>0</v>
      </c>
      <c r="BR42" s="561">
        <f t="shared" si="38"/>
        <v>0</v>
      </c>
      <c r="BS42" s="566">
        <f t="shared" si="39"/>
        <v>0</v>
      </c>
      <c r="BT42" s="560">
        <f t="shared" si="64"/>
        <v>0</v>
      </c>
      <c r="BU42" s="561">
        <f t="shared" si="65"/>
        <v>0</v>
      </c>
      <c r="BV42" s="566">
        <f t="shared" si="66"/>
        <v>0</v>
      </c>
    </row>
    <row r="43" spans="3:78" ht="12.75" customHeight="1">
      <c r="C43" s="173" t="str">
        <f ca="1">+IF(OFFSET(Processes!B24,$D$11,0)="*","*",OFFSET(Processes!D24,$D$11,0))</f>
        <v>INDSDCOBHFOE1</v>
      </c>
      <c r="D43" s="173" t="str">
        <f ca="1">+OFFSET(Processes!E24,$D$11,0)</f>
        <v>Iron &amp; Steel  Heat High Temp. Boiler - Heavy Fuel Oil Existing 1</v>
      </c>
      <c r="E43" s="172" t="str">
        <f>+Processes!O24</f>
        <v>INDHFO</v>
      </c>
      <c r="F43" s="172" t="str">
        <f ca="1">+OFFSET(Processes!$M$12,$D$11,0) &amp; Processes!P24</f>
        <v>ISDCO</v>
      </c>
      <c r="G43" s="322">
        <f t="shared" si="14"/>
        <v>0</v>
      </c>
      <c r="H43" s="322">
        <f t="shared" si="15"/>
        <v>0</v>
      </c>
      <c r="I43" s="322">
        <f t="shared" si="16"/>
        <v>0</v>
      </c>
      <c r="J43" s="322">
        <f t="shared" si="17"/>
        <v>0</v>
      </c>
      <c r="K43" s="322">
        <f t="shared" si="18"/>
        <v>0</v>
      </c>
      <c r="L43" s="322">
        <f t="shared" si="19"/>
        <v>0</v>
      </c>
      <c r="M43" s="322">
        <f t="shared" si="20"/>
        <v>0</v>
      </c>
      <c r="N43" s="322">
        <f t="shared" si="21"/>
        <v>0</v>
      </c>
      <c r="O43" s="322">
        <f t="shared" si="22"/>
        <v>0</v>
      </c>
      <c r="P43" s="322">
        <f t="shared" si="23"/>
        <v>0</v>
      </c>
      <c r="Q43" s="322">
        <f t="shared" si="24"/>
        <v>0</v>
      </c>
      <c r="R43" s="322">
        <f t="shared" si="25"/>
        <v>0</v>
      </c>
      <c r="S43" s="322">
        <f t="shared" si="1"/>
        <v>0</v>
      </c>
      <c r="T43" s="322">
        <f t="shared" si="2"/>
        <v>0</v>
      </c>
      <c r="U43" s="322">
        <f t="shared" si="3"/>
        <v>0</v>
      </c>
      <c r="V43" s="322">
        <v>5</v>
      </c>
      <c r="W43" s="343">
        <f>E132</f>
        <v>0.91237999999999997</v>
      </c>
      <c r="X43" s="522">
        <f t="shared" ref="X43:Y50" si="67">W43</f>
        <v>0.91237999999999997</v>
      </c>
      <c r="Y43" s="522">
        <f t="shared" si="67"/>
        <v>0.91237999999999997</v>
      </c>
      <c r="Z43" s="177">
        <f t="shared" si="56"/>
        <v>3.1536000000000002E-2</v>
      </c>
      <c r="AA43" s="392">
        <f t="shared" ref="AA43:AA50" si="68">$AA$26</f>
        <v>0.5</v>
      </c>
      <c r="AB43" s="280">
        <v>20</v>
      </c>
      <c r="AC43" s="269"/>
      <c r="AD43" s="269"/>
      <c r="AE43" s="275"/>
      <c r="AF43" s="285"/>
      <c r="AG43" s="236">
        <f t="shared" ref="AG43:AG50" si="69">((G43*Z43*AA43/W43)+(H43*Z43*AA43/X43))/$G$21</f>
        <v>0</v>
      </c>
      <c r="AH43" s="236">
        <f t="shared" ref="AH43:AH50" si="70">((J43*Z43*AA43/W43)+(K43*Z43*AA43/X43))/$J$21</f>
        <v>0</v>
      </c>
      <c r="AI43" s="236">
        <f t="shared" ref="AI43:AI50" si="71">((M43*AA43*Z43/W43)+(N43*Z43*AA43/X43))/$M$21</f>
        <v>0</v>
      </c>
      <c r="AK43" s="290"/>
      <c r="AL43" s="559" t="s">
        <v>101</v>
      </c>
      <c r="AM43" s="560">
        <f>E78/1000</f>
        <v>0</v>
      </c>
      <c r="AN43" s="562">
        <f t="shared" ref="AN43:AN48" si="72">AM43*$AN$23</f>
        <v>0</v>
      </c>
      <c r="AO43" s="562">
        <f>AM43*(1-$AN$23)</f>
        <v>0</v>
      </c>
      <c r="AP43" s="562"/>
      <c r="AQ43" s="582">
        <f t="shared" si="27"/>
        <v>0</v>
      </c>
      <c r="AR43" s="562">
        <f t="shared" si="28"/>
        <v>0</v>
      </c>
      <c r="AS43" s="563">
        <f t="shared" si="29"/>
        <v>0</v>
      </c>
      <c r="AT43" s="560">
        <f t="shared" ref="AT43:AV50" si="73">IFERROR(AQ43/W43,0)</f>
        <v>0</v>
      </c>
      <c r="AU43" s="561">
        <f t="shared" si="73"/>
        <v>0</v>
      </c>
      <c r="AV43" s="566">
        <f t="shared" si="73"/>
        <v>0</v>
      </c>
      <c r="AW43" s="285"/>
      <c r="AX43" s="290"/>
      <c r="AY43" s="559" t="s">
        <v>101</v>
      </c>
      <c r="AZ43" s="560">
        <f>E98/1000</f>
        <v>0</v>
      </c>
      <c r="BA43" s="562">
        <f t="shared" ref="BA43:BA50" si="74">AZ43*$AN$23</f>
        <v>0</v>
      </c>
      <c r="BB43" s="562">
        <f t="shared" si="59"/>
        <v>0</v>
      </c>
      <c r="BC43" s="562">
        <f t="shared" si="60"/>
        <v>0</v>
      </c>
      <c r="BD43" s="560">
        <f t="shared" si="32"/>
        <v>0</v>
      </c>
      <c r="BE43" s="561">
        <f t="shared" si="33"/>
        <v>0</v>
      </c>
      <c r="BF43" s="566">
        <f t="shared" si="34"/>
        <v>0</v>
      </c>
      <c r="BG43" s="560">
        <f t="shared" si="61"/>
        <v>0</v>
      </c>
      <c r="BH43" s="561">
        <f t="shared" si="62"/>
        <v>0</v>
      </c>
      <c r="BI43" s="566">
        <f t="shared" si="63"/>
        <v>0</v>
      </c>
      <c r="BJ43" s="285"/>
      <c r="BK43" s="290"/>
      <c r="BL43" s="559" t="s">
        <v>101</v>
      </c>
      <c r="BM43" s="560">
        <f>E118/1000</f>
        <v>0</v>
      </c>
      <c r="BN43" s="562">
        <f t="shared" ref="BN43:BN50" si="75">BM43*$AN$23</f>
        <v>0</v>
      </c>
      <c r="BO43" s="562">
        <f t="shared" si="52"/>
        <v>0</v>
      </c>
      <c r="BP43" s="562">
        <f t="shared" si="53"/>
        <v>0</v>
      </c>
      <c r="BQ43" s="560">
        <f t="shared" si="37"/>
        <v>0</v>
      </c>
      <c r="BR43" s="561">
        <f t="shared" si="38"/>
        <v>0</v>
      </c>
      <c r="BS43" s="566">
        <f t="shared" si="39"/>
        <v>0</v>
      </c>
      <c r="BT43" s="560">
        <f t="shared" si="64"/>
        <v>0</v>
      </c>
      <c r="BU43" s="561">
        <f t="shared" si="65"/>
        <v>0</v>
      </c>
      <c r="BV43" s="566">
        <f t="shared" si="66"/>
        <v>0</v>
      </c>
      <c r="BX43" s="385"/>
      <c r="BY43" s="385"/>
      <c r="BZ43" s="45"/>
    </row>
    <row r="44" spans="3:78" ht="12.75" customHeight="1">
      <c r="C44" s="173" t="str">
        <f ca="1">+IF(OFFSET(Processes!B25,$D$11,0)="*","*",OFFSET(Processes!D25,$D$11,0))</f>
        <v>INDSDCOBLPGE1</v>
      </c>
      <c r="D44" s="173" t="str">
        <f ca="1">+OFFSET(Processes!E25,$D$11,0)</f>
        <v>Iron &amp; Steel  Heat High Temp. Boiler - Liquified Petroleum Gas Existing 1</v>
      </c>
      <c r="E44" s="172" t="str">
        <f>+Processes!O25</f>
        <v>INDLPG</v>
      </c>
      <c r="F44" s="172" t="str">
        <f ca="1">+OFFSET(Processes!$M$12,$D$11,0) &amp; Processes!P25</f>
        <v>ISDCO</v>
      </c>
      <c r="G44" s="322">
        <f t="shared" si="14"/>
        <v>0</v>
      </c>
      <c r="H44" s="322">
        <f t="shared" si="15"/>
        <v>0</v>
      </c>
      <c r="I44" s="322">
        <f t="shared" si="16"/>
        <v>0</v>
      </c>
      <c r="J44" s="322">
        <f t="shared" si="17"/>
        <v>0</v>
      </c>
      <c r="K44" s="322">
        <f t="shared" si="18"/>
        <v>0</v>
      </c>
      <c r="L44" s="322">
        <f t="shared" si="19"/>
        <v>0</v>
      </c>
      <c r="M44" s="322" t="e">
        <f t="shared" si="20"/>
        <v>#REF!</v>
      </c>
      <c r="N44" s="322" t="e">
        <f t="shared" si="21"/>
        <v>#REF!</v>
      </c>
      <c r="O44" s="322" t="e">
        <f t="shared" si="22"/>
        <v>#REF!</v>
      </c>
      <c r="P44" s="322" t="e">
        <f t="shared" si="23"/>
        <v>#REF!</v>
      </c>
      <c r="Q44" s="322" t="e">
        <f t="shared" si="24"/>
        <v>#REF!</v>
      </c>
      <c r="R44" s="322" t="e">
        <f t="shared" si="25"/>
        <v>#REF!</v>
      </c>
      <c r="S44" s="322" t="e">
        <f t="shared" si="1"/>
        <v>#REF!</v>
      </c>
      <c r="T44" s="322" t="e">
        <f t="shared" si="2"/>
        <v>#REF!</v>
      </c>
      <c r="U44" s="322" t="e">
        <f t="shared" si="3"/>
        <v>#REF!</v>
      </c>
      <c r="V44" s="322">
        <v>5</v>
      </c>
      <c r="W44" s="343">
        <f>H132</f>
        <v>0.96039999999999992</v>
      </c>
      <c r="X44" s="522">
        <f t="shared" si="67"/>
        <v>0.96039999999999992</v>
      </c>
      <c r="Y44" s="522">
        <f t="shared" si="67"/>
        <v>0.96039999999999992</v>
      </c>
      <c r="Z44" s="177">
        <f t="shared" si="56"/>
        <v>3.1536000000000002E-2</v>
      </c>
      <c r="AA44" s="392">
        <f t="shared" si="68"/>
        <v>0.5</v>
      </c>
      <c r="AB44" s="280">
        <v>20</v>
      </c>
      <c r="AC44" s="269"/>
      <c r="AD44" s="269"/>
      <c r="AE44" s="275"/>
      <c r="AF44" s="285"/>
      <c r="AG44" s="236">
        <f t="shared" si="69"/>
        <v>0</v>
      </c>
      <c r="AH44" s="236">
        <f t="shared" si="70"/>
        <v>0</v>
      </c>
      <c r="AI44" s="236" t="e">
        <f t="shared" si="71"/>
        <v>#REF!</v>
      </c>
      <c r="AK44" s="290"/>
      <c r="AL44" s="559" t="s">
        <v>53</v>
      </c>
      <c r="AM44" s="560">
        <f>H78/1000</f>
        <v>0</v>
      </c>
      <c r="AN44" s="562">
        <f t="shared" si="72"/>
        <v>0</v>
      </c>
      <c r="AO44" s="562">
        <f>AM44*(1-$AN$23)</f>
        <v>0</v>
      </c>
      <c r="AP44" s="562"/>
      <c r="AQ44" s="582">
        <f t="shared" si="27"/>
        <v>0</v>
      </c>
      <c r="AR44" s="562">
        <f t="shared" si="28"/>
        <v>0</v>
      </c>
      <c r="AS44" s="563">
        <f t="shared" si="29"/>
        <v>0</v>
      </c>
      <c r="AT44" s="560">
        <f t="shared" si="73"/>
        <v>0</v>
      </c>
      <c r="AU44" s="561">
        <f t="shared" si="73"/>
        <v>0</v>
      </c>
      <c r="AV44" s="566">
        <f t="shared" si="73"/>
        <v>0</v>
      </c>
      <c r="AW44" s="285"/>
      <c r="AX44" s="290"/>
      <c r="AY44" s="559" t="s">
        <v>53</v>
      </c>
      <c r="AZ44" s="560">
        <f>H98/1000</f>
        <v>0</v>
      </c>
      <c r="BA44" s="562">
        <f t="shared" si="74"/>
        <v>0</v>
      </c>
      <c r="BB44" s="562">
        <f t="shared" si="59"/>
        <v>0</v>
      </c>
      <c r="BC44" s="562">
        <f t="shared" si="60"/>
        <v>0</v>
      </c>
      <c r="BD44" s="560">
        <f t="shared" si="32"/>
        <v>0</v>
      </c>
      <c r="BE44" s="561">
        <f t="shared" si="33"/>
        <v>0</v>
      </c>
      <c r="BF44" s="566">
        <f t="shared" si="34"/>
        <v>0</v>
      </c>
      <c r="BG44" s="560">
        <f t="shared" si="61"/>
        <v>0</v>
      </c>
      <c r="BH44" s="561">
        <f t="shared" si="62"/>
        <v>0</v>
      </c>
      <c r="BI44" s="566">
        <f t="shared" si="63"/>
        <v>0</v>
      </c>
      <c r="BJ44" s="285"/>
      <c r="BK44" s="290"/>
      <c r="BL44" s="559" t="s">
        <v>53</v>
      </c>
      <c r="BM44" s="560" t="e">
        <f>H118/1000</f>
        <v>#REF!</v>
      </c>
      <c r="BN44" s="562" t="e">
        <f t="shared" si="75"/>
        <v>#REF!</v>
      </c>
      <c r="BO44" s="562" t="e">
        <f t="shared" si="52"/>
        <v>#REF!</v>
      </c>
      <c r="BP44" s="562" t="e">
        <f t="shared" si="53"/>
        <v>#REF!</v>
      </c>
      <c r="BQ44" s="560">
        <f t="shared" si="37"/>
        <v>0</v>
      </c>
      <c r="BR44" s="561">
        <f t="shared" si="38"/>
        <v>0</v>
      </c>
      <c r="BS44" s="566">
        <f t="shared" si="39"/>
        <v>0</v>
      </c>
      <c r="BT44" s="560">
        <f t="shared" si="64"/>
        <v>0</v>
      </c>
      <c r="BU44" s="561">
        <f t="shared" si="65"/>
        <v>0</v>
      </c>
      <c r="BV44" s="566">
        <f t="shared" si="66"/>
        <v>0</v>
      </c>
      <c r="BX44" s="385"/>
      <c r="BY44" s="385"/>
    </row>
    <row r="45" spans="3:78" ht="12.75" customHeight="1">
      <c r="C45" s="173" t="str">
        <f ca="1">+IF(OFFSET(Processes!B26,$D$11,0)="*","*",OFFSET(Processes!D26,$D$11,0))</f>
        <v>INDSDCOBWSTE1</v>
      </c>
      <c r="D45" s="173" t="str">
        <f ca="1">+OFFSET(Processes!E26,$D$11,0)</f>
        <v>Iron &amp; Steel  Heat High Temp. Boiler - Waste Existing 1</v>
      </c>
      <c r="E45" s="172" t="str">
        <f>+Processes!O26</f>
        <v>INDWST</v>
      </c>
      <c r="F45" s="172" t="str">
        <f ca="1">+OFFSET(Processes!$M$12,$D$11,0) &amp; Processes!P26</f>
        <v>ISDCO</v>
      </c>
      <c r="G45" s="322">
        <f t="shared" si="14"/>
        <v>0</v>
      </c>
      <c r="H45" s="322">
        <f t="shared" si="15"/>
        <v>0</v>
      </c>
      <c r="I45" s="322">
        <f t="shared" si="16"/>
        <v>0</v>
      </c>
      <c r="J45" s="322">
        <f t="shared" si="17"/>
        <v>0</v>
      </c>
      <c r="K45" s="322">
        <f t="shared" si="18"/>
        <v>0</v>
      </c>
      <c r="L45" s="322">
        <f t="shared" si="19"/>
        <v>0</v>
      </c>
      <c r="M45" s="322">
        <f t="shared" si="20"/>
        <v>0</v>
      </c>
      <c r="N45" s="322">
        <f t="shared" si="21"/>
        <v>0</v>
      </c>
      <c r="O45" s="322">
        <f t="shared" si="22"/>
        <v>0</v>
      </c>
      <c r="P45" s="322">
        <f t="shared" si="23"/>
        <v>0</v>
      </c>
      <c r="Q45" s="322">
        <f t="shared" si="24"/>
        <v>0</v>
      </c>
      <c r="R45" s="322">
        <f t="shared" si="25"/>
        <v>0</v>
      </c>
      <c r="S45" s="322">
        <f t="shared" si="1"/>
        <v>0</v>
      </c>
      <c r="T45" s="322">
        <f t="shared" si="2"/>
        <v>0</v>
      </c>
      <c r="U45" s="322">
        <f t="shared" si="3"/>
        <v>0</v>
      </c>
      <c r="V45" s="322">
        <v>5</v>
      </c>
      <c r="W45" s="343">
        <f>L132</f>
        <v>0.91237999999999997</v>
      </c>
      <c r="X45" s="522">
        <f t="shared" si="67"/>
        <v>0.91237999999999997</v>
      </c>
      <c r="Y45" s="522">
        <f t="shared" si="67"/>
        <v>0.91237999999999997</v>
      </c>
      <c r="Z45" s="177">
        <f t="shared" si="56"/>
        <v>3.1536000000000002E-2</v>
      </c>
      <c r="AA45" s="392">
        <f t="shared" si="68"/>
        <v>0.5</v>
      </c>
      <c r="AB45" s="280">
        <v>20</v>
      </c>
      <c r="AC45" s="271"/>
      <c r="AD45" s="271"/>
      <c r="AE45" s="275"/>
      <c r="AF45" s="285"/>
      <c r="AG45" s="236">
        <f t="shared" si="69"/>
        <v>0</v>
      </c>
      <c r="AH45" s="236">
        <f t="shared" si="70"/>
        <v>0</v>
      </c>
      <c r="AI45" s="236">
        <f t="shared" si="71"/>
        <v>0</v>
      </c>
      <c r="AK45" s="290"/>
      <c r="AL45" s="559" t="s">
        <v>102</v>
      </c>
      <c r="AM45" s="560">
        <f>$L78/1000</f>
        <v>0</v>
      </c>
      <c r="AN45" s="561">
        <f t="shared" si="72"/>
        <v>0</v>
      </c>
      <c r="AO45" s="562">
        <f>AM45*(1-$AN$23)</f>
        <v>0</v>
      </c>
      <c r="AP45" s="562"/>
      <c r="AQ45" s="582">
        <f t="shared" si="27"/>
        <v>0</v>
      </c>
      <c r="AR45" s="562">
        <f t="shared" si="28"/>
        <v>0</v>
      </c>
      <c r="AS45" s="563">
        <f t="shared" si="29"/>
        <v>0</v>
      </c>
      <c r="AT45" s="560">
        <f t="shared" si="73"/>
        <v>0</v>
      </c>
      <c r="AU45" s="561">
        <f t="shared" si="73"/>
        <v>0</v>
      </c>
      <c r="AV45" s="566">
        <f t="shared" si="73"/>
        <v>0</v>
      </c>
      <c r="AW45" s="285"/>
      <c r="AX45" s="290"/>
      <c r="AY45" s="559" t="s">
        <v>102</v>
      </c>
      <c r="AZ45" s="560">
        <f>$L98/1000</f>
        <v>0</v>
      </c>
      <c r="BA45" s="561">
        <f t="shared" si="74"/>
        <v>0</v>
      </c>
      <c r="BB45" s="562">
        <f t="shared" si="59"/>
        <v>0</v>
      </c>
      <c r="BC45" s="562">
        <f t="shared" si="60"/>
        <v>0</v>
      </c>
      <c r="BD45" s="560">
        <f t="shared" si="32"/>
        <v>0</v>
      </c>
      <c r="BE45" s="561">
        <f t="shared" si="33"/>
        <v>0</v>
      </c>
      <c r="BF45" s="566">
        <f t="shared" si="34"/>
        <v>0</v>
      </c>
      <c r="BG45" s="560">
        <f t="shared" si="61"/>
        <v>0</v>
      </c>
      <c r="BH45" s="561">
        <f t="shared" si="62"/>
        <v>0</v>
      </c>
      <c r="BI45" s="566">
        <f t="shared" si="63"/>
        <v>0</v>
      </c>
      <c r="BJ45" s="285"/>
      <c r="BK45" s="290"/>
      <c r="BL45" s="559" t="s">
        <v>102</v>
      </c>
      <c r="BM45" s="560">
        <f>$L118/1000</f>
        <v>0</v>
      </c>
      <c r="BN45" s="561">
        <f t="shared" si="75"/>
        <v>0</v>
      </c>
      <c r="BO45" s="562">
        <f t="shared" si="52"/>
        <v>0</v>
      </c>
      <c r="BP45" s="562">
        <f t="shared" si="53"/>
        <v>0</v>
      </c>
      <c r="BQ45" s="560">
        <f t="shared" si="37"/>
        <v>0</v>
      </c>
      <c r="BR45" s="561">
        <f t="shared" si="38"/>
        <v>0</v>
      </c>
      <c r="BS45" s="566">
        <f t="shared" si="39"/>
        <v>0</v>
      </c>
      <c r="BT45" s="560">
        <f t="shared" si="64"/>
        <v>0</v>
      </c>
      <c r="BU45" s="561">
        <f t="shared" si="65"/>
        <v>0</v>
      </c>
      <c r="BV45" s="566">
        <f t="shared" si="66"/>
        <v>0</v>
      </c>
    </row>
    <row r="46" spans="3:78" ht="12.75" customHeight="1">
      <c r="C46" s="148" t="str">
        <f ca="1">+IF(OFFSET(Processes!B27,$D$11,0)="*","*",OFFSET(Processes!D27,$D$11,0))</f>
        <v>INDSDCOBELCE1</v>
      </c>
      <c r="D46" s="148" t="str">
        <f ca="1">+OFFSET(Processes!E27,$D$11,0)</f>
        <v>Iron &amp; Steel  Heat High Temp. Boiler - Electricity Existing 1</v>
      </c>
      <c r="E46" s="174" t="str">
        <f>+Processes!O27</f>
        <v>INDELC</v>
      </c>
      <c r="F46" s="174" t="str">
        <f ca="1">+OFFSET(Processes!$M$12,$D$11,0) &amp; Processes!P27</f>
        <v>ISDCO</v>
      </c>
      <c r="G46" s="324">
        <f t="shared" si="14"/>
        <v>564.928</v>
      </c>
      <c r="H46" s="324">
        <f t="shared" si="15"/>
        <v>0</v>
      </c>
      <c r="I46" s="324">
        <f t="shared" si="16"/>
        <v>0</v>
      </c>
      <c r="J46" s="324">
        <f t="shared" si="17"/>
        <v>548.33699999999999</v>
      </c>
      <c r="K46" s="324">
        <f>ROUNDUP(BB46/($Z46*$AA46)*K$21*X46,3)</f>
        <v>0</v>
      </c>
      <c r="L46" s="324">
        <f t="shared" si="19"/>
        <v>0</v>
      </c>
      <c r="M46" s="324">
        <f t="shared" si="20"/>
        <v>0</v>
      </c>
      <c r="N46" s="324">
        <f t="shared" si="21"/>
        <v>0</v>
      </c>
      <c r="O46" s="324">
        <f t="shared" si="22"/>
        <v>0</v>
      </c>
      <c r="P46" s="324">
        <f t="shared" si="23"/>
        <v>0</v>
      </c>
      <c r="Q46" s="324">
        <f t="shared" si="24"/>
        <v>0</v>
      </c>
      <c r="R46" s="324">
        <f t="shared" si="25"/>
        <v>0</v>
      </c>
      <c r="S46" s="324">
        <f t="shared" si="1"/>
        <v>0</v>
      </c>
      <c r="T46" s="324">
        <f t="shared" si="2"/>
        <v>0</v>
      </c>
      <c r="U46" s="324">
        <f t="shared" si="3"/>
        <v>0</v>
      </c>
      <c r="V46" s="558">
        <v>5</v>
      </c>
      <c r="W46" s="345">
        <f>M132</f>
        <v>0.91237999999999997</v>
      </c>
      <c r="X46" s="523">
        <f t="shared" si="67"/>
        <v>0.91237999999999997</v>
      </c>
      <c r="Y46" s="523">
        <f t="shared" si="67"/>
        <v>0.91237999999999997</v>
      </c>
      <c r="Z46" s="170">
        <f t="shared" si="56"/>
        <v>3.1536000000000002E-2</v>
      </c>
      <c r="AA46" s="391">
        <f t="shared" si="68"/>
        <v>0.5</v>
      </c>
      <c r="AB46" s="279">
        <v>20</v>
      </c>
      <c r="AC46" s="270"/>
      <c r="AD46" s="270"/>
      <c r="AE46" s="274"/>
      <c r="AF46" s="285"/>
      <c r="AG46" s="236">
        <f t="shared" si="69"/>
        <v>9.7534862866150291</v>
      </c>
      <c r="AH46" s="236">
        <f t="shared" si="70"/>
        <v>9.3826827583348003</v>
      </c>
      <c r="AI46" s="236">
        <f t="shared" si="71"/>
        <v>0</v>
      </c>
      <c r="AK46" s="355"/>
      <c r="AL46" s="567" t="s">
        <v>61</v>
      </c>
      <c r="AM46" s="568">
        <f>M78/1000</f>
        <v>9.7534800000000015</v>
      </c>
      <c r="AN46" s="576">
        <f>AM46*$AN$23</f>
        <v>9.7534800000000015</v>
      </c>
      <c r="AO46" s="576">
        <f>AM46*(1-$AN$23)</f>
        <v>0</v>
      </c>
      <c r="AP46" s="576"/>
      <c r="AQ46" s="586">
        <f>IFERROR(G46*$Z46*$AA46/G$21,0)</f>
        <v>8.8988858181818209</v>
      </c>
      <c r="AR46" s="576">
        <f t="shared" si="28"/>
        <v>0</v>
      </c>
      <c r="AS46" s="577">
        <f t="shared" si="29"/>
        <v>0</v>
      </c>
      <c r="AT46" s="568">
        <f t="shared" si="73"/>
        <v>9.7534862866150309</v>
      </c>
      <c r="AU46" s="569">
        <f t="shared" si="73"/>
        <v>0</v>
      </c>
      <c r="AV46" s="570">
        <f t="shared" si="73"/>
        <v>0</v>
      </c>
      <c r="AW46" s="285"/>
      <c r="AX46" s="355"/>
      <c r="AY46" s="567" t="s">
        <v>61</v>
      </c>
      <c r="AZ46" s="568">
        <f>M98/1000</f>
        <v>9.3826800000000006</v>
      </c>
      <c r="BA46" s="576">
        <f t="shared" si="74"/>
        <v>9.3826800000000006</v>
      </c>
      <c r="BB46" s="576">
        <f>AZ46*$BB$23</f>
        <v>0</v>
      </c>
      <c r="BC46" s="576">
        <f t="shared" si="60"/>
        <v>0</v>
      </c>
      <c r="BD46" s="568">
        <f t="shared" si="32"/>
        <v>8.5605720950495048</v>
      </c>
      <c r="BE46" s="569">
        <f>IFERROR(K46*$Z46*AA46/K$21,0)</f>
        <v>0</v>
      </c>
      <c r="BF46" s="570">
        <f>IFERROR(L46*$Z46*AA46/L$21,0)</f>
        <v>0</v>
      </c>
      <c r="BG46" s="568">
        <f t="shared" si="61"/>
        <v>9.3826827583348003</v>
      </c>
      <c r="BH46" s="569">
        <f t="shared" si="62"/>
        <v>0</v>
      </c>
      <c r="BI46" s="570">
        <f t="shared" si="63"/>
        <v>0</v>
      </c>
      <c r="BJ46" s="285"/>
      <c r="BK46" s="355"/>
      <c r="BL46" s="567" t="s">
        <v>61</v>
      </c>
      <c r="BM46" s="568">
        <f>M118/1000</f>
        <v>0</v>
      </c>
      <c r="BN46" s="576">
        <f t="shared" si="75"/>
        <v>0</v>
      </c>
      <c r="BO46" s="576">
        <f t="shared" si="52"/>
        <v>0</v>
      </c>
      <c r="BP46" s="576">
        <f t="shared" si="53"/>
        <v>0</v>
      </c>
      <c r="BQ46" s="568">
        <f t="shared" si="37"/>
        <v>0</v>
      </c>
      <c r="BR46" s="569">
        <f t="shared" si="38"/>
        <v>0</v>
      </c>
      <c r="BS46" s="570">
        <f t="shared" si="39"/>
        <v>0</v>
      </c>
      <c r="BT46" s="568">
        <f t="shared" si="64"/>
        <v>0</v>
      </c>
      <c r="BU46" s="569">
        <f t="shared" si="65"/>
        <v>0</v>
      </c>
      <c r="BV46" s="570">
        <f t="shared" si="66"/>
        <v>0</v>
      </c>
    </row>
    <row r="47" spans="3:78" ht="12.75" customHeight="1">
      <c r="C47" s="173" t="str">
        <f ca="1">+IF(OFFSET(Processes!B28,$D$11,0)="*","*",OFFSET(Processes!D28,$D$11,0))</f>
        <v>INDSDSHBNGAE1</v>
      </c>
      <c r="D47" s="146" t="str">
        <f ca="1">+OFFSET(Processes!E28,$D$11,0)</f>
        <v>Iron &amp; Steel  Heat Room Boiler - Nat. Gas Existing 1</v>
      </c>
      <c r="E47" s="149" t="str">
        <f>+Processes!O28</f>
        <v>INDSNG1,INDSNG2,INDNGA</v>
      </c>
      <c r="F47" s="149" t="str">
        <f ca="1">+OFFSET(Processes!$M$12,$D$11,0) &amp; Processes!P28</f>
        <v>ISDSH</v>
      </c>
      <c r="G47" s="322">
        <f t="shared" si="14"/>
        <v>0</v>
      </c>
      <c r="H47" s="322">
        <f t="shared" si="15"/>
        <v>0</v>
      </c>
      <c r="I47" s="322">
        <f t="shared" si="16"/>
        <v>0</v>
      </c>
      <c r="J47" s="322">
        <f t="shared" si="17"/>
        <v>0</v>
      </c>
      <c r="K47" s="322">
        <f t="shared" si="18"/>
        <v>0</v>
      </c>
      <c r="L47" s="322">
        <f t="shared" si="19"/>
        <v>0</v>
      </c>
      <c r="M47" s="322">
        <f t="shared" si="20"/>
        <v>0</v>
      </c>
      <c r="N47" s="322">
        <f t="shared" si="21"/>
        <v>0</v>
      </c>
      <c r="O47" s="322">
        <f t="shared" si="22"/>
        <v>0</v>
      </c>
      <c r="P47" s="322">
        <f t="shared" si="23"/>
        <v>0</v>
      </c>
      <c r="Q47" s="322">
        <f t="shared" si="24"/>
        <v>0</v>
      </c>
      <c r="R47" s="322">
        <f t="shared" si="25"/>
        <v>0</v>
      </c>
      <c r="S47" s="322">
        <f t="shared" si="1"/>
        <v>0</v>
      </c>
      <c r="T47" s="322">
        <f t="shared" si="2"/>
        <v>0</v>
      </c>
      <c r="U47" s="322">
        <f t="shared" si="3"/>
        <v>0</v>
      </c>
      <c r="V47" s="322">
        <v>5</v>
      </c>
      <c r="W47" s="343">
        <f>I136</f>
        <v>1</v>
      </c>
      <c r="X47" s="522">
        <f t="shared" si="67"/>
        <v>1</v>
      </c>
      <c r="Y47" s="522">
        <f t="shared" si="67"/>
        <v>1</v>
      </c>
      <c r="Z47" s="169">
        <f t="shared" si="56"/>
        <v>3.1536000000000002E-2</v>
      </c>
      <c r="AA47" s="392">
        <f t="shared" si="68"/>
        <v>0.5</v>
      </c>
      <c r="AB47" s="280">
        <v>20</v>
      </c>
      <c r="AC47" s="271"/>
      <c r="AD47" s="269"/>
      <c r="AE47" s="275"/>
      <c r="AF47" s="285"/>
      <c r="AG47" s="236">
        <f t="shared" si="69"/>
        <v>0</v>
      </c>
      <c r="AH47" s="236">
        <f t="shared" si="70"/>
        <v>0</v>
      </c>
      <c r="AI47" s="236">
        <f t="shared" si="71"/>
        <v>0</v>
      </c>
      <c r="AK47" s="530" t="str">
        <f ca="1">F47</f>
        <v>ISDSH</v>
      </c>
      <c r="AL47" s="571" t="s">
        <v>97</v>
      </c>
      <c r="AM47" s="572">
        <f>I82/1000</f>
        <v>0</v>
      </c>
      <c r="AN47" s="574">
        <f t="shared" si="72"/>
        <v>0</v>
      </c>
      <c r="AO47" s="562">
        <f>AM47*$AO$23</f>
        <v>0</v>
      </c>
      <c r="AP47" s="562">
        <f>AM47*$AP$23</f>
        <v>0</v>
      </c>
      <c r="AQ47" s="582">
        <f t="shared" si="27"/>
        <v>0</v>
      </c>
      <c r="AR47" s="562">
        <f t="shared" si="28"/>
        <v>0</v>
      </c>
      <c r="AS47" s="563">
        <f t="shared" si="29"/>
        <v>0</v>
      </c>
      <c r="AT47" s="572">
        <f t="shared" si="73"/>
        <v>0</v>
      </c>
      <c r="AU47" s="574">
        <f t="shared" si="73"/>
        <v>0</v>
      </c>
      <c r="AV47" s="575">
        <f t="shared" si="73"/>
        <v>0</v>
      </c>
      <c r="AW47" s="285"/>
      <c r="AX47" s="530" t="str">
        <f t="shared" ca="1" si="9"/>
        <v>ISDSH</v>
      </c>
      <c r="AY47" s="571" t="s">
        <v>97</v>
      </c>
      <c r="AZ47" s="572">
        <f>I102/1000</f>
        <v>0</v>
      </c>
      <c r="BA47" s="574">
        <f t="shared" si="74"/>
        <v>0</v>
      </c>
      <c r="BB47" s="562">
        <f t="shared" si="59"/>
        <v>0</v>
      </c>
      <c r="BC47" s="562">
        <f t="shared" si="60"/>
        <v>0</v>
      </c>
      <c r="BD47" s="572">
        <f t="shared" si="32"/>
        <v>0</v>
      </c>
      <c r="BE47" s="574">
        <f t="shared" si="33"/>
        <v>0</v>
      </c>
      <c r="BF47" s="575">
        <f t="shared" si="34"/>
        <v>0</v>
      </c>
      <c r="BG47" s="572">
        <f t="shared" si="61"/>
        <v>0</v>
      </c>
      <c r="BH47" s="574">
        <f t="shared" si="62"/>
        <v>0</v>
      </c>
      <c r="BI47" s="575">
        <f t="shared" si="63"/>
        <v>0</v>
      </c>
      <c r="BJ47" s="285"/>
      <c r="BK47" s="530" t="str">
        <f ca="1">AK47</f>
        <v>ISDSH</v>
      </c>
      <c r="BL47" s="571" t="s">
        <v>97</v>
      </c>
      <c r="BM47" s="572">
        <f>I122/1000</f>
        <v>0</v>
      </c>
      <c r="BN47" s="574">
        <f t="shared" si="75"/>
        <v>0</v>
      </c>
      <c r="BO47" s="562">
        <f t="shared" si="52"/>
        <v>0</v>
      </c>
      <c r="BP47" s="562">
        <f t="shared" si="53"/>
        <v>0</v>
      </c>
      <c r="BQ47" s="572">
        <f t="shared" si="37"/>
        <v>0</v>
      </c>
      <c r="BR47" s="574">
        <f t="shared" si="38"/>
        <v>0</v>
      </c>
      <c r="BS47" s="575">
        <f t="shared" si="39"/>
        <v>0</v>
      </c>
      <c r="BT47" s="572">
        <f t="shared" si="64"/>
        <v>0</v>
      </c>
      <c r="BU47" s="574">
        <f t="shared" si="65"/>
        <v>0</v>
      </c>
      <c r="BV47" s="575">
        <f t="shared" si="66"/>
        <v>0</v>
      </c>
    </row>
    <row r="48" spans="3:78" ht="12.75" customHeight="1">
      <c r="C48" s="173" t="str">
        <f ca="1">+IF(OFFSET(Processes!B29,$D$11,0)="*","*",OFFSET(Processes!D29,$D$11,0))</f>
        <v>INDSDSHBCOAE1</v>
      </c>
      <c r="D48" s="146" t="str">
        <f ca="1">+OFFSET(Processes!E29,$D$11,0)</f>
        <v>Iron &amp; Steel  Heat Room Boiler - Coal Existing 1</v>
      </c>
      <c r="E48" s="149" t="str">
        <f>+Processes!O29</f>
        <v>INDCOA</v>
      </c>
      <c r="F48" s="149" t="str">
        <f ca="1">+OFFSET(Processes!$M$12,$D$11,0) &amp; Processes!P29</f>
        <v>ISDSH</v>
      </c>
      <c r="G48" s="322">
        <f t="shared" si="14"/>
        <v>0</v>
      </c>
      <c r="H48" s="322">
        <f t="shared" si="15"/>
        <v>0</v>
      </c>
      <c r="I48" s="322">
        <f t="shared" si="16"/>
        <v>0</v>
      </c>
      <c r="J48" s="322">
        <f t="shared" si="17"/>
        <v>0</v>
      </c>
      <c r="K48" s="322">
        <f t="shared" si="18"/>
        <v>0</v>
      </c>
      <c r="L48" s="322">
        <f t="shared" si="19"/>
        <v>0</v>
      </c>
      <c r="M48" s="322">
        <f t="shared" si="20"/>
        <v>0</v>
      </c>
      <c r="N48" s="322">
        <f t="shared" si="21"/>
        <v>0</v>
      </c>
      <c r="O48" s="322">
        <f t="shared" si="22"/>
        <v>0</v>
      </c>
      <c r="P48" s="322">
        <f t="shared" si="23"/>
        <v>0</v>
      </c>
      <c r="Q48" s="322">
        <f t="shared" si="24"/>
        <v>0</v>
      </c>
      <c r="R48" s="322">
        <f t="shared" si="25"/>
        <v>0</v>
      </c>
      <c r="S48" s="322">
        <f t="shared" si="1"/>
        <v>0</v>
      </c>
      <c r="T48" s="322">
        <f t="shared" si="2"/>
        <v>0</v>
      </c>
      <c r="U48" s="322">
        <f t="shared" si="3"/>
        <v>0</v>
      </c>
      <c r="V48" s="322">
        <v>5</v>
      </c>
      <c r="W48" s="343">
        <f>D136</f>
        <v>0.95</v>
      </c>
      <c r="X48" s="522">
        <f t="shared" si="67"/>
        <v>0.95</v>
      </c>
      <c r="Y48" s="522">
        <f t="shared" si="67"/>
        <v>0.95</v>
      </c>
      <c r="Z48" s="169">
        <f t="shared" si="56"/>
        <v>3.1536000000000002E-2</v>
      </c>
      <c r="AA48" s="390">
        <f t="shared" si="68"/>
        <v>0.5</v>
      </c>
      <c r="AB48" s="278">
        <v>20</v>
      </c>
      <c r="AC48" s="271"/>
      <c r="AD48" s="269"/>
      <c r="AE48" s="275"/>
      <c r="AF48" s="285"/>
      <c r="AG48" s="236">
        <f t="shared" si="69"/>
        <v>0</v>
      </c>
      <c r="AH48" s="236">
        <f t="shared" si="70"/>
        <v>0</v>
      </c>
      <c r="AI48" s="236">
        <f t="shared" si="71"/>
        <v>0</v>
      </c>
      <c r="AK48" s="356"/>
      <c r="AL48" s="559" t="s">
        <v>98</v>
      </c>
      <c r="AM48" s="560">
        <f>D82/1000</f>
        <v>0</v>
      </c>
      <c r="AN48" s="561">
        <f t="shared" si="72"/>
        <v>0</v>
      </c>
      <c r="AO48" s="562">
        <f>AM48*$AO$23</f>
        <v>0</v>
      </c>
      <c r="AP48" s="562">
        <f>AM48*$AP$23</f>
        <v>0</v>
      </c>
      <c r="AQ48" s="582">
        <f t="shared" si="27"/>
        <v>0</v>
      </c>
      <c r="AR48" s="562">
        <f t="shared" si="28"/>
        <v>0</v>
      </c>
      <c r="AS48" s="563">
        <f t="shared" si="29"/>
        <v>0</v>
      </c>
      <c r="AT48" s="560">
        <f t="shared" si="73"/>
        <v>0</v>
      </c>
      <c r="AU48" s="561">
        <f t="shared" si="73"/>
        <v>0</v>
      </c>
      <c r="AV48" s="566">
        <f t="shared" si="73"/>
        <v>0</v>
      </c>
      <c r="AW48" s="285"/>
      <c r="AX48" s="356"/>
      <c r="AY48" s="559" t="s">
        <v>98</v>
      </c>
      <c r="AZ48" s="560">
        <f>D102/1000</f>
        <v>0</v>
      </c>
      <c r="BA48" s="561">
        <f t="shared" si="74"/>
        <v>0</v>
      </c>
      <c r="BB48" s="562">
        <f t="shared" si="59"/>
        <v>0</v>
      </c>
      <c r="BC48" s="562">
        <f t="shared" si="60"/>
        <v>0</v>
      </c>
      <c r="BD48" s="560">
        <f t="shared" si="32"/>
        <v>0</v>
      </c>
      <c r="BE48" s="561">
        <f t="shared" si="33"/>
        <v>0</v>
      </c>
      <c r="BF48" s="566">
        <f t="shared" si="34"/>
        <v>0</v>
      </c>
      <c r="BG48" s="560">
        <f t="shared" si="61"/>
        <v>0</v>
      </c>
      <c r="BH48" s="561">
        <f t="shared" si="62"/>
        <v>0</v>
      </c>
      <c r="BI48" s="566">
        <f t="shared" si="63"/>
        <v>0</v>
      </c>
      <c r="BJ48" s="285"/>
      <c r="BK48" s="356"/>
      <c r="BL48" s="559" t="s">
        <v>98</v>
      </c>
      <c r="BM48" s="560">
        <f>D122/1000</f>
        <v>0</v>
      </c>
      <c r="BN48" s="561">
        <f t="shared" si="75"/>
        <v>0</v>
      </c>
      <c r="BO48" s="562">
        <f t="shared" si="52"/>
        <v>0</v>
      </c>
      <c r="BP48" s="562">
        <f t="shared" si="53"/>
        <v>0</v>
      </c>
      <c r="BQ48" s="560">
        <f t="shared" si="37"/>
        <v>0</v>
      </c>
      <c r="BR48" s="561">
        <f t="shared" si="38"/>
        <v>0</v>
      </c>
      <c r="BS48" s="566">
        <f t="shared" si="39"/>
        <v>0</v>
      </c>
      <c r="BT48" s="560">
        <f t="shared" si="64"/>
        <v>0</v>
      </c>
      <c r="BU48" s="561">
        <f t="shared" si="65"/>
        <v>0</v>
      </c>
      <c r="BV48" s="566">
        <f t="shared" si="66"/>
        <v>0</v>
      </c>
    </row>
    <row r="49" spans="3:78" ht="12.75" customHeight="1">
      <c r="C49" s="173" t="str">
        <f ca="1">+IF(OFFSET(Processes!B30,$D$11,0)="*","*",OFFSET(Processes!D30,$D$11,0))</f>
        <v>INDSDSHBDSLE1</v>
      </c>
      <c r="D49" s="146" t="str">
        <f ca="1">+OFFSET(Processes!E30,$D$11,0)</f>
        <v>Iron &amp; Steel  Heat Room Boiler - Diesel Existing 1</v>
      </c>
      <c r="E49" s="149" t="str">
        <f>+Processes!O30</f>
        <v>INDDSB1,INDDSB2,INDDSL</v>
      </c>
      <c r="F49" s="149" t="str">
        <f ca="1">+OFFSET(Processes!$M$12,$D$11,0) &amp; Processes!P30</f>
        <v>ISDSH</v>
      </c>
      <c r="G49" s="322">
        <f t="shared" si="14"/>
        <v>0</v>
      </c>
      <c r="H49" s="322">
        <f t="shared" si="15"/>
        <v>0</v>
      </c>
      <c r="I49" s="322">
        <f t="shared" si="16"/>
        <v>0</v>
      </c>
      <c r="J49" s="322">
        <f t="shared" si="17"/>
        <v>0</v>
      </c>
      <c r="K49" s="322">
        <f t="shared" si="18"/>
        <v>0</v>
      </c>
      <c r="L49" s="322">
        <f t="shared" si="19"/>
        <v>0</v>
      </c>
      <c r="M49" s="322">
        <f t="shared" si="20"/>
        <v>0</v>
      </c>
      <c r="N49" s="322">
        <f t="shared" si="21"/>
        <v>0</v>
      </c>
      <c r="O49" s="322">
        <f t="shared" si="22"/>
        <v>0</v>
      </c>
      <c r="P49" s="322">
        <f t="shared" si="23"/>
        <v>0</v>
      </c>
      <c r="Q49" s="322">
        <f t="shared" si="24"/>
        <v>0</v>
      </c>
      <c r="R49" s="322">
        <f t="shared" si="25"/>
        <v>0</v>
      </c>
      <c r="S49" s="322">
        <f t="shared" si="1"/>
        <v>0</v>
      </c>
      <c r="T49" s="322">
        <f t="shared" si="2"/>
        <v>0</v>
      </c>
      <c r="U49" s="322">
        <f t="shared" si="3"/>
        <v>0</v>
      </c>
      <c r="V49" s="322">
        <v>5</v>
      </c>
      <c r="W49" s="343">
        <f>F136</f>
        <v>0.96</v>
      </c>
      <c r="X49" s="522">
        <f t="shared" si="67"/>
        <v>0.96</v>
      </c>
      <c r="Y49" s="522">
        <f t="shared" si="67"/>
        <v>0.96</v>
      </c>
      <c r="Z49" s="169">
        <f t="shared" si="56"/>
        <v>3.1536000000000002E-2</v>
      </c>
      <c r="AA49" s="392">
        <f t="shared" si="68"/>
        <v>0.5</v>
      </c>
      <c r="AB49" s="280">
        <v>20</v>
      </c>
      <c r="AC49" s="271"/>
      <c r="AD49" s="269"/>
      <c r="AE49" s="275"/>
      <c r="AF49" s="285"/>
      <c r="AG49" s="236">
        <f t="shared" si="69"/>
        <v>0</v>
      </c>
      <c r="AH49" s="236">
        <f t="shared" si="70"/>
        <v>0</v>
      </c>
      <c r="AI49" s="236">
        <f t="shared" si="71"/>
        <v>0</v>
      </c>
      <c r="AK49" s="356"/>
      <c r="AL49" s="559" t="s">
        <v>59</v>
      </c>
      <c r="AM49" s="560">
        <f>F82/1000</f>
        <v>0</v>
      </c>
      <c r="AN49" s="561">
        <f t="shared" ref="AN49:AN62" si="76">AM49*$AN$23</f>
        <v>0</v>
      </c>
      <c r="AO49" s="562">
        <f t="shared" ref="AO49:AO62" si="77">AM49*$AO$23</f>
        <v>0</v>
      </c>
      <c r="AP49" s="562">
        <f t="shared" ref="AP49:AP62" si="78">AM49*$AP$23</f>
        <v>0</v>
      </c>
      <c r="AQ49" s="582">
        <f t="shared" si="27"/>
        <v>0</v>
      </c>
      <c r="AR49" s="562">
        <f t="shared" si="28"/>
        <v>0</v>
      </c>
      <c r="AS49" s="563">
        <f t="shared" si="29"/>
        <v>0</v>
      </c>
      <c r="AT49" s="560">
        <f t="shared" si="73"/>
        <v>0</v>
      </c>
      <c r="AU49" s="561">
        <f t="shared" si="73"/>
        <v>0</v>
      </c>
      <c r="AV49" s="566">
        <f t="shared" si="73"/>
        <v>0</v>
      </c>
      <c r="AW49" s="285"/>
      <c r="AX49" s="356"/>
      <c r="AY49" s="559" t="s">
        <v>59</v>
      </c>
      <c r="AZ49" s="560">
        <f>F102/1000</f>
        <v>0</v>
      </c>
      <c r="BA49" s="561">
        <f t="shared" si="74"/>
        <v>0</v>
      </c>
      <c r="BB49" s="562">
        <f t="shared" si="59"/>
        <v>0</v>
      </c>
      <c r="BC49" s="562">
        <f t="shared" si="60"/>
        <v>0</v>
      </c>
      <c r="BD49" s="560">
        <f t="shared" si="32"/>
        <v>0</v>
      </c>
      <c r="BE49" s="561">
        <f t="shared" si="33"/>
        <v>0</v>
      </c>
      <c r="BF49" s="566">
        <f t="shared" si="34"/>
        <v>0</v>
      </c>
      <c r="BG49" s="560">
        <f t="shared" si="61"/>
        <v>0</v>
      </c>
      <c r="BH49" s="561">
        <f t="shared" si="62"/>
        <v>0</v>
      </c>
      <c r="BI49" s="566">
        <f t="shared" si="63"/>
        <v>0</v>
      </c>
      <c r="BJ49" s="285"/>
      <c r="BK49" s="356"/>
      <c r="BL49" s="559" t="s">
        <v>59</v>
      </c>
      <c r="BM49" s="560">
        <f>F122/1000</f>
        <v>0</v>
      </c>
      <c r="BN49" s="561">
        <f t="shared" si="75"/>
        <v>0</v>
      </c>
      <c r="BO49" s="562">
        <f t="shared" si="52"/>
        <v>0</v>
      </c>
      <c r="BP49" s="562">
        <f t="shared" si="53"/>
        <v>0</v>
      </c>
      <c r="BQ49" s="560">
        <f t="shared" si="37"/>
        <v>0</v>
      </c>
      <c r="BR49" s="561">
        <f t="shared" si="38"/>
        <v>0</v>
      </c>
      <c r="BS49" s="566">
        <f t="shared" si="39"/>
        <v>0</v>
      </c>
      <c r="BT49" s="560">
        <f t="shared" si="64"/>
        <v>0</v>
      </c>
      <c r="BU49" s="561">
        <f t="shared" si="65"/>
        <v>0</v>
      </c>
      <c r="BV49" s="566">
        <f t="shared" si="66"/>
        <v>0</v>
      </c>
    </row>
    <row r="50" spans="3:78" ht="12.75" customHeight="1">
      <c r="C50" s="173" t="str">
        <f ca="1">+IF(OFFSET(Processes!B31,$D$11,0)="*","*",OFFSET(Processes!D31,$D$11,0))</f>
        <v>INDSDSHBWPEE1</v>
      </c>
      <c r="D50" s="146" t="str">
        <f ca="1">+OFFSET(Processes!E31,$D$11,0)</f>
        <v>Iron &amp; Steel  Heat Room Boiler - Wood Pellets Existing 1</v>
      </c>
      <c r="E50" s="149" t="str">
        <f>+Processes!O31</f>
        <v>INDWPE</v>
      </c>
      <c r="F50" s="149" t="str">
        <f ca="1">+OFFSET(Processes!$M$12,$D$11,0) &amp; Processes!P31</f>
        <v>ISDSH</v>
      </c>
      <c r="G50" s="321">
        <f t="shared" si="14"/>
        <v>0</v>
      </c>
      <c r="H50" s="321">
        <f t="shared" si="15"/>
        <v>0</v>
      </c>
      <c r="I50" s="321">
        <f t="shared" si="16"/>
        <v>0</v>
      </c>
      <c r="J50" s="321">
        <f t="shared" si="17"/>
        <v>0</v>
      </c>
      <c r="K50" s="321">
        <f t="shared" si="18"/>
        <v>0</v>
      </c>
      <c r="L50" s="321">
        <f t="shared" si="19"/>
        <v>0</v>
      </c>
      <c r="M50" s="321">
        <f t="shared" si="20"/>
        <v>0</v>
      </c>
      <c r="N50" s="321">
        <f t="shared" si="21"/>
        <v>0</v>
      </c>
      <c r="O50" s="321">
        <f t="shared" si="22"/>
        <v>0</v>
      </c>
      <c r="P50" s="321">
        <f t="shared" si="23"/>
        <v>0</v>
      </c>
      <c r="Q50" s="321">
        <f t="shared" si="24"/>
        <v>0</v>
      </c>
      <c r="R50" s="321">
        <f t="shared" si="25"/>
        <v>0</v>
      </c>
      <c r="S50" s="321">
        <f t="shared" si="1"/>
        <v>0</v>
      </c>
      <c r="T50" s="321">
        <f t="shared" si="2"/>
        <v>0</v>
      </c>
      <c r="U50" s="321">
        <f t="shared" si="3"/>
        <v>0</v>
      </c>
      <c r="V50" s="321">
        <v>5</v>
      </c>
      <c r="W50" s="343">
        <f>K136</f>
        <v>0.85</v>
      </c>
      <c r="X50" s="522">
        <f t="shared" si="67"/>
        <v>0.85</v>
      </c>
      <c r="Y50" s="522">
        <f t="shared" si="67"/>
        <v>0.85</v>
      </c>
      <c r="Z50" s="169">
        <f t="shared" si="56"/>
        <v>3.1536000000000002E-2</v>
      </c>
      <c r="AA50" s="392">
        <f t="shared" si="68"/>
        <v>0.5</v>
      </c>
      <c r="AB50" s="280">
        <v>20</v>
      </c>
      <c r="AC50" s="319">
        <v>0.5</v>
      </c>
      <c r="AD50" s="319">
        <v>0.5</v>
      </c>
      <c r="AE50" s="275">
        <v>5</v>
      </c>
      <c r="AF50" s="285"/>
      <c r="AG50" s="236">
        <f t="shared" si="69"/>
        <v>0</v>
      </c>
      <c r="AH50" s="236">
        <f t="shared" si="70"/>
        <v>0</v>
      </c>
      <c r="AI50" s="236">
        <f t="shared" si="71"/>
        <v>0</v>
      </c>
      <c r="AK50" s="356"/>
      <c r="AL50" s="559" t="s">
        <v>99</v>
      </c>
      <c r="AM50" s="560">
        <f>K82/1000</f>
        <v>0</v>
      </c>
      <c r="AN50" s="561">
        <f t="shared" si="76"/>
        <v>0</v>
      </c>
      <c r="AO50" s="562">
        <f t="shared" si="77"/>
        <v>0</v>
      </c>
      <c r="AP50" s="562">
        <f t="shared" si="78"/>
        <v>0</v>
      </c>
      <c r="AQ50" s="582">
        <f t="shared" si="27"/>
        <v>0</v>
      </c>
      <c r="AR50" s="562">
        <f t="shared" si="28"/>
        <v>0</v>
      </c>
      <c r="AS50" s="563">
        <f t="shared" si="29"/>
        <v>0</v>
      </c>
      <c r="AT50" s="560">
        <f t="shared" si="73"/>
        <v>0</v>
      </c>
      <c r="AU50" s="561">
        <f t="shared" si="73"/>
        <v>0</v>
      </c>
      <c r="AV50" s="566">
        <f t="shared" si="73"/>
        <v>0</v>
      </c>
      <c r="AW50" s="285"/>
      <c r="AX50" s="356"/>
      <c r="AY50" s="559" t="s">
        <v>99</v>
      </c>
      <c r="AZ50" s="560">
        <f>K102/1000</f>
        <v>0</v>
      </c>
      <c r="BA50" s="561">
        <f t="shared" si="74"/>
        <v>0</v>
      </c>
      <c r="BB50" s="562">
        <f t="shared" si="59"/>
        <v>0</v>
      </c>
      <c r="BC50" s="562">
        <f t="shared" si="60"/>
        <v>0</v>
      </c>
      <c r="BD50" s="560">
        <f t="shared" si="32"/>
        <v>0</v>
      </c>
      <c r="BE50" s="561">
        <f t="shared" si="33"/>
        <v>0</v>
      </c>
      <c r="BF50" s="566">
        <f t="shared" si="34"/>
        <v>0</v>
      </c>
      <c r="BG50" s="560">
        <f t="shared" si="61"/>
        <v>0</v>
      </c>
      <c r="BH50" s="561">
        <f t="shared" si="62"/>
        <v>0</v>
      </c>
      <c r="BI50" s="566">
        <f t="shared" si="63"/>
        <v>0</v>
      </c>
      <c r="BJ50" s="285"/>
      <c r="BK50" s="356"/>
      <c r="BL50" s="559" t="s">
        <v>99</v>
      </c>
      <c r="BM50" s="560">
        <f>K122/1000</f>
        <v>0</v>
      </c>
      <c r="BN50" s="561">
        <f t="shared" si="75"/>
        <v>0</v>
      </c>
      <c r="BO50" s="562">
        <f t="shared" si="52"/>
        <v>0</v>
      </c>
      <c r="BP50" s="562">
        <f t="shared" si="53"/>
        <v>0</v>
      </c>
      <c r="BQ50" s="560">
        <f t="shared" si="37"/>
        <v>0</v>
      </c>
      <c r="BR50" s="561">
        <f t="shared" si="38"/>
        <v>0</v>
      </c>
      <c r="BS50" s="566">
        <f t="shared" si="39"/>
        <v>0</v>
      </c>
      <c r="BT50" s="560">
        <f t="shared" si="64"/>
        <v>0</v>
      </c>
      <c r="BU50" s="561">
        <f t="shared" si="65"/>
        <v>0</v>
      </c>
      <c r="BV50" s="566">
        <f t="shared" si="66"/>
        <v>0</v>
      </c>
    </row>
    <row r="51" spans="3:78" ht="12.75" customHeight="1">
      <c r="C51" s="173"/>
      <c r="D51" s="146"/>
      <c r="E51" s="149" t="str">
        <f>+Processes!O32</f>
        <v>INDWCH</v>
      </c>
      <c r="F51" s="149"/>
      <c r="G51" s="321"/>
      <c r="H51" s="321"/>
      <c r="I51" s="321"/>
      <c r="J51" s="321"/>
      <c r="K51" s="321"/>
      <c r="L51" s="321"/>
      <c r="M51" s="321"/>
      <c r="N51" s="321"/>
      <c r="O51" s="321"/>
      <c r="P51" s="321">
        <f t="shared" si="23"/>
        <v>0</v>
      </c>
      <c r="Q51" s="321">
        <f t="shared" si="24"/>
        <v>0</v>
      </c>
      <c r="R51" s="321">
        <f t="shared" si="25"/>
        <v>0</v>
      </c>
      <c r="S51" s="321">
        <f t="shared" si="1"/>
        <v>0</v>
      </c>
      <c r="T51" s="321">
        <f t="shared" si="2"/>
        <v>0</v>
      </c>
      <c r="U51" s="321">
        <f t="shared" si="3"/>
        <v>0</v>
      </c>
      <c r="V51" s="321" t="str">
        <f>IF(S51&gt;0,0.001,"")</f>
        <v/>
      </c>
      <c r="W51" s="343"/>
      <c r="X51" s="522"/>
      <c r="Y51" s="522"/>
      <c r="Z51" s="269"/>
      <c r="AA51" s="392"/>
      <c r="AB51" s="280"/>
      <c r="AC51" s="319">
        <f>1-AC50</f>
        <v>0.5</v>
      </c>
      <c r="AD51" s="319">
        <f>1-AD50</f>
        <v>0.5</v>
      </c>
      <c r="AE51" s="275">
        <v>5</v>
      </c>
      <c r="AF51" s="285"/>
      <c r="AG51" s="236"/>
      <c r="AH51" s="236"/>
      <c r="AI51" s="236"/>
      <c r="AK51" s="356"/>
      <c r="AL51" s="559" t="s">
        <v>107</v>
      </c>
      <c r="AM51" s="560"/>
      <c r="AN51" s="561">
        <f t="shared" si="76"/>
        <v>0</v>
      </c>
      <c r="AO51" s="562">
        <f t="shared" si="77"/>
        <v>0</v>
      </c>
      <c r="AP51" s="562">
        <f t="shared" si="78"/>
        <v>0</v>
      </c>
      <c r="AQ51" s="582">
        <f t="shared" si="27"/>
        <v>0</v>
      </c>
      <c r="AR51" s="562">
        <f t="shared" si="28"/>
        <v>0</v>
      </c>
      <c r="AS51" s="563">
        <f t="shared" si="29"/>
        <v>0</v>
      </c>
      <c r="AT51" s="560"/>
      <c r="AU51" s="561"/>
      <c r="AV51" s="566"/>
      <c r="AW51" s="285"/>
      <c r="AX51" s="356"/>
      <c r="AY51" s="559" t="s">
        <v>107</v>
      </c>
      <c r="AZ51" s="560"/>
      <c r="BA51" s="561"/>
      <c r="BB51" s="562">
        <f t="shared" si="59"/>
        <v>0</v>
      </c>
      <c r="BC51" s="562">
        <f t="shared" si="60"/>
        <v>0</v>
      </c>
      <c r="BD51" s="560">
        <f t="shared" si="32"/>
        <v>0</v>
      </c>
      <c r="BE51" s="561">
        <f t="shared" si="33"/>
        <v>0</v>
      </c>
      <c r="BF51" s="566">
        <f t="shared" si="34"/>
        <v>0</v>
      </c>
      <c r="BG51" s="560">
        <f t="shared" si="61"/>
        <v>0</v>
      </c>
      <c r="BH51" s="561">
        <f t="shared" si="62"/>
        <v>0</v>
      </c>
      <c r="BI51" s="566">
        <f t="shared" si="63"/>
        <v>0</v>
      </c>
      <c r="BJ51" s="285"/>
      <c r="BK51" s="356"/>
      <c r="BL51" s="559" t="s">
        <v>107</v>
      </c>
      <c r="BM51" s="560"/>
      <c r="BN51" s="561"/>
      <c r="BO51" s="562">
        <f t="shared" si="52"/>
        <v>0</v>
      </c>
      <c r="BP51" s="562">
        <f t="shared" si="53"/>
        <v>0</v>
      </c>
      <c r="BQ51" s="560">
        <f t="shared" si="37"/>
        <v>0</v>
      </c>
      <c r="BR51" s="561">
        <f t="shared" si="38"/>
        <v>0</v>
      </c>
      <c r="BS51" s="566">
        <f t="shared" si="39"/>
        <v>0</v>
      </c>
      <c r="BT51" s="560">
        <f t="shared" si="64"/>
        <v>0</v>
      </c>
      <c r="BU51" s="561">
        <f t="shared" si="65"/>
        <v>0</v>
      </c>
      <c r="BV51" s="566">
        <f t="shared" si="66"/>
        <v>0</v>
      </c>
    </row>
    <row r="52" spans="3:78" ht="12.75" customHeight="1">
      <c r="C52" s="173" t="str">
        <f ca="1">+IF(OFFSET(Processes!B33,$D$11,0)="*","*",OFFSET(Processes!D33,$D$11,0))</f>
        <v>INDSDSHBBGAE1</v>
      </c>
      <c r="D52" s="146" t="str">
        <f ca="1">+OFFSET(Processes!E33,$D$11,0)</f>
        <v>Iron &amp; Steel  Heat Room Boiler - Biogas Existing 1</v>
      </c>
      <c r="E52" s="149" t="str">
        <f>+Processes!O33</f>
        <v>INDBGA</v>
      </c>
      <c r="F52" s="149" t="str">
        <f ca="1">+OFFSET(Processes!$M$12,$D$11,0) &amp; Processes!P33</f>
        <v>ISDSH</v>
      </c>
      <c r="G52" s="322">
        <f t="shared" si="14"/>
        <v>0</v>
      </c>
      <c r="H52" s="322">
        <f t="shared" si="15"/>
        <v>0</v>
      </c>
      <c r="I52" s="322">
        <f t="shared" si="16"/>
        <v>0</v>
      </c>
      <c r="J52" s="322" t="e">
        <f t="shared" si="17"/>
        <v>#REF!</v>
      </c>
      <c r="K52" s="322" t="e">
        <f t="shared" si="18"/>
        <v>#REF!</v>
      </c>
      <c r="L52" s="322" t="e">
        <f t="shared" si="19"/>
        <v>#REF!</v>
      </c>
      <c r="M52" s="322">
        <f t="shared" si="20"/>
        <v>0</v>
      </c>
      <c r="N52" s="322">
        <f t="shared" si="21"/>
        <v>0</v>
      </c>
      <c r="O52" s="322">
        <f t="shared" si="22"/>
        <v>0</v>
      </c>
      <c r="P52" s="322">
        <f t="shared" si="23"/>
        <v>0</v>
      </c>
      <c r="Q52" s="322">
        <f t="shared" si="24"/>
        <v>0</v>
      </c>
      <c r="R52" s="322">
        <f t="shared" si="25"/>
        <v>0</v>
      </c>
      <c r="S52" s="322">
        <f t="shared" si="1"/>
        <v>0</v>
      </c>
      <c r="T52" s="322">
        <f t="shared" si="2"/>
        <v>0</v>
      </c>
      <c r="U52" s="322">
        <f t="shared" si="3"/>
        <v>0</v>
      </c>
      <c r="V52" s="322">
        <v>5</v>
      </c>
      <c r="W52" s="343">
        <f>J136</f>
        <v>1</v>
      </c>
      <c r="X52" s="522">
        <f t="shared" ref="X52:Y55" si="79">W52</f>
        <v>1</v>
      </c>
      <c r="Y52" s="522">
        <f t="shared" si="79"/>
        <v>1</v>
      </c>
      <c r="Z52" s="169">
        <f>3.6*8760/1000000</f>
        <v>3.1536000000000002E-2</v>
      </c>
      <c r="AA52" s="392">
        <f t="shared" ref="AA52:AA60" si="80">$AA$26</f>
        <v>0.5</v>
      </c>
      <c r="AB52" s="280">
        <v>20</v>
      </c>
      <c r="AC52" s="271"/>
      <c r="AD52" s="269"/>
      <c r="AE52" s="275"/>
      <c r="AF52" s="285"/>
      <c r="AG52" s="236">
        <f t="shared" ref="AG52:AG62" si="81">((G52*Z52*AA52/W52)+(H52*Z52*AA52/X52))/$G$21</f>
        <v>0</v>
      </c>
      <c r="AH52" s="236" t="e">
        <f t="shared" ref="AH52:AH62" si="82">((J52*Z52*AA52/W52)+(K52*Z52*AA52/X52))/$J$21</f>
        <v>#REF!</v>
      </c>
      <c r="AI52" s="236">
        <f t="shared" ref="AI52:AI62" si="83">((M52*AA52*Z52/W52)+(N52*Z52*AA52/X52))/$M$21</f>
        <v>0</v>
      </c>
      <c r="AK52" s="356"/>
      <c r="AL52" s="559" t="s">
        <v>100</v>
      </c>
      <c r="AM52" s="560">
        <f>J82/1000</f>
        <v>0</v>
      </c>
      <c r="AN52" s="561">
        <f t="shared" si="76"/>
        <v>0</v>
      </c>
      <c r="AO52" s="562">
        <f t="shared" si="77"/>
        <v>0</v>
      </c>
      <c r="AP52" s="562">
        <f t="shared" si="78"/>
        <v>0</v>
      </c>
      <c r="AQ52" s="582">
        <f t="shared" si="27"/>
        <v>0</v>
      </c>
      <c r="AR52" s="562">
        <f t="shared" si="28"/>
        <v>0</v>
      </c>
      <c r="AS52" s="563">
        <f t="shared" si="29"/>
        <v>0</v>
      </c>
      <c r="AT52" s="560">
        <f t="shared" ref="AT52:AV56" si="84">IFERROR(AQ52/W52,0)</f>
        <v>0</v>
      </c>
      <c r="AU52" s="561">
        <f t="shared" si="84"/>
        <v>0</v>
      </c>
      <c r="AV52" s="566">
        <f t="shared" si="84"/>
        <v>0</v>
      </c>
      <c r="AW52" s="285"/>
      <c r="AX52" s="356"/>
      <c r="AY52" s="559" t="s">
        <v>100</v>
      </c>
      <c r="AZ52" s="560" t="e">
        <f>J102/1000</f>
        <v>#REF!</v>
      </c>
      <c r="BA52" s="561" t="e">
        <f>AZ52*$AN$23</f>
        <v>#REF!</v>
      </c>
      <c r="BB52" s="562" t="e">
        <f t="shared" si="59"/>
        <v>#REF!</v>
      </c>
      <c r="BC52" s="562" t="e">
        <f t="shared" si="60"/>
        <v>#REF!</v>
      </c>
      <c r="BD52" s="560">
        <f t="shared" si="32"/>
        <v>0</v>
      </c>
      <c r="BE52" s="561">
        <f t="shared" si="33"/>
        <v>0</v>
      </c>
      <c r="BF52" s="566">
        <f t="shared" si="34"/>
        <v>0</v>
      </c>
      <c r="BG52" s="560">
        <f t="shared" si="61"/>
        <v>0</v>
      </c>
      <c r="BH52" s="561">
        <f t="shared" si="62"/>
        <v>0</v>
      </c>
      <c r="BI52" s="566">
        <f t="shared" si="63"/>
        <v>0</v>
      </c>
      <c r="BJ52" s="285"/>
      <c r="BK52" s="356"/>
      <c r="BL52" s="559" t="s">
        <v>100</v>
      </c>
      <c r="BM52" s="560">
        <f>J122/1000</f>
        <v>0</v>
      </c>
      <c r="BN52" s="561">
        <f>BM52*$AN$23</f>
        <v>0</v>
      </c>
      <c r="BO52" s="562">
        <f t="shared" si="52"/>
        <v>0</v>
      </c>
      <c r="BP52" s="562">
        <f t="shared" si="53"/>
        <v>0</v>
      </c>
      <c r="BQ52" s="560">
        <f t="shared" si="37"/>
        <v>0</v>
      </c>
      <c r="BR52" s="561">
        <f t="shared" si="38"/>
        <v>0</v>
      </c>
      <c r="BS52" s="566">
        <f t="shared" si="39"/>
        <v>0</v>
      </c>
      <c r="BT52" s="560">
        <f t="shared" si="64"/>
        <v>0</v>
      </c>
      <c r="BU52" s="561">
        <f t="shared" si="65"/>
        <v>0</v>
      </c>
      <c r="BV52" s="566">
        <f t="shared" si="66"/>
        <v>0</v>
      </c>
      <c r="BX52" s="385"/>
      <c r="BY52" s="385"/>
      <c r="BZ52" s="45"/>
    </row>
    <row r="53" spans="3:78" ht="12.75" customHeight="1">
      <c r="C53" s="173" t="str">
        <f ca="1">+IF(OFFSET(Processes!B34,$D$11,0)="*","*",OFFSET(Processes!D34,$D$11,0))</f>
        <v>INDSDSHBHFOE1</v>
      </c>
      <c r="D53" s="146" t="str">
        <f ca="1">+OFFSET(Processes!E34,$D$11,0)</f>
        <v>Iron &amp; Steel  Heat Room Boiler - Heavy Fuel Oil Existing 1</v>
      </c>
      <c r="E53" s="149" t="str">
        <f>+Processes!O34</f>
        <v>INDHFO</v>
      </c>
      <c r="F53" s="149" t="str">
        <f ca="1">+OFFSET(Processes!$M$12,$D$11,0) &amp; Processes!P34</f>
        <v>ISDSH</v>
      </c>
      <c r="G53" s="322">
        <f t="shared" si="14"/>
        <v>0</v>
      </c>
      <c r="H53" s="322">
        <f t="shared" si="15"/>
        <v>0</v>
      </c>
      <c r="I53" s="322">
        <f t="shared" si="16"/>
        <v>0</v>
      </c>
      <c r="J53" s="322">
        <f t="shared" si="17"/>
        <v>0</v>
      </c>
      <c r="K53" s="322">
        <f t="shared" si="18"/>
        <v>0</v>
      </c>
      <c r="L53" s="322">
        <f t="shared" si="19"/>
        <v>0</v>
      </c>
      <c r="M53" s="322">
        <f t="shared" si="20"/>
        <v>0</v>
      </c>
      <c r="N53" s="322">
        <f t="shared" si="21"/>
        <v>0</v>
      </c>
      <c r="O53" s="322">
        <f t="shared" si="22"/>
        <v>0</v>
      </c>
      <c r="P53" s="322">
        <f t="shared" si="23"/>
        <v>0</v>
      </c>
      <c r="Q53" s="322">
        <f t="shared" si="24"/>
        <v>0</v>
      </c>
      <c r="R53" s="322">
        <f t="shared" si="25"/>
        <v>0</v>
      </c>
      <c r="S53" s="322">
        <f t="shared" si="1"/>
        <v>0</v>
      </c>
      <c r="T53" s="322">
        <f t="shared" si="2"/>
        <v>0</v>
      </c>
      <c r="U53" s="322">
        <f t="shared" si="3"/>
        <v>0</v>
      </c>
      <c r="V53" s="322">
        <v>5</v>
      </c>
      <c r="W53" s="343">
        <f>E136</f>
        <v>0.95</v>
      </c>
      <c r="X53" s="522">
        <f t="shared" si="79"/>
        <v>0.95</v>
      </c>
      <c r="Y53" s="522">
        <f t="shared" si="79"/>
        <v>0.95</v>
      </c>
      <c r="Z53" s="169">
        <f>3.6*8760/1000000</f>
        <v>3.1536000000000002E-2</v>
      </c>
      <c r="AA53" s="392">
        <f t="shared" si="80"/>
        <v>0.5</v>
      </c>
      <c r="AB53" s="280">
        <v>20</v>
      </c>
      <c r="AC53" s="269"/>
      <c r="AD53" s="269"/>
      <c r="AE53" s="275"/>
      <c r="AF53" s="285"/>
      <c r="AG53" s="236">
        <f t="shared" si="81"/>
        <v>0</v>
      </c>
      <c r="AH53" s="236">
        <f t="shared" si="82"/>
        <v>0</v>
      </c>
      <c r="AI53" s="236">
        <f t="shared" si="83"/>
        <v>0</v>
      </c>
      <c r="AK53" s="356"/>
      <c r="AL53" s="559" t="s">
        <v>101</v>
      </c>
      <c r="AM53" s="560">
        <f>E82/1000</f>
        <v>0</v>
      </c>
      <c r="AN53" s="561">
        <f t="shared" si="76"/>
        <v>0</v>
      </c>
      <c r="AO53" s="562">
        <f t="shared" si="77"/>
        <v>0</v>
      </c>
      <c r="AP53" s="562">
        <f t="shared" si="78"/>
        <v>0</v>
      </c>
      <c r="AQ53" s="582">
        <f t="shared" si="27"/>
        <v>0</v>
      </c>
      <c r="AR53" s="562">
        <f t="shared" si="28"/>
        <v>0</v>
      </c>
      <c r="AS53" s="563">
        <f t="shared" si="29"/>
        <v>0</v>
      </c>
      <c r="AT53" s="560">
        <f t="shared" si="84"/>
        <v>0</v>
      </c>
      <c r="AU53" s="561">
        <f t="shared" si="84"/>
        <v>0</v>
      </c>
      <c r="AV53" s="566">
        <f t="shared" si="84"/>
        <v>0</v>
      </c>
      <c r="AW53" s="285"/>
      <c r="AX53" s="356"/>
      <c r="AY53" s="559" t="s">
        <v>101</v>
      </c>
      <c r="AZ53" s="560">
        <f>E102/1000</f>
        <v>0</v>
      </c>
      <c r="BA53" s="561">
        <f>AZ53*$AN$23</f>
        <v>0</v>
      </c>
      <c r="BB53" s="562">
        <f t="shared" si="59"/>
        <v>0</v>
      </c>
      <c r="BC53" s="562">
        <f t="shared" si="60"/>
        <v>0</v>
      </c>
      <c r="BD53" s="560">
        <f t="shared" si="32"/>
        <v>0</v>
      </c>
      <c r="BE53" s="561">
        <f t="shared" si="33"/>
        <v>0</v>
      </c>
      <c r="BF53" s="566">
        <f t="shared" si="34"/>
        <v>0</v>
      </c>
      <c r="BG53" s="560">
        <f t="shared" si="61"/>
        <v>0</v>
      </c>
      <c r="BH53" s="561">
        <f t="shared" si="62"/>
        <v>0</v>
      </c>
      <c r="BI53" s="566">
        <f t="shared" si="63"/>
        <v>0</v>
      </c>
      <c r="BJ53" s="285"/>
      <c r="BK53" s="356"/>
      <c r="BL53" s="559" t="s">
        <v>101</v>
      </c>
      <c r="BM53" s="560">
        <f>E122/1000</f>
        <v>0</v>
      </c>
      <c r="BN53" s="561">
        <f>BM53*$AN$23</f>
        <v>0</v>
      </c>
      <c r="BO53" s="562">
        <f t="shared" si="52"/>
        <v>0</v>
      </c>
      <c r="BP53" s="562">
        <f t="shared" si="53"/>
        <v>0</v>
      </c>
      <c r="BQ53" s="560">
        <f t="shared" si="37"/>
        <v>0</v>
      </c>
      <c r="BR53" s="561">
        <f t="shared" si="38"/>
        <v>0</v>
      </c>
      <c r="BS53" s="566">
        <f t="shared" si="39"/>
        <v>0</v>
      </c>
      <c r="BT53" s="560">
        <f t="shared" si="64"/>
        <v>0</v>
      </c>
      <c r="BU53" s="561">
        <f t="shared" si="65"/>
        <v>0</v>
      </c>
      <c r="BV53" s="566">
        <f t="shared" si="66"/>
        <v>0</v>
      </c>
      <c r="BY53" s="385"/>
      <c r="BZ53" s="285"/>
    </row>
    <row r="54" spans="3:78" ht="12.75" customHeight="1">
      <c r="C54" s="173" t="str">
        <f ca="1">+IF(OFFSET(Processes!B35,$D$11,0)="*","*",OFFSET(Processes!D35,$D$11,0))</f>
        <v>INDSDSHBLPGE1</v>
      </c>
      <c r="D54" s="146" t="str">
        <f ca="1">+OFFSET(Processes!E35,$D$11,0)</f>
        <v>Iron &amp; Steel  Heat Room Boiler - Liquified Petroleum Gas Existing 1</v>
      </c>
      <c r="E54" s="149" t="str">
        <f>+Processes!O35</f>
        <v>INDLPG</v>
      </c>
      <c r="F54" s="149" t="str">
        <f ca="1">+OFFSET(Processes!$M$12,$D$11,0) &amp; Processes!P35</f>
        <v>ISDSH</v>
      </c>
      <c r="G54" s="322">
        <f t="shared" si="14"/>
        <v>0</v>
      </c>
      <c r="H54" s="322">
        <f t="shared" si="15"/>
        <v>0</v>
      </c>
      <c r="I54" s="322">
        <f t="shared" si="16"/>
        <v>0</v>
      </c>
      <c r="J54" s="322">
        <f t="shared" si="17"/>
        <v>0</v>
      </c>
      <c r="K54" s="322">
        <f t="shared" si="18"/>
        <v>0</v>
      </c>
      <c r="L54" s="322">
        <f t="shared" si="19"/>
        <v>0</v>
      </c>
      <c r="M54" s="322" t="e">
        <f t="shared" si="20"/>
        <v>#REF!</v>
      </c>
      <c r="N54" s="322" t="e">
        <f t="shared" si="21"/>
        <v>#REF!</v>
      </c>
      <c r="O54" s="322" t="e">
        <f t="shared" si="22"/>
        <v>#REF!</v>
      </c>
      <c r="P54" s="322" t="e">
        <f t="shared" si="23"/>
        <v>#REF!</v>
      </c>
      <c r="Q54" s="322" t="e">
        <f t="shared" si="24"/>
        <v>#REF!</v>
      </c>
      <c r="R54" s="322" t="e">
        <f t="shared" si="25"/>
        <v>#REF!</v>
      </c>
      <c r="S54" s="322" t="e">
        <f t="shared" si="1"/>
        <v>#REF!</v>
      </c>
      <c r="T54" s="322" t="e">
        <f t="shared" si="2"/>
        <v>#REF!</v>
      </c>
      <c r="U54" s="322" t="e">
        <f t="shared" si="3"/>
        <v>#REF!</v>
      </c>
      <c r="V54" s="322">
        <v>5</v>
      </c>
      <c r="W54" s="343">
        <f>H136</f>
        <v>1</v>
      </c>
      <c r="X54" s="522">
        <f t="shared" si="79"/>
        <v>1</v>
      </c>
      <c r="Y54" s="522">
        <f t="shared" si="79"/>
        <v>1</v>
      </c>
      <c r="Z54" s="169">
        <f>3.6*8760/1000000</f>
        <v>3.1536000000000002E-2</v>
      </c>
      <c r="AA54" s="392">
        <f t="shared" si="80"/>
        <v>0.5</v>
      </c>
      <c r="AB54" s="280">
        <v>20</v>
      </c>
      <c r="AC54" s="269"/>
      <c r="AD54" s="269"/>
      <c r="AE54" s="275"/>
      <c r="AF54" s="285"/>
      <c r="AG54" s="236">
        <f t="shared" si="81"/>
        <v>0</v>
      </c>
      <c r="AH54" s="236">
        <f t="shared" si="82"/>
        <v>0</v>
      </c>
      <c r="AI54" s="236" t="e">
        <f t="shared" si="83"/>
        <v>#REF!</v>
      </c>
      <c r="AK54" s="356"/>
      <c r="AL54" s="559" t="s">
        <v>53</v>
      </c>
      <c r="AM54" s="560">
        <f>H82/1000</f>
        <v>0</v>
      </c>
      <c r="AN54" s="561">
        <f t="shared" si="76"/>
        <v>0</v>
      </c>
      <c r="AO54" s="562">
        <f t="shared" si="77"/>
        <v>0</v>
      </c>
      <c r="AP54" s="562">
        <f t="shared" si="78"/>
        <v>0</v>
      </c>
      <c r="AQ54" s="582">
        <f t="shared" si="27"/>
        <v>0</v>
      </c>
      <c r="AR54" s="562">
        <f t="shared" si="28"/>
        <v>0</v>
      </c>
      <c r="AS54" s="563">
        <f t="shared" si="29"/>
        <v>0</v>
      </c>
      <c r="AT54" s="560">
        <f t="shared" si="84"/>
        <v>0</v>
      </c>
      <c r="AU54" s="561">
        <f t="shared" si="84"/>
        <v>0</v>
      </c>
      <c r="AV54" s="566">
        <f t="shared" si="84"/>
        <v>0</v>
      </c>
      <c r="AW54" s="285"/>
      <c r="AX54" s="356"/>
      <c r="AY54" s="559" t="s">
        <v>53</v>
      </c>
      <c r="AZ54" s="560">
        <f>H102/1000</f>
        <v>0</v>
      </c>
      <c r="BA54" s="561">
        <f>AZ54*$AN$23</f>
        <v>0</v>
      </c>
      <c r="BB54" s="562">
        <f t="shared" si="59"/>
        <v>0</v>
      </c>
      <c r="BC54" s="562">
        <f t="shared" si="60"/>
        <v>0</v>
      </c>
      <c r="BD54" s="560">
        <f t="shared" si="32"/>
        <v>0</v>
      </c>
      <c r="BE54" s="561">
        <f t="shared" si="33"/>
        <v>0</v>
      </c>
      <c r="BF54" s="566">
        <f t="shared" si="34"/>
        <v>0</v>
      </c>
      <c r="BG54" s="560">
        <f t="shared" si="61"/>
        <v>0</v>
      </c>
      <c r="BH54" s="561">
        <f t="shared" si="62"/>
        <v>0</v>
      </c>
      <c r="BI54" s="566">
        <f t="shared" si="63"/>
        <v>0</v>
      </c>
      <c r="BJ54" s="285"/>
      <c r="BK54" s="356"/>
      <c r="BL54" s="559" t="s">
        <v>53</v>
      </c>
      <c r="BM54" s="560" t="e">
        <f>H122/1000</f>
        <v>#REF!</v>
      </c>
      <c r="BN54" s="561" t="e">
        <f>BM54*$AN$23</f>
        <v>#REF!</v>
      </c>
      <c r="BO54" s="562" t="e">
        <f t="shared" si="52"/>
        <v>#REF!</v>
      </c>
      <c r="BP54" s="562" t="e">
        <f t="shared" si="53"/>
        <v>#REF!</v>
      </c>
      <c r="BQ54" s="560">
        <f t="shared" si="37"/>
        <v>0</v>
      </c>
      <c r="BR54" s="561">
        <f t="shared" si="38"/>
        <v>0</v>
      </c>
      <c r="BS54" s="566">
        <f t="shared" si="39"/>
        <v>0</v>
      </c>
      <c r="BT54" s="560">
        <f t="shared" si="64"/>
        <v>0</v>
      </c>
      <c r="BU54" s="561">
        <f t="shared" si="65"/>
        <v>0</v>
      </c>
      <c r="BV54" s="566">
        <f t="shared" si="66"/>
        <v>0</v>
      </c>
    </row>
    <row r="55" spans="3:78" ht="12.75" customHeight="1">
      <c r="C55" s="173" t="str">
        <f ca="1">+IF(OFFSET(Processes!B36,$D$11,0)="*","*",OFFSET(Processes!D36,$D$11,0))</f>
        <v>INDSDSHBWSTE1</v>
      </c>
      <c r="D55" s="146" t="str">
        <f ca="1">+OFFSET(Processes!E36,$D$11,0)</f>
        <v>Iron &amp; Steel  Heat Room Boiler - Waste Existing 1</v>
      </c>
      <c r="E55" s="149" t="str">
        <f>+Processes!O36</f>
        <v>INDWST</v>
      </c>
      <c r="F55" s="149" t="str">
        <f ca="1">+OFFSET(Processes!$M$12,$D$11,0) &amp; Processes!P36</f>
        <v>ISDSH</v>
      </c>
      <c r="G55" s="322">
        <f t="shared" si="14"/>
        <v>0</v>
      </c>
      <c r="H55" s="322">
        <f t="shared" si="15"/>
        <v>0</v>
      </c>
      <c r="I55" s="322">
        <f t="shared" si="16"/>
        <v>0</v>
      </c>
      <c r="J55" s="322">
        <f t="shared" si="17"/>
        <v>0</v>
      </c>
      <c r="K55" s="322">
        <f t="shared" si="18"/>
        <v>0</v>
      </c>
      <c r="L55" s="322">
        <f t="shared" si="19"/>
        <v>0</v>
      </c>
      <c r="M55" s="322">
        <f t="shared" si="20"/>
        <v>0</v>
      </c>
      <c r="N55" s="322">
        <f t="shared" si="21"/>
        <v>0</v>
      </c>
      <c r="O55" s="322">
        <f t="shared" si="22"/>
        <v>0</v>
      </c>
      <c r="P55" s="322">
        <f t="shared" si="23"/>
        <v>0</v>
      </c>
      <c r="Q55" s="322">
        <f t="shared" si="24"/>
        <v>0</v>
      </c>
      <c r="R55" s="322">
        <f t="shared" si="25"/>
        <v>0</v>
      </c>
      <c r="S55" s="322">
        <f t="shared" si="1"/>
        <v>0</v>
      </c>
      <c r="T55" s="322">
        <f t="shared" si="2"/>
        <v>0</v>
      </c>
      <c r="U55" s="322">
        <f t="shared" si="3"/>
        <v>0</v>
      </c>
      <c r="V55" s="322">
        <v>5</v>
      </c>
      <c r="W55" s="343">
        <f>L136</f>
        <v>0.95</v>
      </c>
      <c r="X55" s="522">
        <f t="shared" si="79"/>
        <v>0.95</v>
      </c>
      <c r="Y55" s="522">
        <f t="shared" si="79"/>
        <v>0.95</v>
      </c>
      <c r="Z55" s="169">
        <f t="shared" ref="Z55:Z62" si="85">3.6*8760/1000000</f>
        <v>3.1536000000000002E-2</v>
      </c>
      <c r="AA55" s="392">
        <f t="shared" si="80"/>
        <v>0.5</v>
      </c>
      <c r="AB55" s="280">
        <v>20</v>
      </c>
      <c r="AC55" s="271"/>
      <c r="AD55" s="269"/>
      <c r="AE55" s="275"/>
      <c r="AF55" s="285"/>
      <c r="AG55" s="236">
        <f t="shared" si="81"/>
        <v>0</v>
      </c>
      <c r="AH55" s="236">
        <f t="shared" si="82"/>
        <v>0</v>
      </c>
      <c r="AI55" s="236">
        <f t="shared" si="83"/>
        <v>0</v>
      </c>
      <c r="AK55" s="356"/>
      <c r="AL55" s="559" t="s">
        <v>102</v>
      </c>
      <c r="AM55" s="560">
        <f>$L82/1000</f>
        <v>0</v>
      </c>
      <c r="AN55" s="561">
        <f t="shared" si="76"/>
        <v>0</v>
      </c>
      <c r="AO55" s="562">
        <f t="shared" si="77"/>
        <v>0</v>
      </c>
      <c r="AP55" s="562">
        <f t="shared" si="78"/>
        <v>0</v>
      </c>
      <c r="AQ55" s="582">
        <f t="shared" si="27"/>
        <v>0</v>
      </c>
      <c r="AR55" s="562">
        <f t="shared" si="28"/>
        <v>0</v>
      </c>
      <c r="AS55" s="563">
        <f t="shared" si="29"/>
        <v>0</v>
      </c>
      <c r="AT55" s="560">
        <f t="shared" si="84"/>
        <v>0</v>
      </c>
      <c r="AU55" s="561">
        <f t="shared" si="84"/>
        <v>0</v>
      </c>
      <c r="AV55" s="566">
        <f t="shared" si="84"/>
        <v>0</v>
      </c>
      <c r="AW55" s="285"/>
      <c r="AX55" s="356"/>
      <c r="AY55" s="559" t="s">
        <v>102</v>
      </c>
      <c r="AZ55" s="560">
        <f>$L102/1000</f>
        <v>0</v>
      </c>
      <c r="BA55" s="561">
        <f>AZ55*$AN$23</f>
        <v>0</v>
      </c>
      <c r="BB55" s="562">
        <f t="shared" si="59"/>
        <v>0</v>
      </c>
      <c r="BC55" s="562">
        <f t="shared" si="60"/>
        <v>0</v>
      </c>
      <c r="BD55" s="560">
        <f t="shared" si="32"/>
        <v>0</v>
      </c>
      <c r="BE55" s="561">
        <f t="shared" si="33"/>
        <v>0</v>
      </c>
      <c r="BF55" s="566">
        <f t="shared" si="34"/>
        <v>0</v>
      </c>
      <c r="BG55" s="560">
        <f t="shared" si="61"/>
        <v>0</v>
      </c>
      <c r="BH55" s="561">
        <f t="shared" si="62"/>
        <v>0</v>
      </c>
      <c r="BI55" s="566">
        <f t="shared" si="63"/>
        <v>0</v>
      </c>
      <c r="BJ55" s="285"/>
      <c r="BK55" s="356"/>
      <c r="BL55" s="559" t="s">
        <v>102</v>
      </c>
      <c r="BM55" s="560">
        <f>$L122/1000</f>
        <v>0</v>
      </c>
      <c r="BN55" s="561">
        <f>BM55*$AN$23</f>
        <v>0</v>
      </c>
      <c r="BO55" s="562">
        <f t="shared" si="52"/>
        <v>0</v>
      </c>
      <c r="BP55" s="562">
        <f t="shared" si="53"/>
        <v>0</v>
      </c>
      <c r="BQ55" s="560">
        <f t="shared" si="37"/>
        <v>0</v>
      </c>
      <c r="BR55" s="561">
        <f t="shared" si="38"/>
        <v>0</v>
      </c>
      <c r="BS55" s="566">
        <f t="shared" si="39"/>
        <v>0</v>
      </c>
      <c r="BT55" s="560">
        <f t="shared" si="64"/>
        <v>0</v>
      </c>
      <c r="BU55" s="561">
        <f t="shared" si="65"/>
        <v>0</v>
      </c>
      <c r="BV55" s="566">
        <f t="shared" si="66"/>
        <v>0</v>
      </c>
    </row>
    <row r="56" spans="3:78" ht="12.75" customHeight="1">
      <c r="C56" s="173" t="str">
        <f ca="1">+IF(OFFSET(Processes!B37,$D$11,0)="*","*",OFFSET(Processes!D37,$D$11,0))</f>
        <v>INDSDSHBHETE1</v>
      </c>
      <c r="D56" s="146" t="str">
        <f ca="1">+OFFSET(Processes!E37,$D$11,0)</f>
        <v>Iron &amp; Steel  Heat Room Boiler - Dist. Heat Existing 1</v>
      </c>
      <c r="E56" s="149" t="str">
        <f>+Processes!O37</f>
        <v>INDHCE</v>
      </c>
      <c r="F56" s="149" t="str">
        <f ca="1">+OFFSET(Processes!$M$12,$D$11,0) &amp; Processes!P37</f>
        <v>ISDSH</v>
      </c>
      <c r="G56" s="321">
        <f t="shared" si="14"/>
        <v>108.11500000000001</v>
      </c>
      <c r="H56" s="321">
        <f t="shared" si="15"/>
        <v>0</v>
      </c>
      <c r="I56" s="321">
        <f t="shared" si="16"/>
        <v>0</v>
      </c>
      <c r="J56" s="321">
        <f t="shared" si="17"/>
        <v>93.468000000000004</v>
      </c>
      <c r="K56" s="321">
        <f t="shared" si="18"/>
        <v>0</v>
      </c>
      <c r="L56" s="321">
        <f t="shared" si="19"/>
        <v>0</v>
      </c>
      <c r="M56" s="321">
        <f t="shared" si="20"/>
        <v>5395.2269999999999</v>
      </c>
      <c r="N56" s="321">
        <f t="shared" si="21"/>
        <v>0</v>
      </c>
      <c r="O56" s="321">
        <f t="shared" si="22"/>
        <v>0</v>
      </c>
      <c r="P56" s="321">
        <f t="shared" si="23"/>
        <v>5395.2269999999999</v>
      </c>
      <c r="Q56" s="321">
        <f t="shared" si="24"/>
        <v>0</v>
      </c>
      <c r="R56" s="321">
        <f t="shared" si="25"/>
        <v>0</v>
      </c>
      <c r="S56" s="321">
        <f t="shared" si="1"/>
        <v>0</v>
      </c>
      <c r="T56" s="321">
        <f t="shared" si="2"/>
        <v>0</v>
      </c>
      <c r="U56" s="321">
        <f t="shared" si="3"/>
        <v>0</v>
      </c>
      <c r="V56" s="321">
        <v>5</v>
      </c>
      <c r="W56" s="343">
        <f>$N$136</f>
        <v>0.96</v>
      </c>
      <c r="X56" s="522">
        <f>$W$56</f>
        <v>0.96</v>
      </c>
      <c r="Y56" s="522">
        <f>$W$56</f>
        <v>0.96</v>
      </c>
      <c r="Z56" s="169">
        <f t="shared" si="85"/>
        <v>3.1536000000000002E-2</v>
      </c>
      <c r="AA56" s="392">
        <f t="shared" si="80"/>
        <v>0.5</v>
      </c>
      <c r="AB56" s="280">
        <v>20</v>
      </c>
      <c r="AC56" s="319"/>
      <c r="AD56" s="319"/>
      <c r="AE56" s="273"/>
      <c r="AF56" s="285"/>
      <c r="AG56" s="236">
        <f t="shared" si="81"/>
        <v>1.7740148601398604</v>
      </c>
      <c r="AH56" s="236">
        <f t="shared" si="82"/>
        <v>1.520011782178218</v>
      </c>
      <c r="AI56" s="236">
        <f t="shared" si="83"/>
        <v>87.73921136138614</v>
      </c>
      <c r="AK56" s="356"/>
      <c r="AL56" s="559" t="s">
        <v>103</v>
      </c>
      <c r="AM56" s="560">
        <f>N82/1000</f>
        <v>1.774</v>
      </c>
      <c r="AN56" s="613">
        <f>AM56</f>
        <v>1.774</v>
      </c>
      <c r="AO56" s="614">
        <v>0</v>
      </c>
      <c r="AP56" s="614">
        <v>0</v>
      </c>
      <c r="AQ56" s="582">
        <f t="shared" si="27"/>
        <v>1.703054265734266</v>
      </c>
      <c r="AR56" s="562">
        <f t="shared" si="28"/>
        <v>0</v>
      </c>
      <c r="AS56" s="563">
        <f t="shared" si="29"/>
        <v>0</v>
      </c>
      <c r="AT56" s="560">
        <f t="shared" si="84"/>
        <v>1.7740148601398604</v>
      </c>
      <c r="AU56" s="561">
        <f t="shared" si="84"/>
        <v>0</v>
      </c>
      <c r="AV56" s="566">
        <f t="shared" si="84"/>
        <v>0</v>
      </c>
      <c r="AW56" s="285"/>
      <c r="AX56" s="356"/>
      <c r="AY56" s="559" t="s">
        <v>103</v>
      </c>
      <c r="AZ56" s="560">
        <f>N102/1000</f>
        <v>1.52</v>
      </c>
      <c r="BA56" s="613">
        <f>AZ56</f>
        <v>1.52</v>
      </c>
      <c r="BB56" s="614">
        <v>0</v>
      </c>
      <c r="BC56" s="614">
        <v>0</v>
      </c>
      <c r="BD56" s="560">
        <f t="shared" si="32"/>
        <v>1.4592113108910894</v>
      </c>
      <c r="BE56" s="561">
        <f t="shared" si="33"/>
        <v>0</v>
      </c>
      <c r="BF56" s="566">
        <f t="shared" si="34"/>
        <v>0</v>
      </c>
      <c r="BG56" s="560">
        <f t="shared" si="61"/>
        <v>1.5200117821782182</v>
      </c>
      <c r="BH56" s="561">
        <f t="shared" si="62"/>
        <v>0</v>
      </c>
      <c r="BI56" s="566">
        <f t="shared" si="63"/>
        <v>0</v>
      </c>
      <c r="BJ56" s="285"/>
      <c r="BK56" s="356"/>
      <c r="BL56" s="559" t="s">
        <v>103</v>
      </c>
      <c r="BM56" s="560">
        <f>N122/1000</f>
        <v>87.739199999999997</v>
      </c>
      <c r="BN56" s="613">
        <f>BM56</f>
        <v>87.739199999999997</v>
      </c>
      <c r="BO56" s="614">
        <v>0</v>
      </c>
      <c r="BP56" s="614">
        <v>0</v>
      </c>
      <c r="BQ56" s="560">
        <f t="shared" si="37"/>
        <v>84.229642906930692</v>
      </c>
      <c r="BR56" s="561">
        <f t="shared" si="38"/>
        <v>0</v>
      </c>
      <c r="BS56" s="566">
        <f t="shared" si="39"/>
        <v>0</v>
      </c>
      <c r="BT56" s="560">
        <f t="shared" si="64"/>
        <v>87.73921136138614</v>
      </c>
      <c r="BU56" s="561">
        <f t="shared" si="65"/>
        <v>0</v>
      </c>
      <c r="BV56" s="566">
        <f t="shared" si="66"/>
        <v>0</v>
      </c>
    </row>
    <row r="57" spans="3:78" ht="12.75" customHeight="1">
      <c r="C57" s="173" t="str">
        <f ca="1">+IF(OFFSET(Processes!B38,$D$11,0)="*","*",OFFSET(Processes!D38,$D$11,0))</f>
        <v>INDSDSHBHETE2</v>
      </c>
      <c r="D57" s="146" t="str">
        <f ca="1">+OFFSET(Processes!E38,$D$11,0)</f>
        <v>Iron &amp; Steel  Heat Room Boiler - Dist. Heat Existing 2</v>
      </c>
      <c r="E57" s="149" t="str">
        <f>+Processes!O38</f>
        <v>INDHDE</v>
      </c>
      <c r="F57" s="149" t="str">
        <f ca="1">+OFFSET(Processes!$M$12,$D$11,0) &amp; Processes!P38</f>
        <v>ISDSH</v>
      </c>
      <c r="G57" s="321"/>
      <c r="H57" s="321"/>
      <c r="I57" s="321"/>
      <c r="J57" s="321"/>
      <c r="K57" s="321"/>
      <c r="L57" s="321"/>
      <c r="M57" s="321"/>
      <c r="N57" s="321"/>
      <c r="O57" s="321"/>
      <c r="P57" s="321">
        <f t="shared" si="23"/>
        <v>0</v>
      </c>
      <c r="Q57" s="321">
        <f t="shared" si="24"/>
        <v>0</v>
      </c>
      <c r="R57" s="321">
        <f t="shared" si="25"/>
        <v>0</v>
      </c>
      <c r="S57" s="321">
        <f t="shared" si="1"/>
        <v>0</v>
      </c>
      <c r="T57" s="321">
        <f t="shared" si="2"/>
        <v>0</v>
      </c>
      <c r="U57" s="321">
        <f t="shared" si="3"/>
        <v>0</v>
      </c>
      <c r="V57" s="321">
        <v>5</v>
      </c>
      <c r="W57" s="343">
        <f>$N$136</f>
        <v>0.96</v>
      </c>
      <c r="X57" s="522">
        <f>$W$56</f>
        <v>0.96</v>
      </c>
      <c r="Y57" s="522">
        <f>$W$56</f>
        <v>0.96</v>
      </c>
      <c r="Z57" s="269">
        <f t="shared" si="85"/>
        <v>3.1536000000000002E-2</v>
      </c>
      <c r="AA57" s="392">
        <f t="shared" si="80"/>
        <v>0.5</v>
      </c>
      <c r="AB57" s="331">
        <v>20</v>
      </c>
      <c r="AC57" s="319"/>
      <c r="AD57" s="319"/>
      <c r="AE57" s="273"/>
      <c r="AF57" s="285"/>
      <c r="AG57" s="236">
        <f t="shared" si="81"/>
        <v>0</v>
      </c>
      <c r="AH57" s="236">
        <f t="shared" si="82"/>
        <v>0</v>
      </c>
      <c r="AI57" s="236">
        <f t="shared" si="83"/>
        <v>0</v>
      </c>
      <c r="AK57" s="356"/>
      <c r="AL57" s="559" t="s">
        <v>104</v>
      </c>
      <c r="AM57" s="560"/>
      <c r="AN57" s="613">
        <f>AM57</f>
        <v>0</v>
      </c>
      <c r="AO57" s="614">
        <v>0</v>
      </c>
      <c r="AP57" s="614">
        <v>0</v>
      </c>
      <c r="AQ57" s="582">
        <f t="shared" si="27"/>
        <v>0</v>
      </c>
      <c r="AR57" s="562">
        <f t="shared" si="28"/>
        <v>0</v>
      </c>
      <c r="AS57" s="563">
        <f t="shared" si="29"/>
        <v>0</v>
      </c>
      <c r="AT57" s="560"/>
      <c r="AU57" s="561"/>
      <c r="AV57" s="566"/>
      <c r="AW57" s="285"/>
      <c r="AX57" s="356"/>
      <c r="AY57" s="559" t="s">
        <v>104</v>
      </c>
      <c r="AZ57" s="560"/>
      <c r="BA57" s="613">
        <f>AZ57</f>
        <v>0</v>
      </c>
      <c r="BB57" s="614">
        <v>0</v>
      </c>
      <c r="BC57" s="614">
        <v>0</v>
      </c>
      <c r="BD57" s="560">
        <f t="shared" si="32"/>
        <v>0</v>
      </c>
      <c r="BE57" s="561">
        <f t="shared" si="33"/>
        <v>0</v>
      </c>
      <c r="BF57" s="566">
        <f t="shared" si="34"/>
        <v>0</v>
      </c>
      <c r="BG57" s="560"/>
      <c r="BH57" s="561"/>
      <c r="BI57" s="566"/>
      <c r="BJ57" s="285"/>
      <c r="BK57" s="356"/>
      <c r="BL57" s="559" t="s">
        <v>104</v>
      </c>
      <c r="BM57" s="560"/>
      <c r="BN57" s="613">
        <f>BM57</f>
        <v>0</v>
      </c>
      <c r="BO57" s="614">
        <v>0</v>
      </c>
      <c r="BP57" s="614">
        <v>0</v>
      </c>
      <c r="BQ57" s="560">
        <f t="shared" si="37"/>
        <v>0</v>
      </c>
      <c r="BR57" s="561">
        <f t="shared" si="38"/>
        <v>0</v>
      </c>
      <c r="BS57" s="566">
        <f t="shared" si="39"/>
        <v>0</v>
      </c>
      <c r="BT57" s="560"/>
      <c r="BU57" s="561"/>
      <c r="BV57" s="566"/>
    </row>
    <row r="58" spans="3:78" ht="12.75" customHeight="1">
      <c r="C58" s="173" t="str">
        <f ca="1">+IF(OFFSET(Processes!B39,$D$11,0)="*","*",OFFSET(Processes!D39,$D$11,0))</f>
        <v>INDSDSHBELCE1</v>
      </c>
      <c r="D58" s="148" t="str">
        <f ca="1">+OFFSET(Processes!E39,$D$11,0)</f>
        <v>Iron &amp; Steel  Heat Room Boiler - Electricity Existing 1</v>
      </c>
      <c r="E58" s="172" t="str">
        <f>+Processes!O39</f>
        <v>INDELC</v>
      </c>
      <c r="F58" s="174" t="str">
        <f ca="1">+OFFSET(Processes!$M$12,$D$11,0) &amp; Processes!P39</f>
        <v>ISDSH</v>
      </c>
      <c r="G58" s="324">
        <f t="shared" si="14"/>
        <v>176.46700000000001</v>
      </c>
      <c r="H58" s="324">
        <f t="shared" si="15"/>
        <v>0</v>
      </c>
      <c r="I58" s="324">
        <f t="shared" si="16"/>
        <v>0</v>
      </c>
      <c r="J58" s="324">
        <f t="shared" si="17"/>
        <v>171.28399999999999</v>
      </c>
      <c r="K58" s="324">
        <f t="shared" si="18"/>
        <v>0</v>
      </c>
      <c r="L58" s="324">
        <f t="shared" si="19"/>
        <v>0</v>
      </c>
      <c r="M58" s="324">
        <f t="shared" si="20"/>
        <v>0</v>
      </c>
      <c r="N58" s="324">
        <f t="shared" si="21"/>
        <v>0</v>
      </c>
      <c r="O58" s="324">
        <f t="shared" si="22"/>
        <v>0</v>
      </c>
      <c r="P58" s="324">
        <f t="shared" si="23"/>
        <v>0</v>
      </c>
      <c r="Q58" s="324">
        <f t="shared" si="24"/>
        <v>0</v>
      </c>
      <c r="R58" s="324">
        <f t="shared" si="25"/>
        <v>0</v>
      </c>
      <c r="S58" s="324">
        <f t="shared" si="1"/>
        <v>0</v>
      </c>
      <c r="T58" s="324">
        <f t="shared" si="2"/>
        <v>0</v>
      </c>
      <c r="U58" s="324">
        <f t="shared" si="3"/>
        <v>0</v>
      </c>
      <c r="V58" s="558">
        <v>5</v>
      </c>
      <c r="W58" s="345">
        <f>M136</f>
        <v>0.95</v>
      </c>
      <c r="X58" s="523">
        <f>W58</f>
        <v>0.95</v>
      </c>
      <c r="Y58" s="523">
        <f>X58</f>
        <v>0.95</v>
      </c>
      <c r="Z58" s="177">
        <f t="shared" si="85"/>
        <v>3.1536000000000002E-2</v>
      </c>
      <c r="AA58" s="392">
        <f t="shared" si="80"/>
        <v>0.5</v>
      </c>
      <c r="AB58" s="280">
        <v>20</v>
      </c>
      <c r="AC58" s="177"/>
      <c r="AD58" s="169"/>
      <c r="AE58" s="180"/>
      <c r="AF58" s="285"/>
      <c r="AG58" s="236">
        <f t="shared" si="81"/>
        <v>2.9260546358904262</v>
      </c>
      <c r="AH58" s="236">
        <f t="shared" si="82"/>
        <v>2.8148057446586763</v>
      </c>
      <c r="AI58" s="236">
        <f t="shared" si="83"/>
        <v>0</v>
      </c>
      <c r="AK58" s="355"/>
      <c r="AL58" s="567" t="s">
        <v>61</v>
      </c>
      <c r="AM58" s="560">
        <f>M82/1000</f>
        <v>2.9260440000000001</v>
      </c>
      <c r="AN58" s="561">
        <f t="shared" si="76"/>
        <v>2.9260440000000001</v>
      </c>
      <c r="AO58" s="562">
        <f t="shared" si="77"/>
        <v>0</v>
      </c>
      <c r="AP58" s="562">
        <f t="shared" si="78"/>
        <v>0</v>
      </c>
      <c r="AQ58" s="582">
        <f t="shared" si="27"/>
        <v>2.7797519040959044</v>
      </c>
      <c r="AR58" s="562">
        <f t="shared" si="28"/>
        <v>0</v>
      </c>
      <c r="AS58" s="563">
        <f t="shared" si="29"/>
        <v>0</v>
      </c>
      <c r="AT58" s="560">
        <f t="shared" ref="AT58:AV62" si="86">IFERROR(AQ58/W58,0)</f>
        <v>2.9260546358904258</v>
      </c>
      <c r="AU58" s="561">
        <f t="shared" si="86"/>
        <v>0</v>
      </c>
      <c r="AV58" s="566">
        <f t="shared" si="86"/>
        <v>0</v>
      </c>
      <c r="AW58" s="285"/>
      <c r="AX58" s="355"/>
      <c r="AY58" s="567" t="s">
        <v>61</v>
      </c>
      <c r="AZ58" s="560">
        <f>M102/1000</f>
        <v>2.8148040000000001</v>
      </c>
      <c r="BA58" s="561">
        <f>AZ58*$AN$23</f>
        <v>2.8148040000000001</v>
      </c>
      <c r="BB58" s="562">
        <f t="shared" si="59"/>
        <v>0</v>
      </c>
      <c r="BC58" s="562">
        <f t="shared" si="60"/>
        <v>0</v>
      </c>
      <c r="BD58" s="560">
        <f t="shared" si="32"/>
        <v>2.6740654574257428</v>
      </c>
      <c r="BE58" s="561">
        <f t="shared" si="33"/>
        <v>0</v>
      </c>
      <c r="BF58" s="566">
        <f t="shared" si="34"/>
        <v>0</v>
      </c>
      <c r="BG58" s="560">
        <f t="shared" ref="BG58:BI62" si="87">IFERROR(BD58/W58,0)</f>
        <v>2.8148057446586767</v>
      </c>
      <c r="BH58" s="561">
        <f t="shared" si="87"/>
        <v>0</v>
      </c>
      <c r="BI58" s="566">
        <f t="shared" si="87"/>
        <v>0</v>
      </c>
      <c r="BJ58" s="285"/>
      <c r="BK58" s="355"/>
      <c r="BL58" s="567" t="s">
        <v>61</v>
      </c>
      <c r="BM58" s="560">
        <f>M122/1000</f>
        <v>0</v>
      </c>
      <c r="BN58" s="561">
        <f>BM58*$AN$23</f>
        <v>0</v>
      </c>
      <c r="BO58" s="562">
        <f t="shared" si="52"/>
        <v>0</v>
      </c>
      <c r="BP58" s="562">
        <f t="shared" si="53"/>
        <v>0</v>
      </c>
      <c r="BQ58" s="560">
        <f t="shared" si="37"/>
        <v>0</v>
      </c>
      <c r="BR58" s="561">
        <f t="shared" si="38"/>
        <v>0</v>
      </c>
      <c r="BS58" s="566">
        <f t="shared" si="39"/>
        <v>0</v>
      </c>
      <c r="BT58" s="560">
        <f t="shared" ref="BT58:BV62" si="88">IFERROR(BQ58/W58,0)</f>
        <v>0</v>
      </c>
      <c r="BU58" s="561">
        <f t="shared" si="88"/>
        <v>0</v>
      </c>
      <c r="BV58" s="566">
        <f t="shared" si="88"/>
        <v>0</v>
      </c>
    </row>
    <row r="59" spans="3:78" ht="12.75" customHeight="1">
      <c r="C59" s="175" t="str">
        <f ca="1">+IF(OFFSET(Processes!B40,$D$11,0)="*","*",OFFSET(Processes!D40,$D$11,0))</f>
        <v>INDSDLAAELCE1</v>
      </c>
      <c r="D59" s="146" t="str">
        <f ca="1">+OFFSET(Processes!E40,$D$11,0)</f>
        <v>Iron &amp; Steel  Electricity Light Appliance - Electricity Existing 1</v>
      </c>
      <c r="E59" s="176" t="str">
        <f>+Processes!O40</f>
        <v>INDELC</v>
      </c>
      <c r="F59" s="149" t="str">
        <f ca="1">+OFFSET(Processes!$M$12,$D$11,0) &amp; Processes!P40</f>
        <v>ISDLA</v>
      </c>
      <c r="G59" s="323">
        <f t="shared" si="14"/>
        <v>1362.1969999999999</v>
      </c>
      <c r="H59" s="323">
        <f t="shared" si="15"/>
        <v>0</v>
      </c>
      <c r="I59" s="323">
        <f t="shared" si="16"/>
        <v>0</v>
      </c>
      <c r="J59" s="323">
        <f t="shared" si="17"/>
        <v>1322.192</v>
      </c>
      <c r="K59" s="323">
        <f t="shared" si="18"/>
        <v>0</v>
      </c>
      <c r="L59" s="323">
        <f t="shared" si="19"/>
        <v>0</v>
      </c>
      <c r="M59" s="323">
        <f t="shared" si="20"/>
        <v>0</v>
      </c>
      <c r="N59" s="323">
        <f t="shared" si="21"/>
        <v>0</v>
      </c>
      <c r="O59" s="323">
        <f t="shared" si="22"/>
        <v>0</v>
      </c>
      <c r="P59" s="323">
        <f t="shared" si="23"/>
        <v>0</v>
      </c>
      <c r="Q59" s="323">
        <f t="shared" si="24"/>
        <v>0</v>
      </c>
      <c r="R59" s="323">
        <f t="shared" si="25"/>
        <v>0</v>
      </c>
      <c r="S59" s="323">
        <f t="shared" si="1"/>
        <v>0</v>
      </c>
      <c r="T59" s="323">
        <f t="shared" si="2"/>
        <v>0</v>
      </c>
      <c r="U59" s="323">
        <f t="shared" si="3"/>
        <v>0</v>
      </c>
      <c r="V59" s="323">
        <v>5</v>
      </c>
      <c r="W59" s="343">
        <v>1</v>
      </c>
      <c r="X59" s="522">
        <v>1</v>
      </c>
      <c r="Y59" s="522">
        <v>1</v>
      </c>
      <c r="Z59" s="178">
        <f t="shared" si="85"/>
        <v>3.1536000000000002E-2</v>
      </c>
      <c r="AA59" s="393">
        <f t="shared" si="80"/>
        <v>0.5</v>
      </c>
      <c r="AB59" s="281">
        <v>20</v>
      </c>
      <c r="AC59" s="178"/>
      <c r="AD59" s="178"/>
      <c r="AE59" s="181"/>
      <c r="AF59" s="285"/>
      <c r="AG59" s="236">
        <f t="shared" si="81"/>
        <v>21.457664631368633</v>
      </c>
      <c r="AH59" s="236">
        <f t="shared" si="82"/>
        <v>20.641904411881189</v>
      </c>
      <c r="AI59" s="236">
        <f t="shared" si="83"/>
        <v>0</v>
      </c>
      <c r="AK59" s="531" t="str">
        <f ca="1">F59</f>
        <v>ISDLA</v>
      </c>
      <c r="AL59" s="578" t="s">
        <v>61</v>
      </c>
      <c r="AM59" s="579">
        <f>M80/1000</f>
        <v>21.457656</v>
      </c>
      <c r="AN59" s="580">
        <f t="shared" si="76"/>
        <v>21.457656</v>
      </c>
      <c r="AO59" s="583">
        <f t="shared" si="77"/>
        <v>0</v>
      </c>
      <c r="AP59" s="583">
        <f t="shared" si="78"/>
        <v>0</v>
      </c>
      <c r="AQ59" s="584">
        <f t="shared" si="27"/>
        <v>21.457664631368633</v>
      </c>
      <c r="AR59" s="583">
        <f t="shared" si="28"/>
        <v>0</v>
      </c>
      <c r="AS59" s="585">
        <f t="shared" si="29"/>
        <v>0</v>
      </c>
      <c r="AT59" s="579">
        <f t="shared" si="86"/>
        <v>21.457664631368633</v>
      </c>
      <c r="AU59" s="580">
        <f t="shared" si="86"/>
        <v>0</v>
      </c>
      <c r="AV59" s="581">
        <f t="shared" si="86"/>
        <v>0</v>
      </c>
      <c r="AW59" s="285"/>
      <c r="AX59" s="531" t="str">
        <f t="shared" ca="1" si="9"/>
        <v>ISDLA</v>
      </c>
      <c r="AY59" s="578" t="s">
        <v>61</v>
      </c>
      <c r="AZ59" s="579">
        <f>M100/1000</f>
        <v>20.641895999999999</v>
      </c>
      <c r="BA59" s="580">
        <f>AZ59*$AN$23</f>
        <v>20.641895999999999</v>
      </c>
      <c r="BB59" s="583">
        <f t="shared" si="59"/>
        <v>0</v>
      </c>
      <c r="BC59" s="583">
        <f t="shared" si="60"/>
        <v>0</v>
      </c>
      <c r="BD59" s="579">
        <f t="shared" si="32"/>
        <v>20.641904411881189</v>
      </c>
      <c r="BE59" s="580">
        <f t="shared" si="33"/>
        <v>0</v>
      </c>
      <c r="BF59" s="581">
        <f t="shared" si="34"/>
        <v>0</v>
      </c>
      <c r="BG59" s="579">
        <f t="shared" si="87"/>
        <v>20.641904411881189</v>
      </c>
      <c r="BH59" s="580">
        <f t="shared" si="87"/>
        <v>0</v>
      </c>
      <c r="BI59" s="581">
        <f t="shared" si="87"/>
        <v>0</v>
      </c>
      <c r="BJ59" s="285"/>
      <c r="BK59" s="531" t="str">
        <f ca="1">AK59</f>
        <v>ISDLA</v>
      </c>
      <c r="BL59" s="578" t="s">
        <v>61</v>
      </c>
      <c r="BM59" s="579">
        <f>M120/1000</f>
        <v>0</v>
      </c>
      <c r="BN59" s="580">
        <f>BM59*$AN$23</f>
        <v>0</v>
      </c>
      <c r="BO59" s="583">
        <f t="shared" si="52"/>
        <v>0</v>
      </c>
      <c r="BP59" s="583">
        <f t="shared" si="53"/>
        <v>0</v>
      </c>
      <c r="BQ59" s="579">
        <f t="shared" si="37"/>
        <v>0</v>
      </c>
      <c r="BR59" s="580">
        <f t="shared" si="38"/>
        <v>0</v>
      </c>
      <c r="BS59" s="581">
        <f t="shared" si="39"/>
        <v>0</v>
      </c>
      <c r="BT59" s="579">
        <f t="shared" si="88"/>
        <v>0</v>
      </c>
      <c r="BU59" s="580">
        <f t="shared" si="88"/>
        <v>0</v>
      </c>
      <c r="BV59" s="581">
        <f t="shared" si="88"/>
        <v>0</v>
      </c>
    </row>
    <row r="60" spans="3:78" ht="12.75" customHeight="1">
      <c r="C60" s="148" t="str">
        <f ca="1">+IF(OFFSET(Processes!B41,$D$11,0)="*","*",OFFSET(Processes!D41,$D$11,0))</f>
        <v>INDSDEMMELCE1</v>
      </c>
      <c r="D60" s="148" t="str">
        <f ca="1">+OFFSET(Processes!E41,$D$11,0)</f>
        <v>Iron &amp; Steel  Electricity Motors - Electricity Existing 1</v>
      </c>
      <c r="E60" s="174" t="str">
        <f>+Processes!O41</f>
        <v>INDELC</v>
      </c>
      <c r="F60" s="174" t="str">
        <f ca="1">+OFFSET(Processes!$M$12,$D$11,0) &amp; Processes!P41</f>
        <v>ISDEM</v>
      </c>
      <c r="G60" s="324">
        <f t="shared" si="14"/>
        <v>3033.9840000000004</v>
      </c>
      <c r="H60" s="324">
        <f t="shared" si="15"/>
        <v>0</v>
      </c>
      <c r="I60" s="324">
        <f t="shared" si="16"/>
        <v>0</v>
      </c>
      <c r="J60" s="324">
        <f t="shared" si="17"/>
        <v>2944.8810000000003</v>
      </c>
      <c r="K60" s="324">
        <f t="shared" si="18"/>
        <v>0</v>
      </c>
      <c r="L60" s="324">
        <f t="shared" si="19"/>
        <v>0</v>
      </c>
      <c r="M60" s="324">
        <f t="shared" si="20"/>
        <v>0</v>
      </c>
      <c r="N60" s="324">
        <f t="shared" si="21"/>
        <v>0</v>
      </c>
      <c r="O60" s="324">
        <f t="shared" si="22"/>
        <v>0</v>
      </c>
      <c r="P60" s="324">
        <f t="shared" si="23"/>
        <v>0</v>
      </c>
      <c r="Q60" s="324">
        <f t="shared" si="24"/>
        <v>0</v>
      </c>
      <c r="R60" s="324">
        <f t="shared" si="25"/>
        <v>0</v>
      </c>
      <c r="S60" s="324">
        <f t="shared" si="1"/>
        <v>0</v>
      </c>
      <c r="T60" s="324">
        <f t="shared" si="2"/>
        <v>0</v>
      </c>
      <c r="U60" s="324">
        <f t="shared" si="3"/>
        <v>0</v>
      </c>
      <c r="V60" s="558">
        <v>5</v>
      </c>
      <c r="W60" s="345">
        <v>1</v>
      </c>
      <c r="X60" s="523">
        <v>1</v>
      </c>
      <c r="Y60" s="523">
        <v>1</v>
      </c>
      <c r="Z60" s="170">
        <f t="shared" si="85"/>
        <v>3.1536000000000002E-2</v>
      </c>
      <c r="AA60" s="391">
        <f t="shared" si="80"/>
        <v>0.5</v>
      </c>
      <c r="AB60" s="279">
        <v>20</v>
      </c>
      <c r="AC60" s="170"/>
      <c r="AD60" s="170"/>
      <c r="AE60" s="179"/>
      <c r="AF60" s="285"/>
      <c r="AG60" s="236">
        <f t="shared" si="81"/>
        <v>47.792067644355654</v>
      </c>
      <c r="AH60" s="236">
        <f t="shared" si="82"/>
        <v>45.975132285148518</v>
      </c>
      <c r="AI60" s="236">
        <f t="shared" si="83"/>
        <v>0</v>
      </c>
      <c r="AK60" s="536" t="str">
        <f ca="1">F60</f>
        <v>ISDEM</v>
      </c>
      <c r="AL60" s="578" t="s">
        <v>61</v>
      </c>
      <c r="AM60" s="579">
        <f>M81/1000</f>
        <v>47.792052000000005</v>
      </c>
      <c r="AN60" s="580">
        <f t="shared" si="76"/>
        <v>47.792052000000005</v>
      </c>
      <c r="AO60" s="583">
        <f t="shared" si="77"/>
        <v>0</v>
      </c>
      <c r="AP60" s="583">
        <f t="shared" si="78"/>
        <v>0</v>
      </c>
      <c r="AQ60" s="584">
        <f t="shared" si="27"/>
        <v>47.792067644355654</v>
      </c>
      <c r="AR60" s="583">
        <f t="shared" si="28"/>
        <v>0</v>
      </c>
      <c r="AS60" s="585">
        <f t="shared" si="29"/>
        <v>0</v>
      </c>
      <c r="AT60" s="579">
        <f t="shared" si="86"/>
        <v>47.792067644355654</v>
      </c>
      <c r="AU60" s="580">
        <f t="shared" si="86"/>
        <v>0</v>
      </c>
      <c r="AV60" s="581">
        <f t="shared" si="86"/>
        <v>0</v>
      </c>
      <c r="AW60" s="285"/>
      <c r="AX60" s="536" t="str">
        <f t="shared" ca="1" si="9"/>
        <v>ISDEM</v>
      </c>
      <c r="AY60" s="578" t="s">
        <v>61</v>
      </c>
      <c r="AZ60" s="579">
        <f>M101/1000</f>
        <v>45.975131999999995</v>
      </c>
      <c r="BA60" s="580">
        <f>AZ60*$AN$23</f>
        <v>45.975131999999995</v>
      </c>
      <c r="BB60" s="583">
        <f t="shared" si="59"/>
        <v>0</v>
      </c>
      <c r="BC60" s="583">
        <f t="shared" si="60"/>
        <v>0</v>
      </c>
      <c r="BD60" s="579">
        <f t="shared" si="32"/>
        <v>45.975132285148518</v>
      </c>
      <c r="BE60" s="580">
        <f t="shared" si="33"/>
        <v>0</v>
      </c>
      <c r="BF60" s="581">
        <f t="shared" si="34"/>
        <v>0</v>
      </c>
      <c r="BG60" s="579">
        <f t="shared" si="87"/>
        <v>45.975132285148518</v>
      </c>
      <c r="BH60" s="580">
        <f t="shared" si="87"/>
        <v>0</v>
      </c>
      <c r="BI60" s="581">
        <f t="shared" si="87"/>
        <v>0</v>
      </c>
      <c r="BJ60" s="285"/>
      <c r="BK60" s="536" t="str">
        <f ca="1">AK60</f>
        <v>ISDEM</v>
      </c>
      <c r="BL60" s="578" t="s">
        <v>61</v>
      </c>
      <c r="BM60" s="579">
        <f>M121/1000</f>
        <v>0</v>
      </c>
      <c r="BN60" s="580">
        <f>BM60*$AN$23</f>
        <v>0</v>
      </c>
      <c r="BO60" s="583">
        <f t="shared" si="52"/>
        <v>0</v>
      </c>
      <c r="BP60" s="583">
        <f t="shared" si="53"/>
        <v>0</v>
      </c>
      <c r="BQ60" s="579">
        <f t="shared" si="37"/>
        <v>0</v>
      </c>
      <c r="BR60" s="580">
        <f t="shared" si="38"/>
        <v>0</v>
      </c>
      <c r="BS60" s="581">
        <f t="shared" si="39"/>
        <v>0</v>
      </c>
      <c r="BT60" s="579">
        <f t="shared" si="88"/>
        <v>0</v>
      </c>
      <c r="BU60" s="580">
        <f t="shared" si="88"/>
        <v>0</v>
      </c>
      <c r="BV60" s="581">
        <f t="shared" si="88"/>
        <v>0</v>
      </c>
    </row>
    <row r="61" spans="3:78" ht="12.75" customHeight="1">
      <c r="C61" s="173" t="str">
        <f ca="1">+IF(OFFSET(Processes!B42,$D$11,0)="*","*",OFFSET(Processes!D42,$D$11,0))</f>
        <v>INDSDTFTDSLE1</v>
      </c>
      <c r="D61" s="173" t="str">
        <f ca="1">+OFFSET(Processes!E42,$D$11,0)</f>
        <v>Iron &amp; Steel  Tractors, Trucks, Fishing boats, Forest machines - Diesel Existing 1</v>
      </c>
      <c r="E61" s="172" t="str">
        <f>+Processes!O42</f>
        <v>INDDSB1,INDDSB2,INDDSL</v>
      </c>
      <c r="F61" s="172" t="str">
        <f ca="1">+OFFSET(Processes!$M$12,$D$11,0) &amp; Processes!P42</f>
        <v>ISDTF</v>
      </c>
      <c r="G61" s="323">
        <f t="shared" si="14"/>
        <v>61.269999999999996</v>
      </c>
      <c r="H61" s="323">
        <f t="shared" si="15"/>
        <v>0</v>
      </c>
      <c r="I61" s="323">
        <f t="shared" si="16"/>
        <v>0</v>
      </c>
      <c r="J61" s="323">
        <f t="shared" si="17"/>
        <v>162.488</v>
      </c>
      <c r="K61" s="323">
        <f t="shared" si="18"/>
        <v>0</v>
      </c>
      <c r="L61" s="323">
        <f t="shared" si="19"/>
        <v>0</v>
      </c>
      <c r="M61" s="323">
        <f t="shared" si="20"/>
        <v>20.623000000000001</v>
      </c>
      <c r="N61" s="323">
        <f t="shared" si="21"/>
        <v>0</v>
      </c>
      <c r="O61" s="323">
        <f t="shared" si="22"/>
        <v>0</v>
      </c>
      <c r="P61" s="323">
        <f t="shared" si="23"/>
        <v>20.623000000000001</v>
      </c>
      <c r="Q61" s="323">
        <f t="shared" si="24"/>
        <v>0</v>
      </c>
      <c r="R61" s="323">
        <f t="shared" si="25"/>
        <v>0</v>
      </c>
      <c r="S61" s="323">
        <f t="shared" si="1"/>
        <v>0</v>
      </c>
      <c r="T61" s="323">
        <f t="shared" si="2"/>
        <v>0</v>
      </c>
      <c r="U61" s="323">
        <f t="shared" si="3"/>
        <v>0</v>
      </c>
      <c r="V61" s="323">
        <v>5</v>
      </c>
      <c r="W61" s="343">
        <v>1</v>
      </c>
      <c r="X61" s="522">
        <f>W61</f>
        <v>1</v>
      </c>
      <c r="Y61" s="522">
        <f>X61</f>
        <v>1</v>
      </c>
      <c r="Z61" s="178">
        <f t="shared" si="85"/>
        <v>3.1536000000000002E-2</v>
      </c>
      <c r="AA61" s="393">
        <v>0.5</v>
      </c>
      <c r="AB61" s="281">
        <v>20</v>
      </c>
      <c r="AC61" s="178"/>
      <c r="AD61" s="178"/>
      <c r="AE61" s="181"/>
      <c r="AF61" s="285"/>
      <c r="AG61" s="236">
        <f t="shared" si="81"/>
        <v>0.96514021978021991</v>
      </c>
      <c r="AH61" s="236">
        <f t="shared" si="82"/>
        <v>2.5367433504950498</v>
      </c>
      <c r="AI61" s="236">
        <f t="shared" si="83"/>
        <v>0.32196382574257426</v>
      </c>
      <c r="AK61" s="536" t="str">
        <f ca="1">F61</f>
        <v>ISDTF</v>
      </c>
      <c r="AL61" s="578" t="s">
        <v>59</v>
      </c>
      <c r="AM61" s="579">
        <f>(F79+G79)/1000</f>
        <v>0.96513749999999998</v>
      </c>
      <c r="AN61" s="580">
        <f t="shared" si="76"/>
        <v>0.96513749999999998</v>
      </c>
      <c r="AO61" s="583">
        <f t="shared" si="77"/>
        <v>0</v>
      </c>
      <c r="AP61" s="583">
        <f t="shared" si="78"/>
        <v>0</v>
      </c>
      <c r="AQ61" s="584">
        <f t="shared" si="27"/>
        <v>0.96514021978021991</v>
      </c>
      <c r="AR61" s="583">
        <f t="shared" si="28"/>
        <v>0</v>
      </c>
      <c r="AS61" s="585">
        <f t="shared" si="29"/>
        <v>0</v>
      </c>
      <c r="AT61" s="579">
        <f t="shared" si="86"/>
        <v>0.96514021978021991</v>
      </c>
      <c r="AU61" s="580">
        <f t="shared" si="86"/>
        <v>0</v>
      </c>
      <c r="AV61" s="581">
        <f t="shared" si="86"/>
        <v>0</v>
      </c>
      <c r="AW61" s="285"/>
      <c r="AX61" s="536" t="str">
        <f t="shared" ca="1" si="9"/>
        <v>ISDTF</v>
      </c>
      <c r="AY61" s="578" t="s">
        <v>59</v>
      </c>
      <c r="AZ61" s="579">
        <f>(F99+G99)/1000</f>
        <v>2.5367294999999999</v>
      </c>
      <c r="BA61" s="580">
        <f>AZ61*$AN$23</f>
        <v>2.5367294999999999</v>
      </c>
      <c r="BB61" s="583">
        <f t="shared" si="59"/>
        <v>0</v>
      </c>
      <c r="BC61" s="583">
        <f t="shared" si="60"/>
        <v>0</v>
      </c>
      <c r="BD61" s="579">
        <f t="shared" si="32"/>
        <v>2.5367433504950498</v>
      </c>
      <c r="BE61" s="580">
        <f t="shared" si="33"/>
        <v>0</v>
      </c>
      <c r="BF61" s="581">
        <f t="shared" si="34"/>
        <v>0</v>
      </c>
      <c r="BG61" s="579">
        <f t="shared" si="87"/>
        <v>2.5367433504950498</v>
      </c>
      <c r="BH61" s="580">
        <f t="shared" si="87"/>
        <v>0</v>
      </c>
      <c r="BI61" s="581">
        <f t="shared" si="87"/>
        <v>0</v>
      </c>
      <c r="BJ61" s="285"/>
      <c r="BK61" s="536" t="str">
        <f ca="1">AK61</f>
        <v>ISDTF</v>
      </c>
      <c r="BL61" s="578" t="s">
        <v>59</v>
      </c>
      <c r="BM61" s="579">
        <f>(F119+G119)/1000</f>
        <v>0.32195249999999997</v>
      </c>
      <c r="BN61" s="580">
        <f>BM61*$AN$23</f>
        <v>0.32195249999999997</v>
      </c>
      <c r="BO61" s="583">
        <f t="shared" si="52"/>
        <v>0</v>
      </c>
      <c r="BP61" s="583">
        <f t="shared" si="53"/>
        <v>0</v>
      </c>
      <c r="BQ61" s="579">
        <f t="shared" si="37"/>
        <v>0.32196382574257426</v>
      </c>
      <c r="BR61" s="580">
        <f t="shared" si="38"/>
        <v>0</v>
      </c>
      <c r="BS61" s="581">
        <f t="shared" si="39"/>
        <v>0</v>
      </c>
      <c r="BT61" s="579">
        <f t="shared" si="88"/>
        <v>0.32196382574257426</v>
      </c>
      <c r="BU61" s="580">
        <f t="shared" si="88"/>
        <v>0</v>
      </c>
      <c r="BV61" s="581">
        <f t="shared" si="88"/>
        <v>0</v>
      </c>
    </row>
    <row r="62" spans="3:78" ht="12.75" customHeight="1">
      <c r="C62" s="173" t="str">
        <f ca="1">+IF(OFFSET(Processes!B43,$D$11,0)="*","*",OFFSET(Processes!D43,$D$11,0))</f>
        <v>INDSDFLTLPGE1</v>
      </c>
      <c r="D62" s="173" t="str">
        <f ca="1">+OFFSET(Processes!E43,$D$11,0)</f>
        <v>Iron &amp; Steel  Forklifts - LPG Existing 1</v>
      </c>
      <c r="E62" s="172" t="str">
        <f>+Processes!O43</f>
        <v>INDLPG,INDSNG1,INDSNG2</v>
      </c>
      <c r="F62" s="172" t="str">
        <f ca="1">+OFFSET(Processes!$M$12,$D$11,0) &amp; Processes!P43</f>
        <v>ISDFL</v>
      </c>
      <c r="G62" s="323">
        <f t="shared" si="14"/>
        <v>57.841000000000001</v>
      </c>
      <c r="H62" s="323">
        <f t="shared" si="15"/>
        <v>0</v>
      </c>
      <c r="I62" s="323">
        <f>ROUNDUP(AP62/($Z62*$AA62)*I$21*Y62,3)</f>
        <v>0</v>
      </c>
      <c r="J62" s="323">
        <f t="shared" si="17"/>
        <v>1.0099999999999998</v>
      </c>
      <c r="K62" s="323">
        <f t="shared" si="18"/>
        <v>0</v>
      </c>
      <c r="L62" s="323">
        <f t="shared" si="19"/>
        <v>0</v>
      </c>
      <c r="M62" s="323" t="e">
        <f t="shared" si="20"/>
        <v>#REF!</v>
      </c>
      <c r="N62" s="323" t="e">
        <f t="shared" si="21"/>
        <v>#REF!</v>
      </c>
      <c r="O62" s="323" t="e">
        <f t="shared" si="22"/>
        <v>#REF!</v>
      </c>
      <c r="P62" s="323" t="e">
        <f t="shared" si="23"/>
        <v>#REF!</v>
      </c>
      <c r="Q62" s="323" t="e">
        <f t="shared" si="24"/>
        <v>#REF!</v>
      </c>
      <c r="R62" s="323" t="e">
        <f t="shared" si="25"/>
        <v>#REF!</v>
      </c>
      <c r="S62" s="323" t="e">
        <f t="shared" si="1"/>
        <v>#REF!</v>
      </c>
      <c r="T62" s="323" t="e">
        <f t="shared" si="2"/>
        <v>#REF!</v>
      </c>
      <c r="U62" s="323" t="e">
        <f t="shared" si="3"/>
        <v>#REF!</v>
      </c>
      <c r="V62" s="323">
        <v>5</v>
      </c>
      <c r="W62" s="343">
        <v>1</v>
      </c>
      <c r="X62" s="522">
        <f>W62</f>
        <v>1</v>
      </c>
      <c r="Y62" s="522">
        <f>X62</f>
        <v>1</v>
      </c>
      <c r="Z62" s="177">
        <f t="shared" si="85"/>
        <v>3.1536000000000002E-2</v>
      </c>
      <c r="AA62" s="392">
        <f>$AA$61</f>
        <v>0.5</v>
      </c>
      <c r="AB62" s="280">
        <v>20</v>
      </c>
      <c r="AC62" s="177"/>
      <c r="AD62" s="177"/>
      <c r="AE62" s="180"/>
      <c r="AF62" s="285"/>
      <c r="AG62" s="236">
        <f t="shared" si="81"/>
        <v>0.91112576223776243</v>
      </c>
      <c r="AH62" s="236">
        <f t="shared" si="82"/>
        <v>1.5767999999999997E-2</v>
      </c>
      <c r="AI62" s="236" t="e">
        <f t="shared" si="83"/>
        <v>#REF!</v>
      </c>
      <c r="AK62" s="536" t="str">
        <f ca="1">F62</f>
        <v>ISDFL</v>
      </c>
      <c r="AL62" s="532" t="s">
        <v>53</v>
      </c>
      <c r="AM62" s="533">
        <f>H79/1000</f>
        <v>0.91111786759736535</v>
      </c>
      <c r="AN62" s="534">
        <f t="shared" si="76"/>
        <v>0.91111786759736535</v>
      </c>
      <c r="AO62" s="535">
        <f t="shared" si="77"/>
        <v>0</v>
      </c>
      <c r="AP62" s="535">
        <f t="shared" si="78"/>
        <v>0</v>
      </c>
      <c r="AQ62" s="545">
        <f t="shared" si="27"/>
        <v>0.91112576223776243</v>
      </c>
      <c r="AR62" s="535">
        <f t="shared" si="28"/>
        <v>0</v>
      </c>
      <c r="AS62" s="541">
        <f t="shared" si="29"/>
        <v>0</v>
      </c>
      <c r="AT62" s="546">
        <f t="shared" si="86"/>
        <v>0.91112576223776243</v>
      </c>
      <c r="AU62" s="537">
        <f t="shared" si="86"/>
        <v>0</v>
      </c>
      <c r="AV62" s="538">
        <f t="shared" si="86"/>
        <v>0</v>
      </c>
      <c r="AW62" s="285"/>
      <c r="AX62" s="536" t="str">
        <f t="shared" ca="1" si="9"/>
        <v>ISDFL</v>
      </c>
      <c r="AY62" s="532" t="s">
        <v>53</v>
      </c>
      <c r="AZ62" s="533">
        <f>H99/1000</f>
        <v>1.5753598997709051E-2</v>
      </c>
      <c r="BA62" s="534">
        <f>AZ62*$AN$23</f>
        <v>1.5753598997709051E-2</v>
      </c>
      <c r="BB62" s="535">
        <f t="shared" si="59"/>
        <v>0</v>
      </c>
      <c r="BC62" s="535">
        <f t="shared" si="60"/>
        <v>0</v>
      </c>
      <c r="BD62" s="546">
        <f t="shared" si="32"/>
        <v>1.5767999999999997E-2</v>
      </c>
      <c r="BE62" s="537">
        <f t="shared" si="33"/>
        <v>0</v>
      </c>
      <c r="BF62" s="538">
        <f t="shared" si="34"/>
        <v>0</v>
      </c>
      <c r="BG62" s="546">
        <f t="shared" si="87"/>
        <v>1.5767999999999997E-2</v>
      </c>
      <c r="BH62" s="537">
        <f t="shared" si="87"/>
        <v>0</v>
      </c>
      <c r="BI62" s="538">
        <f t="shared" si="87"/>
        <v>0</v>
      </c>
      <c r="BJ62" s="285"/>
      <c r="BK62" s="536" t="str">
        <f ca="1">AK62</f>
        <v>ISDFL</v>
      </c>
      <c r="BL62" s="532" t="s">
        <v>53</v>
      </c>
      <c r="BM62" s="533" t="e">
        <f>H119/1000</f>
        <v>#REF!</v>
      </c>
      <c r="BN62" s="534" t="e">
        <f>BM62*$AN$23</f>
        <v>#REF!</v>
      </c>
      <c r="BO62" s="535" t="e">
        <f t="shared" si="52"/>
        <v>#REF!</v>
      </c>
      <c r="BP62" s="535" t="e">
        <f t="shared" si="53"/>
        <v>#REF!</v>
      </c>
      <c r="BQ62" s="546">
        <f t="shared" si="37"/>
        <v>0</v>
      </c>
      <c r="BR62" s="537">
        <f t="shared" si="38"/>
        <v>0</v>
      </c>
      <c r="BS62" s="538">
        <f t="shared" si="39"/>
        <v>0</v>
      </c>
      <c r="BT62" s="546">
        <f t="shared" si="88"/>
        <v>0</v>
      </c>
      <c r="BU62" s="537">
        <f t="shared" si="88"/>
        <v>0</v>
      </c>
      <c r="BV62" s="538">
        <f t="shared" si="88"/>
        <v>0</v>
      </c>
    </row>
    <row r="63" spans="3:78" ht="12.75" customHeight="1">
      <c r="E63" s="47"/>
      <c r="F63" s="47"/>
      <c r="G63" s="25"/>
      <c r="H63" s="25"/>
      <c r="I63" s="285"/>
      <c r="J63" s="25"/>
      <c r="L63" s="288"/>
      <c r="M63" s="36"/>
      <c r="O63" s="285"/>
      <c r="P63" s="276"/>
      <c r="Q63" s="276"/>
      <c r="R63" s="285"/>
      <c r="S63" s="276"/>
      <c r="T63" s="276"/>
      <c r="U63" s="285"/>
      <c r="V63" s="78"/>
      <c r="W63" s="78"/>
      <c r="X63" s="78"/>
      <c r="Y63" s="78"/>
      <c r="Z63" s="78"/>
      <c r="AA63" s="78"/>
      <c r="AB63" s="78"/>
      <c r="AC63" s="78"/>
      <c r="AD63" s="79"/>
      <c r="AE63" s="79"/>
      <c r="AF63" s="79"/>
      <c r="AG63" s="407"/>
      <c r="AH63" s="407"/>
      <c r="AI63" s="407"/>
      <c r="AJ63" s="82"/>
      <c r="AK63" s="82"/>
      <c r="AL63" s="82"/>
      <c r="AM63" s="82"/>
      <c r="AN63" s="82"/>
      <c r="AO63" s="82"/>
      <c r="AP63" s="82"/>
    </row>
    <row r="64" spans="3:78" ht="12.75" customHeight="1">
      <c r="C64" s="287"/>
      <c r="D64" s="293"/>
      <c r="E64" s="47"/>
      <c r="F64" s="47"/>
      <c r="G64" s="506"/>
      <c r="H64" s="507"/>
      <c r="I64" s="507"/>
      <c r="J64" s="287"/>
      <c r="K64" s="25"/>
      <c r="L64" s="285"/>
      <c r="O64" s="285"/>
      <c r="P64" s="276"/>
      <c r="Q64" s="276"/>
      <c r="R64" s="285"/>
      <c r="S64" s="276"/>
      <c r="T64" s="276"/>
      <c r="U64" s="285"/>
      <c r="V64" s="45"/>
      <c r="W64" s="34"/>
      <c r="X64" s="45"/>
      <c r="Y64" s="45"/>
      <c r="Z64" s="79"/>
      <c r="AA64" s="79"/>
      <c r="AB64" s="79"/>
      <c r="AC64" s="79"/>
      <c r="AD64" s="82"/>
      <c r="AE64" s="82"/>
      <c r="AF64" s="82"/>
      <c r="AG64" s="82"/>
      <c r="AH64" s="82"/>
      <c r="AI64" s="82"/>
      <c r="AX64" s="394"/>
      <c r="AZ64" s="395"/>
    </row>
    <row r="65" spans="3:58" ht="12.75" customHeight="1">
      <c r="E65" s="47"/>
      <c r="F65" s="47"/>
      <c r="I65" s="288"/>
      <c r="J65" s="80"/>
      <c r="K65" s="25"/>
      <c r="L65" s="285"/>
      <c r="O65" s="285"/>
      <c r="R65" s="285"/>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8"/>
      <c r="AE66" s="82"/>
      <c r="AF66" s="509"/>
      <c r="AG66" s="511"/>
      <c r="AH66" s="508"/>
      <c r="AI66" s="508"/>
      <c r="AJ66" s="508"/>
      <c r="AK66" s="508"/>
      <c r="AL66" s="79"/>
      <c r="AM66" s="45"/>
      <c r="BE66" s="612"/>
      <c r="BF66" s="612"/>
    </row>
    <row r="67" spans="3:58" ht="12.75" customHeight="1">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58" ht="12.75" customHeight="1">
      <c r="L68" s="288"/>
      <c r="O68" s="285"/>
      <c r="Q68" s="86"/>
      <c r="R68" s="25"/>
      <c r="S68" s="25"/>
      <c r="T68" s="34"/>
      <c r="U68" s="34"/>
      <c r="V68" s="285"/>
      <c r="W68" s="285"/>
      <c r="X68" s="285"/>
      <c r="AB68" s="285"/>
      <c r="AC68" s="285"/>
    </row>
    <row r="69" spans="3:58" ht="12.75" customHeight="1">
      <c r="T69" s="285"/>
      <c r="U69" s="285"/>
      <c r="V69" s="285"/>
      <c r="W69" s="285"/>
      <c r="X69" s="285"/>
    </row>
    <row r="70" spans="3:58" ht="12.75" customHeight="1">
      <c r="C70" s="259" t="s">
        <v>510</v>
      </c>
      <c r="E70" s="25"/>
      <c r="F70" s="25"/>
      <c r="G70" s="25"/>
      <c r="H70" s="25"/>
      <c r="I70" s="25"/>
      <c r="J70" s="25"/>
      <c r="K70" s="25"/>
      <c r="O70" s="86"/>
      <c r="T70" s="285"/>
      <c r="U70" s="285"/>
      <c r="V70" s="285"/>
      <c r="W70" s="285"/>
      <c r="X70" s="285"/>
    </row>
    <row r="71" spans="3:58" ht="12.75" customHeight="1">
      <c r="O71" s="86"/>
      <c r="T71" s="285"/>
      <c r="U71" s="285"/>
      <c r="V71" s="285"/>
      <c r="W71" s="285"/>
      <c r="X71" s="285"/>
    </row>
    <row r="72" spans="3:58" ht="12.75" customHeight="1">
      <c r="C72" s="127" t="s">
        <v>151</v>
      </c>
      <c r="E72" s="25"/>
      <c r="F72" s="25"/>
      <c r="G72" s="25"/>
      <c r="H72" s="25"/>
      <c r="I72" s="25"/>
      <c r="J72" s="25"/>
      <c r="K72" s="25"/>
    </row>
    <row r="73" spans="3:58" ht="12.75" customHeight="1">
      <c r="D73" s="87" t="s">
        <v>153</v>
      </c>
      <c r="E73" s="88" t="str">
        <f t="array" ref="E73">+IF(AND(UPPER(TRANSPOSE(T78:T88))=UPPER(MID(D76:N76,4,99))),"Ok","ERROR")</f>
        <v>Ok</v>
      </c>
      <c r="F73" s="25"/>
      <c r="G73" s="25"/>
      <c r="H73" s="25"/>
      <c r="I73" s="25"/>
      <c r="J73" s="25"/>
      <c r="K73" s="25"/>
    </row>
    <row r="74" spans="3:58" ht="12.75" customHeight="1">
      <c r="C74" s="25" t="s">
        <v>209</v>
      </c>
      <c r="O74" s="86"/>
      <c r="T74" s="127" t="s">
        <v>513</v>
      </c>
      <c r="U74" s="127"/>
      <c r="W74" s="127"/>
    </row>
    <row r="75" spans="3:58" ht="12.75" customHeight="1">
      <c r="D75" s="89">
        <v>1</v>
      </c>
      <c r="E75" s="89">
        <f>+D75+1</f>
        <v>2</v>
      </c>
      <c r="F75" s="89">
        <f t="shared" ref="F75:N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6"/>
      <c r="T75" s="46"/>
      <c r="U75" s="46"/>
      <c r="W75" s="46"/>
    </row>
    <row r="76" spans="3:58" ht="12.75" customHeight="1">
      <c r="C76" s="10" t="str">
        <f t="shared" ref="C76:N76" si="90">+D149</f>
        <v>Agg End-use</v>
      </c>
      <c r="D76" s="20" t="str">
        <f t="shared" si="90"/>
        <v>01 Coal</v>
      </c>
      <c r="E76" s="20" t="str">
        <f t="shared" si="90"/>
        <v>02 Fuel oil</v>
      </c>
      <c r="F76" s="20" t="str">
        <f t="shared" si="90"/>
        <v>03 Diesel</v>
      </c>
      <c r="G76" s="20" t="str">
        <f t="shared" si="90"/>
        <v>04 Gasoline</v>
      </c>
      <c r="H76" s="20" t="str">
        <f t="shared" si="90"/>
        <v>05 LPG</v>
      </c>
      <c r="I76" s="20" t="str">
        <f t="shared" si="90"/>
        <v>06 Natural gas</v>
      </c>
      <c r="J76" s="20" t="str">
        <f t="shared" si="90"/>
        <v>07 Biogas</v>
      </c>
      <c r="K76" s="20" t="str">
        <f t="shared" si="90"/>
        <v>08 Biomass</v>
      </c>
      <c r="L76" s="20" t="str">
        <f t="shared" si="90"/>
        <v>09 Waste</v>
      </c>
      <c r="M76" s="190" t="str">
        <f t="shared" si="90"/>
        <v>10 Electricity</v>
      </c>
      <c r="N76" s="190" t="str">
        <f t="shared" si="90"/>
        <v>11 District heating</v>
      </c>
      <c r="O76" s="86"/>
      <c r="T76" s="124" t="s">
        <v>152</v>
      </c>
      <c r="V76" s="125">
        <f>+'Energy matrix'!B3</f>
        <v>2010</v>
      </c>
    </row>
    <row r="77" spans="3:58" ht="12.75" customHeight="1">
      <c r="C77" s="13" t="str">
        <f>$D$150</f>
        <v>Process heat temperature</v>
      </c>
      <c r="D77" s="14">
        <f t="shared" ref="D77:N77" si="91">+INDEX($E150:$O150,1,D$75) * INDEX($V$78:$V$88,D$75,1)</f>
        <v>29540.659</v>
      </c>
      <c r="E77" s="14">
        <f t="shared" si="91"/>
        <v>201.74</v>
      </c>
      <c r="F77" s="14">
        <f t="shared" si="91"/>
        <v>321.71249999999998</v>
      </c>
      <c r="G77" s="14">
        <f t="shared" si="91"/>
        <v>0</v>
      </c>
      <c r="H77" s="14">
        <f t="shared" si="91"/>
        <v>655.94174999999996</v>
      </c>
      <c r="I77" s="14">
        <f t="shared" si="91"/>
        <v>99519.558000000005</v>
      </c>
      <c r="J77" s="14">
        <f t="shared" si="91"/>
        <v>0</v>
      </c>
      <c r="K77" s="14">
        <f t="shared" si="91"/>
        <v>0</v>
      </c>
      <c r="L77" s="14">
        <f t="shared" si="91"/>
        <v>0</v>
      </c>
      <c r="M77" s="14">
        <f t="shared" si="91"/>
        <v>15605.568000000001</v>
      </c>
      <c r="N77" s="14">
        <f t="shared" si="91"/>
        <v>0</v>
      </c>
      <c r="O77" s="86"/>
      <c r="T77" s="48" t="s">
        <v>209</v>
      </c>
      <c r="U77" s="48"/>
      <c r="V77" s="126" t="str">
        <f>+INDEX('Energy matrix'!C4:N4,1,$D$2)</f>
        <v>Iron and steel</v>
      </c>
      <c r="W77" s="48"/>
      <c r="X77" s="25" t="s">
        <v>44</v>
      </c>
    </row>
    <row r="78" spans="3:58" ht="12.75" customHeight="1">
      <c r="C78" s="13" t="str">
        <f>$D$151</f>
        <v>Cooling demand</v>
      </c>
      <c r="D78" s="14">
        <f t="shared" ref="D78:N78" si="92">+INDEX($E151:$O151,1,D$75) * INDEX($V$78:$V$88,D$75,1)</f>
        <v>0</v>
      </c>
      <c r="E78" s="14">
        <f t="shared" si="92"/>
        <v>0</v>
      </c>
      <c r="F78" s="14">
        <f t="shared" si="92"/>
        <v>0</v>
      </c>
      <c r="G78" s="14">
        <f t="shared" si="92"/>
        <v>0</v>
      </c>
      <c r="H78" s="14">
        <f t="shared" si="92"/>
        <v>0</v>
      </c>
      <c r="I78" s="14">
        <f t="shared" si="92"/>
        <v>0</v>
      </c>
      <c r="J78" s="14">
        <f t="shared" si="92"/>
        <v>0</v>
      </c>
      <c r="K78" s="14">
        <f t="shared" si="92"/>
        <v>0</v>
      </c>
      <c r="L78" s="14">
        <f t="shared" si="92"/>
        <v>0</v>
      </c>
      <c r="M78" s="14">
        <f t="shared" si="92"/>
        <v>9753.4800000000014</v>
      </c>
      <c r="N78" s="14">
        <f t="shared" si="92"/>
        <v>0</v>
      </c>
      <c r="O78" s="86"/>
      <c r="T78" s="117" t="str">
        <f>+'Energy matrix'!B5</f>
        <v>Coal</v>
      </c>
      <c r="U78" s="117"/>
      <c r="V78" s="118">
        <f>+INDEX('Energy matrix'!C5:N5,1,$D$2)</f>
        <v>29540.659</v>
      </c>
      <c r="W78" s="117"/>
      <c r="X78" s="25">
        <f>V78/1000000</f>
        <v>2.9540659E-2</v>
      </c>
    </row>
    <row r="79" spans="3:58" ht="12.75" customHeight="1">
      <c r="C79" s="13" t="str">
        <f>$D$152</f>
        <v>Haullage</v>
      </c>
      <c r="D79" s="19">
        <f t="shared" ref="D79:N79" si="93">+INDEX($E152:$O152,1,D$75) * INDEX($V$78:$V$88,D$75,1)</f>
        <v>0</v>
      </c>
      <c r="E79" s="19">
        <f t="shared" si="93"/>
        <v>0</v>
      </c>
      <c r="F79" s="19">
        <f t="shared" si="93"/>
        <v>965.13749999999993</v>
      </c>
      <c r="G79" s="19">
        <f t="shared" si="93"/>
        <v>0</v>
      </c>
      <c r="H79" s="19">
        <f t="shared" si="93"/>
        <v>911.11786759736538</v>
      </c>
      <c r="I79" s="19">
        <f t="shared" si="93"/>
        <v>0</v>
      </c>
      <c r="J79" s="19">
        <f t="shared" si="93"/>
        <v>0</v>
      </c>
      <c r="K79" s="19">
        <f t="shared" si="93"/>
        <v>0</v>
      </c>
      <c r="L79" s="19">
        <f t="shared" si="93"/>
        <v>0</v>
      </c>
      <c r="M79" s="19">
        <f t="shared" si="93"/>
        <v>0</v>
      </c>
      <c r="N79" s="19">
        <f t="shared" si="93"/>
        <v>0</v>
      </c>
      <c r="O79" s="86"/>
      <c r="T79" s="117" t="str">
        <f>+'Energy matrix'!B6</f>
        <v>Fuel Oil</v>
      </c>
      <c r="U79" s="117"/>
      <c r="V79" s="118">
        <f>+INDEX('Energy matrix'!C6:N6,1,$D$2)</f>
        <v>201.74</v>
      </c>
      <c r="W79" s="117"/>
      <c r="X79" s="25">
        <f t="shared" ref="X79:X88" si="94">V79/1000000</f>
        <v>2.0174E-4</v>
      </c>
    </row>
    <row r="80" spans="3:58" ht="12.75" customHeight="1">
      <c r="C80" s="13" t="str">
        <f>$D$153</f>
        <v>Light and electronics</v>
      </c>
      <c r="D80" s="14">
        <f t="shared" ref="D80:N80" si="95">+INDEX($E153:$O153,1,D$75) * INDEX($V$78:$V$88,D$75,1)</f>
        <v>0</v>
      </c>
      <c r="E80" s="14">
        <f t="shared" si="95"/>
        <v>0</v>
      </c>
      <c r="F80" s="14">
        <f t="shared" si="95"/>
        <v>0</v>
      </c>
      <c r="G80" s="14">
        <f t="shared" si="95"/>
        <v>0</v>
      </c>
      <c r="H80" s="14">
        <f t="shared" si="95"/>
        <v>0</v>
      </c>
      <c r="I80" s="14">
        <f t="shared" si="95"/>
        <v>0</v>
      </c>
      <c r="J80" s="14">
        <f t="shared" si="95"/>
        <v>0</v>
      </c>
      <c r="K80" s="14">
        <f t="shared" si="95"/>
        <v>0</v>
      </c>
      <c r="L80" s="14">
        <f t="shared" si="95"/>
        <v>0</v>
      </c>
      <c r="M80" s="14">
        <f t="shared" si="95"/>
        <v>21457.655999999999</v>
      </c>
      <c r="N80" s="14">
        <f t="shared" si="95"/>
        <v>0</v>
      </c>
      <c r="O80" s="86"/>
      <c r="T80" s="117" t="str">
        <f>+'Energy matrix'!B7</f>
        <v>Diesel</v>
      </c>
      <c r="U80" s="117"/>
      <c r="V80" s="118">
        <f>+INDEX('Energy matrix'!C7:N7,1,$D$2)</f>
        <v>1286.8499999999999</v>
      </c>
      <c r="W80" s="117"/>
      <c r="X80" s="25">
        <f t="shared" si="94"/>
        <v>1.28685E-3</v>
      </c>
    </row>
    <row r="81" spans="3:28" ht="12.75" customHeight="1">
      <c r="C81" s="13" t="str">
        <f>$D$154</f>
        <v>Electric motors</v>
      </c>
      <c r="D81" s="14">
        <f t="shared" ref="D81:N81" si="96">+INDEX($E154:$O154,1,D$75) * INDEX($V$78:$V$88,D$75,1)</f>
        <v>0</v>
      </c>
      <c r="E81" s="14">
        <f t="shared" si="96"/>
        <v>0</v>
      </c>
      <c r="F81" s="14">
        <f t="shared" si="96"/>
        <v>0</v>
      </c>
      <c r="G81" s="14">
        <f t="shared" si="96"/>
        <v>0</v>
      </c>
      <c r="H81" s="14">
        <f t="shared" si="96"/>
        <v>0</v>
      </c>
      <c r="I81" s="14">
        <f t="shared" si="96"/>
        <v>0</v>
      </c>
      <c r="J81" s="14">
        <f t="shared" si="96"/>
        <v>0</v>
      </c>
      <c r="K81" s="14">
        <f t="shared" si="96"/>
        <v>0</v>
      </c>
      <c r="L81" s="14">
        <f t="shared" si="96"/>
        <v>0</v>
      </c>
      <c r="M81" s="14">
        <f t="shared" si="96"/>
        <v>47792.052000000003</v>
      </c>
      <c r="N81" s="14">
        <f t="shared" si="96"/>
        <v>0</v>
      </c>
      <c r="O81" s="86"/>
      <c r="T81" s="117" t="str">
        <f>+'Energy matrix'!B8</f>
        <v>Gasoline</v>
      </c>
      <c r="U81" s="117"/>
      <c r="V81" s="118">
        <f>+INDEX('Energy matrix'!C8:N8,1,$D$2)</f>
        <v>0</v>
      </c>
      <c r="W81" s="117"/>
      <c r="X81" s="25">
        <f t="shared" si="94"/>
        <v>0</v>
      </c>
    </row>
    <row r="82" spans="3:28" ht="12.75" customHeight="1">
      <c r="C82" s="13" t="str">
        <f>$D$155</f>
        <v>Spatial heating</v>
      </c>
      <c r="D82" s="14">
        <f t="shared" ref="D82:N82" si="97">+INDEX($E155:$O155,1,D$75) * INDEX($V$78:$V$88,D$75,1)</f>
        <v>0</v>
      </c>
      <c r="E82" s="14">
        <f t="shared" si="97"/>
        <v>0</v>
      </c>
      <c r="F82" s="14">
        <f t="shared" si="97"/>
        <v>0</v>
      </c>
      <c r="G82" s="14">
        <f t="shared" si="97"/>
        <v>0</v>
      </c>
      <c r="H82" s="14">
        <f t="shared" si="97"/>
        <v>0</v>
      </c>
      <c r="I82" s="14">
        <f t="shared" si="97"/>
        <v>0</v>
      </c>
      <c r="J82" s="14">
        <f t="shared" si="97"/>
        <v>0</v>
      </c>
      <c r="K82" s="14">
        <f t="shared" si="97"/>
        <v>0</v>
      </c>
      <c r="L82" s="14">
        <f t="shared" si="97"/>
        <v>0</v>
      </c>
      <c r="M82" s="14">
        <f t="shared" si="97"/>
        <v>2926.0439999999999</v>
      </c>
      <c r="N82" s="14">
        <f t="shared" si="97"/>
        <v>1774</v>
      </c>
      <c r="O82" s="86"/>
      <c r="T82" s="117" t="str">
        <f>+'Energy matrix'!B9</f>
        <v>LPG</v>
      </c>
      <c r="U82" s="117"/>
      <c r="V82" s="118">
        <f>+INDEX('Energy matrix'!C9:N9,1,$D$2)</f>
        <v>2623.7669999999998</v>
      </c>
      <c r="W82" s="117"/>
      <c r="X82" s="25">
        <f t="shared" si="94"/>
        <v>2.6237669999999999E-3</v>
      </c>
    </row>
    <row r="83" spans="3:28" ht="12.75" customHeight="1">
      <c r="C83" s="17" t="s">
        <v>57</v>
      </c>
      <c r="D83" s="18">
        <f t="shared" ref="D83:N83" si="98">SUM(D77:D82)</f>
        <v>29540.659</v>
      </c>
      <c r="E83" s="18">
        <f t="shared" si="98"/>
        <v>201.74</v>
      </c>
      <c r="F83" s="18">
        <f t="shared" si="98"/>
        <v>1286.8499999999999</v>
      </c>
      <c r="G83" s="18">
        <f t="shared" si="98"/>
        <v>0</v>
      </c>
      <c r="H83" s="18">
        <f t="shared" si="98"/>
        <v>1567.0596175973653</v>
      </c>
      <c r="I83" s="18">
        <f t="shared" si="98"/>
        <v>99519.558000000005</v>
      </c>
      <c r="J83" s="18">
        <f t="shared" si="98"/>
        <v>0</v>
      </c>
      <c r="K83" s="18">
        <f t="shared" si="98"/>
        <v>0</v>
      </c>
      <c r="L83" s="18">
        <f t="shared" si="98"/>
        <v>0</v>
      </c>
      <c r="M83" s="18">
        <f t="shared" si="98"/>
        <v>97534.799999999988</v>
      </c>
      <c r="N83" s="18">
        <f t="shared" si="98"/>
        <v>1774</v>
      </c>
      <c r="O83" s="86"/>
      <c r="T83" s="117" t="str">
        <f>+'Energy matrix'!B11</f>
        <v>Natural gas</v>
      </c>
      <c r="U83" s="117"/>
      <c r="V83" s="118">
        <f>+INDEX('Energy matrix'!C11:N11,1,$D$2)</f>
        <v>99519.558000000005</v>
      </c>
      <c r="W83" s="117"/>
      <c r="X83" s="25">
        <f t="shared" si="94"/>
        <v>9.9519558000000008E-2</v>
      </c>
    </row>
    <row r="84" spans="3:28" ht="12.75" customHeight="1">
      <c r="E84" s="25"/>
      <c r="F84" s="25"/>
      <c r="G84" s="25"/>
      <c r="H84" s="25"/>
      <c r="I84" s="25"/>
      <c r="J84" s="25"/>
      <c r="K84" s="25"/>
      <c r="O84" s="86"/>
      <c r="T84" s="117" t="str">
        <f>+'Energy matrix'!B12</f>
        <v>Biogas</v>
      </c>
      <c r="U84" s="117"/>
      <c r="V84" s="118">
        <f>+INDEX('Energy matrix'!C12:N12,1,$D$2)</f>
        <v>0</v>
      </c>
      <c r="W84" s="117"/>
      <c r="X84" s="25">
        <f t="shared" si="94"/>
        <v>0</v>
      </c>
    </row>
    <row r="85" spans="3:28" ht="12.75" customHeight="1">
      <c r="E85" s="25"/>
      <c r="F85" s="25"/>
      <c r="G85" s="25"/>
      <c r="H85" s="25"/>
      <c r="I85" s="25"/>
      <c r="J85" s="25"/>
      <c r="K85" s="25"/>
      <c r="O85" s="86"/>
      <c r="T85" s="117" t="str">
        <f>+'Energy matrix'!B17</f>
        <v>Biomass</v>
      </c>
      <c r="U85" s="117"/>
      <c r="V85" s="118">
        <f>+INDEX('Energy matrix'!C17:N17,1,$D$2)</f>
        <v>0</v>
      </c>
      <c r="W85" s="117"/>
      <c r="X85" s="25">
        <f t="shared" si="94"/>
        <v>0</v>
      </c>
      <c r="AB85" s="85"/>
    </row>
    <row r="86" spans="3:28" ht="12.75" customHeight="1">
      <c r="O86" s="86"/>
      <c r="T86" s="117" t="str">
        <f>+'Energy matrix'!B18</f>
        <v>Waste</v>
      </c>
      <c r="U86" s="117"/>
      <c r="V86" s="118">
        <f>+INDEX('Energy matrix'!C18:N18,1,$D$2)</f>
        <v>0</v>
      </c>
      <c r="W86" s="117"/>
      <c r="X86" s="25">
        <f t="shared" si="94"/>
        <v>0</v>
      </c>
    </row>
    <row r="87" spans="3:28" ht="12.75" customHeight="1">
      <c r="O87" s="86"/>
      <c r="T87" s="117" t="str">
        <f>+'Energy matrix'!B19</f>
        <v>Electricity</v>
      </c>
      <c r="U87" s="117"/>
      <c r="V87" s="118">
        <f>+INDEX('Energy matrix'!C19:N19,1,$D$2)</f>
        <v>97534.8</v>
      </c>
      <c r="W87" s="117"/>
      <c r="X87" s="25">
        <f t="shared" si="94"/>
        <v>9.7534800000000005E-2</v>
      </c>
    </row>
    <row r="88" spans="3:28" ht="12.75" customHeight="1">
      <c r="O88" s="86"/>
      <c r="T88" s="122" t="str">
        <f>+'Energy matrix'!B20</f>
        <v>District Heating</v>
      </c>
      <c r="U88" s="122"/>
      <c r="V88" s="123">
        <f>+INDEX('Energy matrix'!C20:N20,1,$D$2)</f>
        <v>1774</v>
      </c>
      <c r="W88" s="122"/>
      <c r="X88" s="25">
        <f t="shared" si="94"/>
        <v>1.774E-3</v>
      </c>
    </row>
    <row r="89" spans="3:28" ht="12.75" customHeight="1">
      <c r="O89" s="86"/>
      <c r="T89" s="46"/>
      <c r="U89" s="46"/>
      <c r="W89" s="46"/>
    </row>
    <row r="90" spans="3:28" s="285" customFormat="1" ht="12.75" customHeight="1">
      <c r="C90" s="259" t="s">
        <v>511</v>
      </c>
      <c r="O90" s="86"/>
      <c r="R90" s="287"/>
      <c r="S90" s="287"/>
      <c r="T90" s="117" t="s">
        <v>57</v>
      </c>
      <c r="U90" s="117"/>
      <c r="V90" s="118">
        <f>SUM(V78:V88)</f>
        <v>232481.37400000001</v>
      </c>
      <c r="W90" s="117"/>
      <c r="X90" s="25"/>
    </row>
    <row r="91" spans="3:28" s="285" customFormat="1" ht="12.75" customHeight="1">
      <c r="E91" s="63"/>
      <c r="F91" s="63"/>
      <c r="G91" s="288"/>
      <c r="H91" s="288"/>
      <c r="I91" s="288"/>
      <c r="J91" s="288"/>
      <c r="K91" s="288"/>
      <c r="O91" s="86"/>
      <c r="R91" s="287"/>
      <c r="S91" s="287"/>
      <c r="T91" s="260"/>
      <c r="U91" s="260"/>
      <c r="V91" s="261"/>
      <c r="W91" s="260"/>
      <c r="X91" s="25"/>
    </row>
    <row r="92" spans="3:28" s="285" customFormat="1" ht="12.75" customHeight="1">
      <c r="C92" s="127" t="s">
        <v>151</v>
      </c>
      <c r="R92" s="287"/>
      <c r="S92" s="287"/>
      <c r="T92" s="260"/>
      <c r="U92" s="260"/>
      <c r="V92" s="261"/>
      <c r="W92" s="260"/>
      <c r="X92" s="25"/>
    </row>
    <row r="93" spans="3:28" s="285" customFormat="1" ht="12.75" customHeight="1">
      <c r="D93" s="87" t="s">
        <v>153</v>
      </c>
      <c r="E93" s="88" t="e">
        <f t="array" ref="E93">+IF(AND(UPPER(TRANSPOSE(T98:T108))=UPPER(MID(D96:N96,4,99))),"Ok","ERROR")</f>
        <v>#REF!</v>
      </c>
      <c r="R93" s="287"/>
      <c r="S93" s="287"/>
      <c r="T93" s="260"/>
      <c r="U93" s="260"/>
      <c r="V93" s="261"/>
      <c r="W93" s="260"/>
      <c r="X93" s="25"/>
    </row>
    <row r="94" spans="3:28" s="285" customFormat="1" ht="12.75" customHeight="1">
      <c r="C94" s="285" t="s">
        <v>209</v>
      </c>
      <c r="E94" s="63"/>
      <c r="F94" s="63"/>
      <c r="G94" s="288"/>
      <c r="H94" s="288"/>
      <c r="I94" s="288"/>
      <c r="J94" s="288"/>
      <c r="K94" s="288"/>
      <c r="O94" s="86"/>
      <c r="R94" s="287"/>
      <c r="S94" s="287"/>
      <c r="T94" s="127" t="s">
        <v>514</v>
      </c>
      <c r="U94" s="127"/>
      <c r="W94" s="127"/>
    </row>
    <row r="95" spans="3:28" s="285" customFormat="1" ht="12.75" customHeight="1">
      <c r="D95" s="89">
        <v>1</v>
      </c>
      <c r="E95" s="89">
        <f>+D95+1</f>
        <v>2</v>
      </c>
      <c r="F95" s="89">
        <f t="shared" ref="F95" si="99">+E95+1</f>
        <v>3</v>
      </c>
      <c r="G95" s="89">
        <f t="shared" ref="G95" si="100">+F95+1</f>
        <v>4</v>
      </c>
      <c r="H95" s="89">
        <f t="shared" ref="H95" si="101">+G95+1</f>
        <v>5</v>
      </c>
      <c r="I95" s="89">
        <f t="shared" ref="I95" si="102">+H95+1</f>
        <v>6</v>
      </c>
      <c r="J95" s="89">
        <f t="shared" ref="J95" si="103">+I95+1</f>
        <v>7</v>
      </c>
      <c r="K95" s="89">
        <f t="shared" ref="K95" si="104">+J95+1</f>
        <v>8</v>
      </c>
      <c r="L95" s="89">
        <f t="shared" ref="L95" si="105">+K95+1</f>
        <v>9</v>
      </c>
      <c r="M95" s="89">
        <f t="shared" ref="M95" si="106">+L95+1</f>
        <v>10</v>
      </c>
      <c r="N95" s="89">
        <f t="shared" ref="N95" si="107">+M95+1</f>
        <v>11</v>
      </c>
      <c r="O95" s="86"/>
      <c r="R95" s="287"/>
      <c r="S95" s="287"/>
      <c r="T95" s="291"/>
      <c r="U95" s="291"/>
      <c r="W95" s="291"/>
    </row>
    <row r="96" spans="3:28" s="285" customFormat="1" ht="12.75" customHeight="1">
      <c r="C96" s="10" t="str">
        <f t="shared" ref="C96:N96" si="108">+D149</f>
        <v>Agg End-use</v>
      </c>
      <c r="D96" s="10" t="str">
        <f t="shared" si="108"/>
        <v>01 Coal</v>
      </c>
      <c r="E96" s="10" t="str">
        <f t="shared" si="108"/>
        <v>02 Fuel oil</v>
      </c>
      <c r="F96" s="10" t="str">
        <f t="shared" si="108"/>
        <v>03 Diesel</v>
      </c>
      <c r="G96" s="10" t="str">
        <f t="shared" si="108"/>
        <v>04 Gasoline</v>
      </c>
      <c r="H96" s="10" t="str">
        <f t="shared" si="108"/>
        <v>05 LPG</v>
      </c>
      <c r="I96" s="10" t="str">
        <f t="shared" si="108"/>
        <v>06 Natural gas</v>
      </c>
      <c r="J96" s="10" t="str">
        <f t="shared" si="108"/>
        <v>07 Biogas</v>
      </c>
      <c r="K96" s="10" t="str">
        <f t="shared" si="108"/>
        <v>08 Biomass</v>
      </c>
      <c r="L96" s="10" t="str">
        <f t="shared" si="108"/>
        <v>09 Waste</v>
      </c>
      <c r="M96" s="10" t="str">
        <f t="shared" si="108"/>
        <v>10 Electricity</v>
      </c>
      <c r="N96" s="10" t="str">
        <f t="shared" si="108"/>
        <v>11 District heating</v>
      </c>
      <c r="O96" s="86"/>
      <c r="R96" s="287"/>
      <c r="S96" s="287"/>
      <c r="T96" s="124" t="s">
        <v>152</v>
      </c>
      <c r="V96" s="125">
        <v>2012</v>
      </c>
    </row>
    <row r="97" spans="3:24" s="285" customFormat="1" ht="12.75" customHeight="1">
      <c r="C97" s="13" t="str">
        <f>$D$150</f>
        <v>Process heat temperature</v>
      </c>
      <c r="D97" s="14">
        <f t="shared" ref="D97:N97" si="109">+INDEX($E150:$O150,1,D$95) * INDEX($V$98:$V$108,D$95,1)</f>
        <v>38292.796000000002</v>
      </c>
      <c r="E97" s="14">
        <f t="shared" si="109"/>
        <v>0</v>
      </c>
      <c r="F97" s="14">
        <f t="shared" si="109"/>
        <v>845.57650000000001</v>
      </c>
      <c r="G97" s="14">
        <f t="shared" si="109"/>
        <v>0</v>
      </c>
      <c r="H97" s="14">
        <f t="shared" si="109"/>
        <v>11.3415</v>
      </c>
      <c r="I97" s="14">
        <f t="shared" si="109"/>
        <v>88242.3</v>
      </c>
      <c r="J97" s="14" t="e">
        <f t="shared" si="109"/>
        <v>#REF!</v>
      </c>
      <c r="K97" s="14">
        <f t="shared" si="109"/>
        <v>63</v>
      </c>
      <c r="L97" s="14">
        <f t="shared" si="109"/>
        <v>0</v>
      </c>
      <c r="M97" s="14">
        <f t="shared" si="109"/>
        <v>15012.288</v>
      </c>
      <c r="N97" s="14">
        <f t="shared" si="109"/>
        <v>0</v>
      </c>
      <c r="O97" s="86"/>
      <c r="R97" s="287"/>
      <c r="S97" s="287"/>
      <c r="T97" s="48" t="s">
        <v>209</v>
      </c>
      <c r="U97" s="48"/>
      <c r="V97" s="126" t="str">
        <f>+INDEX('Energy matrix'!C28:N28,1,$D$2)</f>
        <v>Iron and steel</v>
      </c>
      <c r="W97" s="48"/>
    </row>
    <row r="98" spans="3:24" s="285" customFormat="1" ht="12.75" customHeight="1">
      <c r="C98" s="13" t="str">
        <f>$D$151</f>
        <v>Cooling demand</v>
      </c>
      <c r="D98" s="14">
        <f t="shared" ref="D98:N98" si="110">+INDEX($E151:$O151,1,D$95) * INDEX($V$98:$V$108,D$95,1)</f>
        <v>0</v>
      </c>
      <c r="E98" s="14">
        <f t="shared" si="110"/>
        <v>0</v>
      </c>
      <c r="F98" s="14">
        <f t="shared" si="110"/>
        <v>0</v>
      </c>
      <c r="G98" s="14">
        <f t="shared" si="110"/>
        <v>0</v>
      </c>
      <c r="H98" s="14">
        <f t="shared" si="110"/>
        <v>0</v>
      </c>
      <c r="I98" s="14">
        <f t="shared" si="110"/>
        <v>0</v>
      </c>
      <c r="J98" s="14" t="e">
        <f t="shared" si="110"/>
        <v>#REF!</v>
      </c>
      <c r="K98" s="14">
        <f t="shared" si="110"/>
        <v>0</v>
      </c>
      <c r="L98" s="14">
        <f t="shared" si="110"/>
        <v>0</v>
      </c>
      <c r="M98" s="14">
        <f t="shared" si="110"/>
        <v>9382.68</v>
      </c>
      <c r="N98" s="14">
        <f t="shared" si="110"/>
        <v>0</v>
      </c>
      <c r="O98" s="86"/>
      <c r="R98" s="287"/>
      <c r="S98" s="287"/>
      <c r="T98" s="117" t="str">
        <f>'Energy matrix'!B29</f>
        <v>Coal</v>
      </c>
      <c r="U98" s="117"/>
      <c r="V98" s="118">
        <f>+INDEX('Energy matrix'!C29:N29,1,$D$2)</f>
        <v>38292.796000000002</v>
      </c>
      <c r="W98" s="117"/>
    </row>
    <row r="99" spans="3:24" s="285" customFormat="1" ht="12.75" customHeight="1">
      <c r="C99" s="13" t="str">
        <f>$D$152</f>
        <v>Haullage</v>
      </c>
      <c r="D99" s="19">
        <f t="shared" ref="D99:N99" si="111">+INDEX($E152:$O152,1,D$95) * INDEX($V$98:$V$108,D$95,1)</f>
        <v>0</v>
      </c>
      <c r="E99" s="19">
        <f t="shared" si="111"/>
        <v>0</v>
      </c>
      <c r="F99" s="19">
        <f t="shared" si="111"/>
        <v>2536.7294999999999</v>
      </c>
      <c r="G99" s="19">
        <f t="shared" si="111"/>
        <v>0</v>
      </c>
      <c r="H99" s="19">
        <f t="shared" si="111"/>
        <v>15.75359899770905</v>
      </c>
      <c r="I99" s="19">
        <f t="shared" si="111"/>
        <v>0</v>
      </c>
      <c r="J99" s="19" t="e">
        <f t="shared" si="111"/>
        <v>#REF!</v>
      </c>
      <c r="K99" s="19">
        <f t="shared" si="111"/>
        <v>0</v>
      </c>
      <c r="L99" s="19">
        <f t="shared" si="111"/>
        <v>0</v>
      </c>
      <c r="M99" s="19">
        <f t="shared" si="111"/>
        <v>0</v>
      </c>
      <c r="N99" s="19">
        <f t="shared" si="111"/>
        <v>0</v>
      </c>
      <c r="O99" s="86"/>
      <c r="R99" s="287"/>
      <c r="S99" s="287"/>
      <c r="T99" s="117" t="str">
        <f>'Energy matrix'!B30</f>
        <v>Fuel Oil</v>
      </c>
      <c r="U99" s="117"/>
      <c r="V99" s="118">
        <f>+INDEX('Energy matrix'!C30:N30,1,$D$2)</f>
        <v>0</v>
      </c>
      <c r="W99" s="117"/>
    </row>
    <row r="100" spans="3:24" s="285" customFormat="1" ht="12.75" customHeight="1">
      <c r="C100" s="13" t="str">
        <f>$D$153</f>
        <v>Light and electronics</v>
      </c>
      <c r="D100" s="14">
        <f t="shared" ref="D100:N100" si="112">+INDEX($E153:$O153,1,D$95) * INDEX($V$98:$V$108,D$95,1)</f>
        <v>0</v>
      </c>
      <c r="E100" s="14">
        <f t="shared" si="112"/>
        <v>0</v>
      </c>
      <c r="F100" s="14">
        <f t="shared" si="112"/>
        <v>0</v>
      </c>
      <c r="G100" s="14">
        <f t="shared" si="112"/>
        <v>0</v>
      </c>
      <c r="H100" s="14">
        <f t="shared" si="112"/>
        <v>0</v>
      </c>
      <c r="I100" s="14">
        <f t="shared" si="112"/>
        <v>0</v>
      </c>
      <c r="J100" s="14" t="e">
        <f t="shared" si="112"/>
        <v>#REF!</v>
      </c>
      <c r="K100" s="14">
        <f t="shared" si="112"/>
        <v>0</v>
      </c>
      <c r="L100" s="14">
        <f t="shared" si="112"/>
        <v>0</v>
      </c>
      <c r="M100" s="14">
        <f t="shared" si="112"/>
        <v>20641.896000000001</v>
      </c>
      <c r="N100" s="14">
        <f t="shared" si="112"/>
        <v>0</v>
      </c>
      <c r="O100" s="86"/>
      <c r="R100" s="287"/>
      <c r="S100" s="287"/>
      <c r="T100" s="117" t="str">
        <f>'Energy matrix'!B31</f>
        <v>Diesel</v>
      </c>
      <c r="U100" s="117"/>
      <c r="V100" s="118">
        <f>+INDEX('Energy matrix'!C31:N31,1,$D$2)</f>
        <v>3382.306</v>
      </c>
      <c r="W100" s="117"/>
    </row>
    <row r="101" spans="3:24" s="285" customFormat="1" ht="12.75" customHeight="1">
      <c r="C101" s="13" t="str">
        <f>$D$154</f>
        <v>Electric motors</v>
      </c>
      <c r="D101" s="14">
        <f t="shared" ref="D101:N101" si="113">+INDEX($E154:$O154,1,D$95) * INDEX($V$98:$V$108,D$95,1)</f>
        <v>0</v>
      </c>
      <c r="E101" s="14">
        <f t="shared" si="113"/>
        <v>0</v>
      </c>
      <c r="F101" s="14">
        <f t="shared" si="113"/>
        <v>0</v>
      </c>
      <c r="G101" s="14">
        <f t="shared" si="113"/>
        <v>0</v>
      </c>
      <c r="H101" s="14">
        <f t="shared" si="113"/>
        <v>0</v>
      </c>
      <c r="I101" s="14">
        <f t="shared" si="113"/>
        <v>0</v>
      </c>
      <c r="J101" s="14" t="e">
        <f t="shared" si="113"/>
        <v>#REF!</v>
      </c>
      <c r="K101" s="14">
        <f t="shared" si="113"/>
        <v>0</v>
      </c>
      <c r="L101" s="14">
        <f t="shared" si="113"/>
        <v>0</v>
      </c>
      <c r="M101" s="14">
        <f t="shared" si="113"/>
        <v>45975.131999999998</v>
      </c>
      <c r="N101" s="14">
        <f t="shared" si="113"/>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4">+INDEX($E155:$O155,1,D$95) * INDEX($V$98:$V$108,D$95,1)</f>
        <v>0</v>
      </c>
      <c r="E102" s="14">
        <f t="shared" si="114"/>
        <v>0</v>
      </c>
      <c r="F102" s="14">
        <f t="shared" si="114"/>
        <v>0</v>
      </c>
      <c r="G102" s="14">
        <f t="shared" si="114"/>
        <v>0</v>
      </c>
      <c r="H102" s="14">
        <f t="shared" si="114"/>
        <v>0</v>
      </c>
      <c r="I102" s="14">
        <f t="shared" si="114"/>
        <v>0</v>
      </c>
      <c r="J102" s="14" t="e">
        <f t="shared" si="114"/>
        <v>#REF!</v>
      </c>
      <c r="K102" s="14">
        <f t="shared" si="114"/>
        <v>0</v>
      </c>
      <c r="L102" s="14">
        <f t="shared" si="114"/>
        <v>0</v>
      </c>
      <c r="M102" s="14">
        <f t="shared" si="114"/>
        <v>2814.8040000000001</v>
      </c>
      <c r="N102" s="14">
        <f t="shared" si="114"/>
        <v>1520</v>
      </c>
      <c r="O102" s="86"/>
      <c r="R102" s="287"/>
      <c r="S102" s="287"/>
      <c r="T102" s="117" t="str">
        <f>'Energy matrix'!B33</f>
        <v>LPG</v>
      </c>
      <c r="U102" s="117"/>
      <c r="V102" s="118">
        <f>+INDEX('Energy matrix'!C33:N33,1,$D$2)</f>
        <v>45.366</v>
      </c>
      <c r="W102" s="117"/>
    </row>
    <row r="103" spans="3:24" s="285" customFormat="1" ht="12.75" customHeight="1">
      <c r="C103" s="17" t="s">
        <v>57</v>
      </c>
      <c r="D103" s="18">
        <f t="shared" ref="D103:N103" si="115">SUM(D97:D102)</f>
        <v>38292.796000000002</v>
      </c>
      <c r="E103" s="18">
        <f t="shared" si="115"/>
        <v>0</v>
      </c>
      <c r="F103" s="18">
        <f t="shared" si="115"/>
        <v>3382.306</v>
      </c>
      <c r="G103" s="18">
        <f t="shared" si="115"/>
        <v>0</v>
      </c>
      <c r="H103" s="18">
        <f t="shared" si="115"/>
        <v>27.095098997709052</v>
      </c>
      <c r="I103" s="18">
        <f t="shared" si="115"/>
        <v>88242.3</v>
      </c>
      <c r="J103" s="18" t="e">
        <f t="shared" si="115"/>
        <v>#REF!</v>
      </c>
      <c r="K103" s="18">
        <f t="shared" si="115"/>
        <v>63</v>
      </c>
      <c r="L103" s="18">
        <f t="shared" si="115"/>
        <v>0</v>
      </c>
      <c r="M103" s="18">
        <f t="shared" si="115"/>
        <v>93826.8</v>
      </c>
      <c r="N103" s="18">
        <f t="shared" si="115"/>
        <v>1520</v>
      </c>
      <c r="O103" s="86"/>
      <c r="R103" s="287"/>
      <c r="S103" s="287"/>
      <c r="T103" s="117" t="str">
        <f>'Energy matrix'!B35</f>
        <v>Natural gas</v>
      </c>
      <c r="U103" s="117"/>
      <c r="V103" s="118">
        <f>+INDEX('Energy matrix'!C35:N35,1,$D$2)</f>
        <v>88242.3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63</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0</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93826.8</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1520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6">+E115+1</f>
        <v>3</v>
      </c>
      <c r="G115" s="89">
        <f t="shared" ref="G115" si="117">+F115+1</f>
        <v>4</v>
      </c>
      <c r="H115" s="89">
        <f t="shared" ref="H115" si="118">+G115+1</f>
        <v>5</v>
      </c>
      <c r="I115" s="89">
        <f t="shared" ref="I115" si="119">+H115+1</f>
        <v>6</v>
      </c>
      <c r="J115" s="89">
        <f t="shared" ref="J115" si="120">+I115+1</f>
        <v>7</v>
      </c>
      <c r="K115" s="89">
        <f t="shared" ref="K115" si="121">+J115+1</f>
        <v>8</v>
      </c>
      <c r="L115" s="89">
        <f t="shared" ref="L115" si="122">+K115+1</f>
        <v>9</v>
      </c>
      <c r="M115" s="89">
        <f t="shared" ref="M115" si="123">+L115+1</f>
        <v>10</v>
      </c>
      <c r="N115" s="89">
        <f t="shared" ref="N115" si="124">+M115+1</f>
        <v>11</v>
      </c>
      <c r="O115" s="86"/>
      <c r="T115" s="46"/>
      <c r="U115" s="46"/>
      <c r="W115" s="46"/>
    </row>
    <row r="116" spans="3:31" ht="12.75" customHeight="1">
      <c r="C116" s="10" t="str">
        <f t="shared" ref="C116:N116" si="125">+C76</f>
        <v>Agg End-use</v>
      </c>
      <c r="D116" s="10" t="str">
        <f t="shared" si="125"/>
        <v>01 Coal</v>
      </c>
      <c r="E116" s="10" t="str">
        <f t="shared" si="125"/>
        <v>02 Fuel oil</v>
      </c>
      <c r="F116" s="10" t="str">
        <f t="shared" si="125"/>
        <v>03 Diesel</v>
      </c>
      <c r="G116" s="10" t="str">
        <f t="shared" si="125"/>
        <v>04 Gasoline</v>
      </c>
      <c r="H116" s="10" t="str">
        <f t="shared" si="125"/>
        <v>05 LPG</v>
      </c>
      <c r="I116" s="10" t="str">
        <f t="shared" si="125"/>
        <v>06 Natural gas</v>
      </c>
      <c r="J116" s="10" t="str">
        <f t="shared" si="125"/>
        <v>07 Biogas</v>
      </c>
      <c r="K116" s="10" t="str">
        <f t="shared" si="125"/>
        <v>08 Biomass</v>
      </c>
      <c r="L116" s="10" t="str">
        <f t="shared" si="125"/>
        <v>09 Waste</v>
      </c>
      <c r="M116" s="10" t="str">
        <f t="shared" si="125"/>
        <v>10 Electricity</v>
      </c>
      <c r="N116" s="10" t="str">
        <f t="shared" si="125"/>
        <v>11 District heating</v>
      </c>
      <c r="O116" s="86"/>
      <c r="T116" s="124" t="s">
        <v>152</v>
      </c>
      <c r="V116" s="125">
        <f>+'Energy matrix'!B51</f>
        <v>2019</v>
      </c>
    </row>
    <row r="117" spans="3:31" ht="12.75" customHeight="1">
      <c r="C117" s="13" t="str">
        <f>$D$150</f>
        <v>Process heat temperature</v>
      </c>
      <c r="D117" s="14">
        <f t="shared" ref="D117:N117" si="126">+INDEX($E150:$O150,1,D$115) * INDEX($V$118:$V$128,D$115,1)</f>
        <v>28433.278999999999</v>
      </c>
      <c r="E117" s="14">
        <f t="shared" si="126"/>
        <v>0</v>
      </c>
      <c r="F117" s="14">
        <f t="shared" si="126"/>
        <v>107.3175</v>
      </c>
      <c r="G117" s="14">
        <f t="shared" si="126"/>
        <v>0</v>
      </c>
      <c r="H117" s="14" t="e">
        <f t="shared" si="126"/>
        <v>#REF!</v>
      </c>
      <c r="I117" s="14">
        <f t="shared" si="126"/>
        <v>93782.1</v>
      </c>
      <c r="J117" s="14">
        <f t="shared" si="126"/>
        <v>86104.111999999994</v>
      </c>
      <c r="K117" s="14">
        <f t="shared" si="126"/>
        <v>0</v>
      </c>
      <c r="L117" s="14">
        <f t="shared" si="126"/>
        <v>4</v>
      </c>
      <c r="M117" s="14">
        <f t="shared" si="126"/>
        <v>0</v>
      </c>
      <c r="N117" s="14">
        <f t="shared" si="126"/>
        <v>0</v>
      </c>
      <c r="O117" s="86"/>
      <c r="T117" s="48" t="s">
        <v>209</v>
      </c>
      <c r="U117" s="48"/>
      <c r="V117" s="126" t="str">
        <f>+INDEX('Energy matrix'!C52:N52,1,$D$2)</f>
        <v>Iron and steel</v>
      </c>
      <c r="W117" s="48"/>
    </row>
    <row r="118" spans="3:31" ht="12.75" customHeight="1">
      <c r="C118" s="13" t="str">
        <f>$D$151</f>
        <v>Cooling demand</v>
      </c>
      <c r="D118" s="14">
        <f t="shared" ref="D118:N118" si="127">+INDEX($E151:$O151,1,D$115) * INDEX($V$118:$V$128,D$115,1)</f>
        <v>0</v>
      </c>
      <c r="E118" s="14">
        <f t="shared" si="127"/>
        <v>0</v>
      </c>
      <c r="F118" s="14">
        <f t="shared" si="127"/>
        <v>0</v>
      </c>
      <c r="G118" s="14">
        <f t="shared" si="127"/>
        <v>0</v>
      </c>
      <c r="H118" s="14" t="e">
        <f t="shared" si="127"/>
        <v>#REF!</v>
      </c>
      <c r="I118" s="14">
        <f t="shared" si="127"/>
        <v>0</v>
      </c>
      <c r="J118" s="14">
        <f t="shared" si="127"/>
        <v>0</v>
      </c>
      <c r="K118" s="14">
        <f t="shared" si="127"/>
        <v>0</v>
      </c>
      <c r="L118" s="14">
        <f t="shared" si="127"/>
        <v>0</v>
      </c>
      <c r="M118" s="14">
        <f t="shared" si="127"/>
        <v>0</v>
      </c>
      <c r="N118" s="14">
        <f t="shared" si="127"/>
        <v>0</v>
      </c>
      <c r="O118" s="86"/>
      <c r="T118" s="117" t="str">
        <f>'Energy matrix'!B53</f>
        <v>Coal</v>
      </c>
      <c r="U118" s="117"/>
      <c r="V118" s="118">
        <f>+INDEX('Energy matrix'!C53:N53,1,$D$2)</f>
        <v>28433.278999999999</v>
      </c>
      <c r="W118" s="117"/>
    </row>
    <row r="119" spans="3:31" ht="12.75" customHeight="1">
      <c r="C119" s="13" t="str">
        <f>$D$152</f>
        <v>Haullage</v>
      </c>
      <c r="D119" s="19">
        <f t="shared" ref="D119:N119" si="128">+INDEX($E152:$O152,1,D$115) * INDEX($V$118:$V$128,D$115,1)</f>
        <v>0</v>
      </c>
      <c r="E119" s="19">
        <f t="shared" si="128"/>
        <v>0</v>
      </c>
      <c r="F119" s="19">
        <f t="shared" si="128"/>
        <v>321.95249999999999</v>
      </c>
      <c r="G119" s="19">
        <f t="shared" si="128"/>
        <v>0</v>
      </c>
      <c r="H119" s="19" t="e">
        <f t="shared" si="128"/>
        <v>#REF!</v>
      </c>
      <c r="I119" s="19">
        <f t="shared" si="128"/>
        <v>0</v>
      </c>
      <c r="J119" s="19">
        <f t="shared" si="128"/>
        <v>0</v>
      </c>
      <c r="K119" s="19">
        <f t="shared" si="128"/>
        <v>0</v>
      </c>
      <c r="L119" s="19">
        <f t="shared" si="128"/>
        <v>0</v>
      </c>
      <c r="M119" s="19">
        <f t="shared" si="128"/>
        <v>0</v>
      </c>
      <c r="N119" s="19">
        <f t="shared" si="128"/>
        <v>0</v>
      </c>
      <c r="O119" s="86"/>
      <c r="T119" s="117" t="str">
        <f>'Energy matrix'!B54</f>
        <v>Fuel Oil</v>
      </c>
      <c r="U119" s="117"/>
      <c r="V119" s="118">
        <f>+INDEX('Energy matrix'!C54:N54,1,$D$2)</f>
        <v>0</v>
      </c>
      <c r="W119" s="117"/>
    </row>
    <row r="120" spans="3:31" ht="12.75" customHeight="1">
      <c r="C120" s="13" t="str">
        <f>$D$153</f>
        <v>Light and electronics</v>
      </c>
      <c r="D120" s="14">
        <f t="shared" ref="D120:N120" si="129">+INDEX($E153:$O153,1,D$115) * INDEX($V$118:$V$128,D$115,1)</f>
        <v>0</v>
      </c>
      <c r="E120" s="14">
        <f t="shared" si="129"/>
        <v>0</v>
      </c>
      <c r="F120" s="14">
        <f t="shared" si="129"/>
        <v>0</v>
      </c>
      <c r="G120" s="14">
        <f t="shared" si="129"/>
        <v>0</v>
      </c>
      <c r="H120" s="14" t="e">
        <f t="shared" si="129"/>
        <v>#REF!</v>
      </c>
      <c r="I120" s="14">
        <f t="shared" si="129"/>
        <v>0</v>
      </c>
      <c r="J120" s="14">
        <f t="shared" si="129"/>
        <v>0</v>
      </c>
      <c r="K120" s="14">
        <f t="shared" si="129"/>
        <v>0</v>
      </c>
      <c r="L120" s="14">
        <f t="shared" si="129"/>
        <v>0</v>
      </c>
      <c r="M120" s="14">
        <f t="shared" si="129"/>
        <v>0</v>
      </c>
      <c r="N120" s="14">
        <f t="shared" si="129"/>
        <v>0</v>
      </c>
      <c r="O120" s="86"/>
      <c r="T120" s="117" t="str">
        <f>'Energy matrix'!B55</f>
        <v>Diesel</v>
      </c>
      <c r="U120" s="117"/>
      <c r="V120" s="118">
        <f>+INDEX('Energy matrix'!C55:N55,1,$D$2)</f>
        <v>429.27</v>
      </c>
      <c r="W120" s="117"/>
    </row>
    <row r="121" spans="3:31" ht="12.75" customHeight="1">
      <c r="C121" s="13" t="str">
        <f>$D$154</f>
        <v>Electric motors</v>
      </c>
      <c r="D121" s="14">
        <f t="shared" ref="D121:N121" si="130">+INDEX($E154:$O154,1,D$115) * INDEX($V$118:$V$128,D$115,1)</f>
        <v>0</v>
      </c>
      <c r="E121" s="14">
        <f t="shared" si="130"/>
        <v>0</v>
      </c>
      <c r="F121" s="14">
        <f t="shared" si="130"/>
        <v>0</v>
      </c>
      <c r="G121" s="14">
        <f t="shared" si="130"/>
        <v>0</v>
      </c>
      <c r="H121" s="14" t="e">
        <f t="shared" si="130"/>
        <v>#REF!</v>
      </c>
      <c r="I121" s="14">
        <f t="shared" si="130"/>
        <v>0</v>
      </c>
      <c r="J121" s="14">
        <f t="shared" si="130"/>
        <v>0</v>
      </c>
      <c r="K121" s="14">
        <f t="shared" si="130"/>
        <v>0</v>
      </c>
      <c r="L121" s="14">
        <f t="shared" si="130"/>
        <v>0</v>
      </c>
      <c r="M121" s="14">
        <f t="shared" si="130"/>
        <v>0</v>
      </c>
      <c r="N121" s="14">
        <f t="shared" si="130"/>
        <v>0</v>
      </c>
      <c r="O121" s="86"/>
      <c r="T121" s="117" t="str">
        <f>'Energy matrix'!B56</f>
        <v>Gasoline</v>
      </c>
      <c r="U121" s="117"/>
      <c r="V121" s="118">
        <f>+INDEX('Energy matrix'!C56:N56,1,$D$2)</f>
        <v>0</v>
      </c>
      <c r="W121" s="117"/>
    </row>
    <row r="122" spans="3:31" ht="12.75" customHeight="1">
      <c r="C122" s="13" t="str">
        <f>$D$155</f>
        <v>Spatial heating</v>
      </c>
      <c r="D122" s="14">
        <f t="shared" ref="D122:N122" si="131">+INDEX($E155:$O155,1,D$115) * INDEX($V$118:$V$128,D$115,1)</f>
        <v>0</v>
      </c>
      <c r="E122" s="14">
        <f t="shared" si="131"/>
        <v>0</v>
      </c>
      <c r="F122" s="14">
        <f t="shared" si="131"/>
        <v>0</v>
      </c>
      <c r="G122" s="14">
        <f t="shared" si="131"/>
        <v>0</v>
      </c>
      <c r="H122" s="14" t="e">
        <f t="shared" si="131"/>
        <v>#REF!</v>
      </c>
      <c r="I122" s="14">
        <f t="shared" si="131"/>
        <v>0</v>
      </c>
      <c r="J122" s="14">
        <f t="shared" si="131"/>
        <v>0</v>
      </c>
      <c r="K122" s="14">
        <f t="shared" si="131"/>
        <v>0</v>
      </c>
      <c r="L122" s="14">
        <f t="shared" si="131"/>
        <v>0</v>
      </c>
      <c r="M122" s="14">
        <f t="shared" si="131"/>
        <v>0</v>
      </c>
      <c r="N122" s="14">
        <f t="shared" si="131"/>
        <v>87739.199999999997</v>
      </c>
      <c r="O122" s="86"/>
      <c r="T122" s="117" t="e">
        <f>'Energy matrix'!#REF!</f>
        <v>#REF!</v>
      </c>
      <c r="U122" s="117"/>
      <c r="V122" s="118" t="e">
        <f>+_xlfn.SINGLE(INDEX('Energy matrix'!#REF!,1,$D$2))</f>
        <v>#REF!</v>
      </c>
      <c r="W122" s="117"/>
    </row>
    <row r="123" spans="3:31" ht="12.75" customHeight="1">
      <c r="C123" s="17" t="s">
        <v>57</v>
      </c>
      <c r="D123" s="18">
        <f t="shared" ref="D123:N123" si="132">SUM(D117:D122)</f>
        <v>28433.278999999999</v>
      </c>
      <c r="E123" s="18">
        <f t="shared" si="132"/>
        <v>0</v>
      </c>
      <c r="F123" s="18">
        <f t="shared" si="132"/>
        <v>429.27</v>
      </c>
      <c r="G123" s="18">
        <f t="shared" si="132"/>
        <v>0</v>
      </c>
      <c r="H123" s="18" t="e">
        <f t="shared" si="132"/>
        <v>#REF!</v>
      </c>
      <c r="I123" s="18">
        <f t="shared" si="132"/>
        <v>93782.1</v>
      </c>
      <c r="J123" s="18">
        <f t="shared" si="132"/>
        <v>86104.111999999994</v>
      </c>
      <c r="K123" s="18">
        <f t="shared" si="132"/>
        <v>0</v>
      </c>
      <c r="L123" s="18">
        <f t="shared" si="132"/>
        <v>4</v>
      </c>
      <c r="M123" s="18">
        <f t="shared" si="132"/>
        <v>0</v>
      </c>
      <c r="N123" s="18">
        <f t="shared" si="132"/>
        <v>87739.199999999997</v>
      </c>
      <c r="O123" s="86"/>
      <c r="T123" s="117" t="str">
        <f>'Energy matrix'!B58</f>
        <v>Manufactured Gases</v>
      </c>
      <c r="U123" s="117"/>
      <c r="V123" s="118">
        <f>+INDEX('Energy matrix'!C58:N58,1,$D$2)</f>
        <v>93782.1</v>
      </c>
      <c r="W123" s="117"/>
    </row>
    <row r="124" spans="3:31" ht="12.75" customHeight="1">
      <c r="E124" s="25"/>
      <c r="F124" s="25"/>
      <c r="G124" s="25"/>
      <c r="H124" s="25"/>
      <c r="I124" s="25"/>
      <c r="J124" s="25"/>
      <c r="K124" s="25"/>
      <c r="O124" s="86"/>
      <c r="T124" s="117" t="str">
        <f>'Energy matrix'!B59</f>
        <v>Natural gas</v>
      </c>
      <c r="U124" s="117"/>
      <c r="V124" s="118">
        <f>+INDEX('Energy matrix'!C59:N59,1,$D$2)</f>
        <v>86104.111999999994</v>
      </c>
      <c r="W124" s="117"/>
    </row>
    <row r="125" spans="3:31" ht="12.75" customHeight="1">
      <c r="E125" s="25"/>
      <c r="F125" s="25"/>
      <c r="G125" s="25"/>
      <c r="H125" s="25"/>
      <c r="I125" s="25"/>
      <c r="J125" s="25"/>
      <c r="K125" s="25"/>
      <c r="O125" s="86"/>
      <c r="T125" s="117" t="str">
        <f>'Energy matrix'!B60</f>
        <v>Biogas</v>
      </c>
      <c r="U125" s="117"/>
      <c r="V125" s="118">
        <f>+INDEX('Energy matrix'!C60:N60,1,$D$2)</f>
        <v>0</v>
      </c>
      <c r="W125" s="117"/>
    </row>
    <row r="126" spans="3:31" ht="12.75" customHeight="1">
      <c r="O126" s="86"/>
      <c r="T126" s="117" t="str">
        <f>'Energy matrix'!B65</f>
        <v>Biomass</v>
      </c>
      <c r="U126" s="117"/>
      <c r="V126" s="118">
        <f>+INDEX('Energy matrix'!C65:N65,1,$D$2)</f>
        <v>4</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87739.199999999997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H136*0.98</f>
        <v>0.98</v>
      </c>
      <c r="I131" s="258">
        <f>I136*0.98</f>
        <v>0.98</v>
      </c>
      <c r="J131" s="258">
        <f>J136*0.98</f>
        <v>0.98</v>
      </c>
      <c r="K131" s="258">
        <f t="shared" ref="K131:N131" si="133">K136*0.98</f>
        <v>0.83299999999999996</v>
      </c>
      <c r="L131" s="258">
        <f>L136*0.98</f>
        <v>0.93099999999999994</v>
      </c>
      <c r="M131" s="258">
        <f>M136*0.98</f>
        <v>0.93099999999999994</v>
      </c>
      <c r="N131" s="258">
        <f t="shared" si="133"/>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4">H131*0.98</f>
        <v>0.96039999999999992</v>
      </c>
      <c r="I132" s="258">
        <f t="shared" si="134"/>
        <v>0.96039999999999992</v>
      </c>
      <c r="J132" s="258">
        <f t="shared" si="134"/>
        <v>0.96039999999999992</v>
      </c>
      <c r="K132" s="258">
        <f t="shared" si="134"/>
        <v>0.81633999999999995</v>
      </c>
      <c r="L132" s="258">
        <f t="shared" si="134"/>
        <v>0.91237999999999997</v>
      </c>
      <c r="M132" s="258">
        <f t="shared" si="134"/>
        <v>0.91237999999999997</v>
      </c>
      <c r="N132" s="258">
        <f t="shared" si="13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20" thickBot="1">
      <c r="C143" s="448"/>
      <c r="E143" s="445"/>
      <c r="F143" s="445"/>
      <c r="G143" s="446"/>
      <c r="H143" s="446"/>
      <c r="I143" s="446"/>
      <c r="J143" s="446"/>
      <c r="K143" s="446"/>
      <c r="R143" s="447"/>
      <c r="S143" s="447"/>
    </row>
    <row r="144" spans="3:32" ht="15">
      <c r="C144" s="163"/>
      <c r="D144" s="162"/>
      <c r="E144" s="25"/>
      <c r="F144" s="25"/>
      <c r="G144" s="25"/>
      <c r="H144" s="25"/>
      <c r="I144" s="25"/>
      <c r="J144" s="25"/>
      <c r="K144" s="25"/>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 Iron and steel</v>
      </c>
      <c r="D150" s="13" t="s">
        <v>534</v>
      </c>
      <c r="E150" s="22">
        <v>1</v>
      </c>
      <c r="F150" s="22">
        <v>1</v>
      </c>
      <c r="G150" s="22">
        <v>0.25</v>
      </c>
      <c r="H150" s="22">
        <v>0</v>
      </c>
      <c r="I150" s="22">
        <v>0.25</v>
      </c>
      <c r="J150" s="22">
        <v>1</v>
      </c>
      <c r="K150" s="22">
        <v>1</v>
      </c>
      <c r="L150" s="22">
        <v>1</v>
      </c>
      <c r="M150" s="22">
        <v>1</v>
      </c>
      <c r="N150" s="22">
        <v>0.16</v>
      </c>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536</v>
      </c>
      <c r="E152" s="22">
        <v>0</v>
      </c>
      <c r="F152" s="22">
        <v>0</v>
      </c>
      <c r="G152" s="22">
        <v>0.75</v>
      </c>
      <c r="H152" s="611">
        <v>1</v>
      </c>
      <c r="I152" s="22">
        <v>0.3472556319205804</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0.22</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0.03</v>
      </c>
      <c r="O155" s="22">
        <v>1</v>
      </c>
      <c r="P155" s="34"/>
      <c r="Q155" s="34"/>
      <c r="R155" s="25"/>
      <c r="S155" s="25"/>
      <c r="W155" s="285"/>
      <c r="X155" s="285"/>
      <c r="Y155" s="25"/>
      <c r="Z155" s="25"/>
      <c r="AA155" s="25"/>
    </row>
    <row r="156" spans="3:27">
      <c r="C156" s="17" t="str">
        <f>C150</f>
        <v>01 Iron and steel</v>
      </c>
      <c r="D156" s="17"/>
      <c r="E156" s="23">
        <f>SUM(E150:E155)</f>
        <v>1</v>
      </c>
      <c r="F156" s="23">
        <f t="shared" ref="F156:O156" si="135">SUM(F150:F155)</f>
        <v>1</v>
      </c>
      <c r="G156" s="23">
        <f t="shared" si="135"/>
        <v>1</v>
      </c>
      <c r="H156" s="23">
        <f t="shared" si="135"/>
        <v>1</v>
      </c>
      <c r="I156" s="23">
        <f t="shared" si="135"/>
        <v>0.5972556319205804</v>
      </c>
      <c r="J156" s="23">
        <f t="shared" si="135"/>
        <v>1</v>
      </c>
      <c r="K156" s="23">
        <f t="shared" si="135"/>
        <v>1</v>
      </c>
      <c r="L156" s="23">
        <f t="shared" si="135"/>
        <v>1</v>
      </c>
      <c r="M156" s="23">
        <f t="shared" si="135"/>
        <v>1</v>
      </c>
      <c r="N156" s="23">
        <f t="shared" si="135"/>
        <v>1</v>
      </c>
      <c r="O156" s="23">
        <f t="shared" si="135"/>
        <v>1</v>
      </c>
      <c r="P156" s="34"/>
      <c r="Q156" s="34"/>
      <c r="R156" s="25"/>
      <c r="S156" s="25"/>
      <c r="W156" s="285"/>
      <c r="X156" s="285"/>
      <c r="Y156" s="25"/>
      <c r="Z156" s="25"/>
      <c r="AA156" s="25"/>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3"/>
  <sheetViews>
    <sheetView showGridLines="0" topLeftCell="C29" zoomScale="70" zoomScaleNormal="70" workbookViewId="0">
      <selection activeCell="K61" sqref="K6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7" width="9.1640625" style="25"/>
    <col min="28" max="28" width="9.1640625" style="285"/>
    <col min="29" max="31" width="9.1640625" style="25"/>
    <col min="32" max="33" width="10.5" style="25" customWidth="1"/>
    <col min="34" max="40" width="9.1640625" style="25"/>
    <col min="41" max="41" width="10.33203125" style="25" customWidth="1"/>
    <col min="42" max="43" width="9.1640625" style="25"/>
    <col min="44" max="44" width="8.5" style="25" customWidth="1"/>
    <col min="45" max="68" width="9.1640625" style="25"/>
    <col min="69" max="69" width="9.1640625" style="25" customWidth="1"/>
    <col min="70" max="16384" width="9.1640625" style="25"/>
  </cols>
  <sheetData>
    <row r="1" spans="3:29" ht="12.75" customHeight="1">
      <c r="Y1" s="285"/>
      <c r="AB1" s="25"/>
    </row>
    <row r="2" spans="3:29" ht="12.75" customHeight="1">
      <c r="C2" s="62" t="s">
        <v>196</v>
      </c>
      <c r="D2" s="131">
        <v>2</v>
      </c>
      <c r="E2" s="70" t="s">
        <v>199</v>
      </c>
      <c r="F2" s="70"/>
      <c r="G2" s="70"/>
      <c r="H2" s="70"/>
      <c r="Y2" s="285"/>
      <c r="AB2" s="25"/>
    </row>
    <row r="3" spans="3:29" ht="12.75" customHeight="1">
      <c r="E3" s="25"/>
    </row>
    <row r="4" spans="3:29" ht="12.75" customHeight="1" thickBot="1">
      <c r="C4" s="62" t="s">
        <v>198</v>
      </c>
      <c r="D4" s="64" t="s">
        <v>135</v>
      </c>
      <c r="E4" s="25"/>
    </row>
    <row r="5" spans="3:29" ht="12.75" customHeight="1">
      <c r="C5" s="62" t="s">
        <v>201</v>
      </c>
      <c r="D5" s="70" t="str">
        <f>+INDEX(Commodities!$X$6:$X$17,D2)</f>
        <v>Chemical industry</v>
      </c>
      <c r="E5" s="25"/>
      <c r="F5" s="197"/>
      <c r="G5" s="198"/>
    </row>
    <row r="6" spans="3:29" ht="12.75" customHeight="1">
      <c r="C6" s="62"/>
      <c r="D6" s="70" t="str">
        <f>+INDEX(Commodities!$Y$6:$Y$17,D2)</f>
        <v>02 Chemical and petrochemical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02 Chemical and petrochemical</v>
      </c>
      <c r="E9" s="25"/>
    </row>
    <row r="10" spans="3:29" ht="12.75" customHeight="1">
      <c r="C10" s="62" t="s">
        <v>154</v>
      </c>
      <c r="D10" s="70">
        <f>+ROW(Processes!$M$44) - ROW(Processes!$M$7)</f>
        <v>37</v>
      </c>
      <c r="E10" s="25"/>
    </row>
    <row r="11" spans="3:29" ht="12.75" customHeight="1">
      <c r="C11" s="62" t="s">
        <v>194</v>
      </c>
      <c r="D11" s="70">
        <f>+$D$10*$D$2-$D$10</f>
        <v>37</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Chemical and petrochemical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B16" s="25"/>
      <c r="AC16" s="285"/>
    </row>
    <row r="17" spans="3:77" ht="12.75" customHeight="1">
      <c r="C17" s="287"/>
      <c r="D17" s="429"/>
      <c r="E17" s="287"/>
      <c r="L17" s="288"/>
      <c r="M17" s="36"/>
      <c r="N17" s="36"/>
      <c r="O17" s="288"/>
      <c r="R17" s="285"/>
      <c r="S17" s="25"/>
      <c r="U17" s="285"/>
      <c r="X17" s="34"/>
      <c r="Y17" s="287"/>
      <c r="Z17" s="34"/>
      <c r="AB17" s="2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A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5"/>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v>1.05</v>
      </c>
      <c r="H21" s="387">
        <v>1.02</v>
      </c>
      <c r="I21" s="387">
        <v>1.02</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7"/>
      <c r="AH22" s="287"/>
      <c r="AI22" s="287"/>
      <c r="AJ22" s="287"/>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7"/>
      <c r="AH23" s="287"/>
      <c r="AI23" s="287"/>
      <c r="AJ23" s="287"/>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INDCDPHBNGAE1</v>
      </c>
      <c r="D26" s="146" t="str">
        <f ca="1">+OFFSET(Processes!E7,$D$11,0)</f>
        <v>Chemical industry Heat Medium Temp. Boiler - Nat. Gas Existing 1</v>
      </c>
      <c r="E26" s="149" t="str">
        <f>+Processes!O7</f>
        <v>INDSNG1,INDSNG2,INDNGA</v>
      </c>
      <c r="F26" s="149" t="str">
        <f ca="1">+OFFSET(Processes!$M$12,$D$11,0) &amp; Processes!P7</f>
        <v>ICDPH</v>
      </c>
      <c r="G26" s="322">
        <f t="shared" ref="G26:I29" si="0">ROUNDUP(AN26/($Z26*$AA26)*G$21*W26,3)</f>
        <v>13163.566000000001</v>
      </c>
      <c r="H26" s="322">
        <f t="shared" si="0"/>
        <v>0</v>
      </c>
      <c r="I26" s="322">
        <f t="shared" si="0"/>
        <v>0</v>
      </c>
      <c r="J26" s="322">
        <f t="shared" ref="J26:L29" si="1">ROUNDUP(BA26/($Z26*$AA26)*J$21*W26,3)</f>
        <v>11569.271000000001</v>
      </c>
      <c r="K26" s="322">
        <f t="shared" si="1"/>
        <v>0</v>
      </c>
      <c r="L26" s="322">
        <f t="shared" si="1"/>
        <v>0</v>
      </c>
      <c r="M26" s="322">
        <f t="shared" ref="M26:O29" si="2">ROUNDUP(BN26/($Z26*$AA26)*M$21*W26,3)</f>
        <v>95.591000000000008</v>
      </c>
      <c r="N26" s="322">
        <f t="shared" si="2"/>
        <v>0</v>
      </c>
      <c r="O26" s="322">
        <f t="shared" si="2"/>
        <v>0</v>
      </c>
      <c r="P26" s="322">
        <f t="shared" ref="P26:P62" si="3">M26</f>
        <v>95.591000000000008</v>
      </c>
      <c r="Q26" s="322">
        <f t="shared" ref="Q26:Q62" si="4">N26</f>
        <v>0</v>
      </c>
      <c r="R26" s="322">
        <f t="shared" ref="R26:R62" si="5">O26</f>
        <v>0</v>
      </c>
      <c r="S26" s="322">
        <f t="shared" ref="S26:S55" si="6">IF($AB26=20,0,M26/5)*IF(M26=0,0,1)</f>
        <v>0</v>
      </c>
      <c r="T26" s="322">
        <f t="shared" ref="T26:T55" si="7">IF($AB26=20,0,N26/5)*IF(N26=0,0,1)</f>
        <v>0</v>
      </c>
      <c r="U26" s="322">
        <f t="shared" ref="U26:U55" si="8">IF($AB26=20,0,O26/5)*IF(O26=0,0,1)</f>
        <v>0</v>
      </c>
      <c r="V26" s="322">
        <v>5</v>
      </c>
      <c r="W26" s="342">
        <f>I131</f>
        <v>0.98</v>
      </c>
      <c r="X26" s="557">
        <f t="shared" ref="X26:Y28" si="9">W26</f>
        <v>0.98</v>
      </c>
      <c r="Y26" s="557">
        <f t="shared" si="9"/>
        <v>0.98</v>
      </c>
      <c r="Z26" s="319">
        <f>3.6*8760/1000000</f>
        <v>3.1536000000000002E-2</v>
      </c>
      <c r="AA26" s="390">
        <v>0.5</v>
      </c>
      <c r="AB26" s="329">
        <v>20</v>
      </c>
      <c r="AC26" s="319"/>
      <c r="AD26" s="319"/>
      <c r="AE26" s="329"/>
      <c r="AG26" s="236">
        <f t="shared" ref="AG26:AG41" si="10">((G26*Z26*AA26/W26)+(H26*Z26*AA26/X26))/$G$21</f>
        <v>201.71341952186592</v>
      </c>
      <c r="AH26" s="236">
        <f t="shared" ref="AH26:AH41" si="11">((J26*Z26*AA26/W26)+(K26*Z26*AA26/X26))/$J$21</f>
        <v>184.30416763790669</v>
      </c>
      <c r="AI26" s="236">
        <f t="shared" ref="AI26:AI41" si="12">((M26*AA26*Z26/W26)+(N26*Z26*AA26/X26))/$M$21</f>
        <v>1.522811565972924</v>
      </c>
      <c r="AJ26" s="385"/>
      <c r="AK26" s="530" t="str">
        <f ca="1">F26</f>
        <v>ICDPH</v>
      </c>
      <c r="AL26" s="350" t="s">
        <v>97</v>
      </c>
      <c r="AM26" s="313">
        <f>I77/1000</f>
        <v>201.7134063</v>
      </c>
      <c r="AN26" s="310">
        <f>AM26*$AN$23</f>
        <v>201.7134063</v>
      </c>
      <c r="AO26" s="311">
        <f>AM26*$AO$23</f>
        <v>0</v>
      </c>
      <c r="AP26" s="311">
        <f>AM26*$AP$23</f>
        <v>0</v>
      </c>
      <c r="AQ26" s="312">
        <f t="shared" ref="AQ26:AQ62" si="13">IFERROR(G26*$Z26*$AA26/G$21,0)</f>
        <v>197.6791511314286</v>
      </c>
      <c r="AR26" s="311">
        <f t="shared" ref="AR26:AR62" si="14">IFERROR(H26*$Z26*$AA26/H$21,0)</f>
        <v>0</v>
      </c>
      <c r="AS26" s="338">
        <f t="shared" ref="AS26:AS62" si="15">IFERROR(I26*$Z26*$AA26/I$21,0)</f>
        <v>0</v>
      </c>
      <c r="AT26" s="313">
        <f t="shared" ref="AT26:AV29" si="16">IFERROR(AQ26/W26,0)</f>
        <v>201.71341952186592</v>
      </c>
      <c r="AU26" s="310">
        <f t="shared" si="16"/>
        <v>0</v>
      </c>
      <c r="AV26" s="357">
        <f t="shared" si="16"/>
        <v>0</v>
      </c>
      <c r="AW26" s="285"/>
      <c r="AX26" s="530" t="str">
        <f t="shared" ref="AX26:AX62" ca="1" si="17">AK26</f>
        <v>ICDPH</v>
      </c>
      <c r="AY26" s="350" t="s">
        <v>97</v>
      </c>
      <c r="AZ26" s="313">
        <f>I97/1000</f>
        <v>184.30416</v>
      </c>
      <c r="BA26" s="310">
        <f>AZ26*$AN$23</f>
        <v>184.30416</v>
      </c>
      <c r="BB26" s="311">
        <f>AZ26*$BB$23</f>
        <v>0</v>
      </c>
      <c r="BC26" s="311">
        <f>AZ26*$BC$23</f>
        <v>0</v>
      </c>
      <c r="BD26" s="313">
        <f t="shared" ref="BD26:BD62" si="18">IFERROR(J26*$Z26*AA26/J$21,0)</f>
        <v>180.61808428514854</v>
      </c>
      <c r="BE26" s="310">
        <f t="shared" ref="BE26:BE62" si="19">IFERROR(K26*$Z26*AA26/K$21,0)</f>
        <v>0</v>
      </c>
      <c r="BF26" s="357">
        <f t="shared" ref="BF26:BF62" si="20">IFERROR(L26*$Z26*AA26/L$21,0)</f>
        <v>0</v>
      </c>
      <c r="BG26" s="313">
        <f t="shared" ref="BG26:BG35" si="21">IFERROR(BD26/W26,0)</f>
        <v>184.30416763790669</v>
      </c>
      <c r="BH26" s="310">
        <f t="shared" ref="BH26:BH35" si="22">IFERROR(BE26/X26,0)</f>
        <v>0</v>
      </c>
      <c r="BI26" s="357">
        <f t="shared" ref="BI26:BI35" si="23">IFERROR(BF26/Y26,0)</f>
        <v>0</v>
      </c>
      <c r="BJ26" s="285"/>
      <c r="BK26" s="530" t="str">
        <f ca="1">AK26</f>
        <v>ICDPH</v>
      </c>
      <c r="BL26" s="350" t="s">
        <v>97</v>
      </c>
      <c r="BM26" s="313">
        <f>I117/1000</f>
        <v>1.5227999999999999</v>
      </c>
      <c r="BN26" s="310">
        <f>BM26*$AN$23</f>
        <v>1.5227999999999999</v>
      </c>
      <c r="BO26" s="311">
        <f>BM26*$BB$23</f>
        <v>0</v>
      </c>
      <c r="BP26" s="311">
        <f>BM26*$BC$23</f>
        <v>0</v>
      </c>
      <c r="BQ26" s="313">
        <f t="shared" ref="BQ26:BQ62" si="24">IFERROR(M26*$Z26*$AA26/M$21,0)</f>
        <v>1.4923553346534655</v>
      </c>
      <c r="BR26" s="310">
        <f t="shared" ref="BR26:BR62" si="25">IFERROR(N26*$Z26*$AA26/N$21,0)</f>
        <v>0</v>
      </c>
      <c r="BS26" s="357">
        <f t="shared" ref="BS26:BS62" si="26">IFERROR(O26*$Z26*$AA26/O$21,0)</f>
        <v>0</v>
      </c>
      <c r="BT26" s="313">
        <f>IFERROR(BQ26/W26,0)</f>
        <v>1.522811565972924</v>
      </c>
      <c r="BU26" s="310">
        <f>IFERROR(BR26/X26,0)</f>
        <v>0</v>
      </c>
      <c r="BV26" s="357">
        <f>IFERROR(BS26/Y26,0)</f>
        <v>0</v>
      </c>
      <c r="BW26" s="285"/>
      <c r="BX26" s="285"/>
      <c r="BY26" s="285"/>
    </row>
    <row r="27" spans="3:77" ht="12.75" customHeight="1">
      <c r="C27" s="146" t="str">
        <f ca="1">+IF(OFFSET(Processes!B8,$D$11,0)="*","*",OFFSET(Processes!D8,$D$11,0))</f>
        <v>INDCDPHBCOAE1</v>
      </c>
      <c r="D27" s="146" t="str">
        <f ca="1">+OFFSET(Processes!E8,$D$11,0)</f>
        <v>Chemical industry Heat Medium Temp. Boiler - Coal Existing 1</v>
      </c>
      <c r="E27" s="149" t="str">
        <f>+Processes!O8</f>
        <v>INDCOA</v>
      </c>
      <c r="F27" s="149" t="str">
        <f ca="1">+OFFSET(Processes!$M$12,$D$11,0) &amp; Processes!P8</f>
        <v>ICDPH</v>
      </c>
      <c r="G27" s="322">
        <f t="shared" si="0"/>
        <v>1337.8899999999999</v>
      </c>
      <c r="H27" s="322">
        <f t="shared" si="0"/>
        <v>0</v>
      </c>
      <c r="I27" s="322">
        <f t="shared" si="0"/>
        <v>0</v>
      </c>
      <c r="J27" s="322">
        <f t="shared" si="1"/>
        <v>2445.0530000000003</v>
      </c>
      <c r="K27" s="322">
        <f t="shared" si="1"/>
        <v>0</v>
      </c>
      <c r="L27" s="322">
        <f t="shared" si="1"/>
        <v>0</v>
      </c>
      <c r="M27" s="322">
        <f t="shared" si="2"/>
        <v>873.81499999999994</v>
      </c>
      <c r="N27" s="322">
        <f t="shared" si="2"/>
        <v>0</v>
      </c>
      <c r="O27" s="322">
        <f t="shared" si="2"/>
        <v>0</v>
      </c>
      <c r="P27" s="322">
        <f t="shared" si="3"/>
        <v>873.81499999999994</v>
      </c>
      <c r="Q27" s="322">
        <f t="shared" si="4"/>
        <v>0</v>
      </c>
      <c r="R27" s="322">
        <f t="shared" si="5"/>
        <v>0</v>
      </c>
      <c r="S27" s="322">
        <f t="shared" si="6"/>
        <v>0</v>
      </c>
      <c r="T27" s="322">
        <f t="shared" si="7"/>
        <v>0</v>
      </c>
      <c r="U27" s="322">
        <f t="shared" si="8"/>
        <v>0</v>
      </c>
      <c r="V27" s="322">
        <v>5</v>
      </c>
      <c r="W27" s="343">
        <f>D131</f>
        <v>0.93099999999999994</v>
      </c>
      <c r="X27" s="522">
        <f t="shared" si="9"/>
        <v>0.93099999999999994</v>
      </c>
      <c r="Y27" s="522">
        <f t="shared" si="9"/>
        <v>0.93099999999999994</v>
      </c>
      <c r="Z27" s="319">
        <f>3.6*8760/1000000</f>
        <v>3.1536000000000002E-2</v>
      </c>
      <c r="AA27" s="390">
        <f>$AA$26</f>
        <v>0.5</v>
      </c>
      <c r="AB27" s="329">
        <v>20</v>
      </c>
      <c r="AC27" s="319"/>
      <c r="AD27" s="319"/>
      <c r="AE27" s="329"/>
      <c r="AG27" s="236">
        <f t="shared" si="10"/>
        <v>21.580327880926806</v>
      </c>
      <c r="AH27" s="236">
        <f t="shared" si="11"/>
        <v>41.000941927662168</v>
      </c>
      <c r="AI27" s="236">
        <f t="shared" si="12"/>
        <v>14.652949474109603</v>
      </c>
      <c r="AJ27" s="285"/>
      <c r="AK27" s="290"/>
      <c r="AL27" s="291" t="s">
        <v>98</v>
      </c>
      <c r="AM27" s="307">
        <f>D77/1000</f>
        <v>21.58032</v>
      </c>
      <c r="AN27" s="308">
        <f>AM27*$AN$23</f>
        <v>21.58032</v>
      </c>
      <c r="AO27" s="309">
        <f>AM27*$AO$23</f>
        <v>0</v>
      </c>
      <c r="AP27" s="309">
        <f>AM27*$AP$23</f>
        <v>0</v>
      </c>
      <c r="AQ27" s="306">
        <f t="shared" si="13"/>
        <v>20.091285257142854</v>
      </c>
      <c r="AR27" s="309">
        <f t="shared" si="14"/>
        <v>0</v>
      </c>
      <c r="AS27" s="540">
        <f t="shared" si="15"/>
        <v>0</v>
      </c>
      <c r="AT27" s="307">
        <f t="shared" si="16"/>
        <v>21.580327880926806</v>
      </c>
      <c r="AU27" s="308">
        <f t="shared" si="16"/>
        <v>0</v>
      </c>
      <c r="AV27" s="353">
        <f t="shared" si="16"/>
        <v>0</v>
      </c>
      <c r="AW27" s="285"/>
      <c r="AX27" s="290"/>
      <c r="AY27" s="291" t="s">
        <v>98</v>
      </c>
      <c r="AZ27" s="307">
        <f>D97/1000</f>
        <v>41.000930999999994</v>
      </c>
      <c r="BA27" s="308">
        <f>AZ27*$AN$23</f>
        <v>41.000930999999994</v>
      </c>
      <c r="BB27" s="309">
        <f>AZ27*$BB$23</f>
        <v>0</v>
      </c>
      <c r="BC27" s="309">
        <f>AZ27*$BC$23</f>
        <v>0</v>
      </c>
      <c r="BD27" s="307">
        <f t="shared" si="18"/>
        <v>38.171876934653476</v>
      </c>
      <c r="BE27" s="308">
        <f t="shared" si="19"/>
        <v>0</v>
      </c>
      <c r="BF27" s="353">
        <f t="shared" si="20"/>
        <v>0</v>
      </c>
      <c r="BG27" s="307">
        <f t="shared" si="21"/>
        <v>41.000941927662168</v>
      </c>
      <c r="BH27" s="308">
        <f t="shared" si="22"/>
        <v>0</v>
      </c>
      <c r="BI27" s="353">
        <f t="shared" si="23"/>
        <v>0</v>
      </c>
      <c r="BJ27" s="285"/>
      <c r="BK27" s="290"/>
      <c r="BL27" s="291" t="s">
        <v>98</v>
      </c>
      <c r="BM27" s="307">
        <f>D117/1000</f>
        <v>14.652936</v>
      </c>
      <c r="BN27" s="308">
        <f>BM27*$AN$23</f>
        <v>14.652936</v>
      </c>
      <c r="BO27" s="309">
        <f>BM27*$BB$23</f>
        <v>0</v>
      </c>
      <c r="BP27" s="309">
        <f>BM27*$BC$23</f>
        <v>0</v>
      </c>
      <c r="BQ27" s="307">
        <f t="shared" si="24"/>
        <v>13.64189596039604</v>
      </c>
      <c r="BR27" s="308">
        <f t="shared" si="25"/>
        <v>0</v>
      </c>
      <c r="BS27" s="353">
        <f t="shared" si="26"/>
        <v>0</v>
      </c>
      <c r="BT27" s="307">
        <f t="shared" ref="BT27:BT35" si="27">IFERROR(BQ27/W27,0)</f>
        <v>14.652949474109603</v>
      </c>
      <c r="BU27" s="308">
        <f t="shared" ref="BU27:BU35" si="28">IFERROR(BR27/X27,0)</f>
        <v>0</v>
      </c>
      <c r="BV27" s="353">
        <f t="shared" ref="BV27:BV35" si="29">IFERROR(BS27/Y27,0)</f>
        <v>0</v>
      </c>
      <c r="BW27" s="285"/>
      <c r="BX27" s="285"/>
      <c r="BY27" s="285"/>
    </row>
    <row r="28" spans="3:77" ht="12.75" customHeight="1">
      <c r="C28" s="146" t="str">
        <f ca="1">+IF(OFFSET(Processes!B9,$D$11,0)="*","*",OFFSET(Processes!D9,$D$11,0))</f>
        <v>INDCDPHBDSLE1</v>
      </c>
      <c r="D28" s="146" t="str">
        <f ca="1">+OFFSET(Processes!E9,$D$11,0)</f>
        <v>Chemical industry Heat Medium Temp. Boiler - Diesel Existing 1</v>
      </c>
      <c r="E28" s="149" t="str">
        <f>+Processes!O9</f>
        <v>INDDSB1,INDDSB2,INDDSL</v>
      </c>
      <c r="F28" s="149" t="str">
        <f ca="1">+OFFSET(Processes!$M$12,$D$11,0) &amp; Processes!P9</f>
        <v>ICDPH</v>
      </c>
      <c r="G28" s="322">
        <f t="shared" si="0"/>
        <v>0</v>
      </c>
      <c r="H28" s="322">
        <f t="shared" si="0"/>
        <v>0</v>
      </c>
      <c r="I28" s="322">
        <f t="shared" si="0"/>
        <v>0</v>
      </c>
      <c r="J28" s="322">
        <f t="shared" si="1"/>
        <v>0</v>
      </c>
      <c r="K28" s="322">
        <f t="shared" si="1"/>
        <v>0</v>
      </c>
      <c r="L28" s="322">
        <f t="shared" si="1"/>
        <v>0</v>
      </c>
      <c r="M28" s="322">
        <f t="shared" si="2"/>
        <v>0</v>
      </c>
      <c r="N28" s="322">
        <f t="shared" si="2"/>
        <v>0</v>
      </c>
      <c r="O28" s="322">
        <f t="shared" si="2"/>
        <v>0</v>
      </c>
      <c r="P28" s="322">
        <f t="shared" si="3"/>
        <v>0</v>
      </c>
      <c r="Q28" s="322">
        <f t="shared" si="4"/>
        <v>0</v>
      </c>
      <c r="R28" s="322">
        <f t="shared" si="5"/>
        <v>0</v>
      </c>
      <c r="S28" s="322">
        <f t="shared" si="6"/>
        <v>0</v>
      </c>
      <c r="T28" s="322">
        <f t="shared" si="7"/>
        <v>0</v>
      </c>
      <c r="U28" s="322">
        <f t="shared" si="8"/>
        <v>0</v>
      </c>
      <c r="V28" s="322">
        <v>5</v>
      </c>
      <c r="W28" s="343">
        <f>F131</f>
        <v>0.94079999999999997</v>
      </c>
      <c r="X28" s="522">
        <f t="shared" si="9"/>
        <v>0.94079999999999997</v>
      </c>
      <c r="Y28" s="522">
        <f t="shared" si="9"/>
        <v>0.94079999999999997</v>
      </c>
      <c r="Z28" s="319">
        <f>3.6*8760/1000000</f>
        <v>3.1536000000000002E-2</v>
      </c>
      <c r="AA28" s="390">
        <f>$AA$26</f>
        <v>0.5</v>
      </c>
      <c r="AB28" s="329">
        <v>20</v>
      </c>
      <c r="AC28" s="319"/>
      <c r="AD28" s="319"/>
      <c r="AE28" s="329"/>
      <c r="AG28" s="236">
        <f t="shared" si="10"/>
        <v>0</v>
      </c>
      <c r="AH28" s="236">
        <f t="shared" si="11"/>
        <v>0</v>
      </c>
      <c r="AI28" s="236">
        <f t="shared" si="12"/>
        <v>0</v>
      </c>
      <c r="AJ28" s="285"/>
      <c r="AK28" s="290"/>
      <c r="AL28" s="291" t="s">
        <v>59</v>
      </c>
      <c r="AM28" s="307">
        <f>F77/1000</f>
        <v>0</v>
      </c>
      <c r="AN28" s="308">
        <f>AM28*$AN$23</f>
        <v>0</v>
      </c>
      <c r="AO28" s="309">
        <f>AM28*$AO$23</f>
        <v>0</v>
      </c>
      <c r="AP28" s="309">
        <f>AM28*$AP$23</f>
        <v>0</v>
      </c>
      <c r="AQ28" s="306">
        <f t="shared" si="13"/>
        <v>0</v>
      </c>
      <c r="AR28" s="309">
        <f t="shared" si="14"/>
        <v>0</v>
      </c>
      <c r="AS28" s="540">
        <f t="shared" si="15"/>
        <v>0</v>
      </c>
      <c r="AT28" s="307">
        <f t="shared" si="16"/>
        <v>0</v>
      </c>
      <c r="AU28" s="308">
        <f t="shared" si="16"/>
        <v>0</v>
      </c>
      <c r="AV28" s="353">
        <f t="shared" si="16"/>
        <v>0</v>
      </c>
      <c r="AW28" s="285"/>
      <c r="AX28" s="290"/>
      <c r="AY28" s="291" t="s">
        <v>59</v>
      </c>
      <c r="AZ28" s="307">
        <f>F97/1000</f>
        <v>0</v>
      </c>
      <c r="BA28" s="308">
        <f>AZ28*$AN$23</f>
        <v>0</v>
      </c>
      <c r="BB28" s="309">
        <f>AZ28*$BB$23</f>
        <v>0</v>
      </c>
      <c r="BC28" s="309">
        <f>AZ28*$BC$23</f>
        <v>0</v>
      </c>
      <c r="BD28" s="307">
        <f t="shared" si="18"/>
        <v>0</v>
      </c>
      <c r="BE28" s="308">
        <f t="shared" si="19"/>
        <v>0</v>
      </c>
      <c r="BF28" s="353">
        <f t="shared" si="20"/>
        <v>0</v>
      </c>
      <c r="BG28" s="307">
        <f t="shared" si="21"/>
        <v>0</v>
      </c>
      <c r="BH28" s="308">
        <f t="shared" si="22"/>
        <v>0</v>
      </c>
      <c r="BI28" s="353">
        <f t="shared" si="23"/>
        <v>0</v>
      </c>
      <c r="BJ28" s="285"/>
      <c r="BK28" s="290"/>
      <c r="BL28" s="291" t="s">
        <v>59</v>
      </c>
      <c r="BM28" s="307">
        <f>F117/1000</f>
        <v>0</v>
      </c>
      <c r="BN28" s="308">
        <f>BM28*$AN$23</f>
        <v>0</v>
      </c>
      <c r="BO28" s="309">
        <f>BM28*$BB$23</f>
        <v>0</v>
      </c>
      <c r="BP28" s="309">
        <f>BM28*$BC$23</f>
        <v>0</v>
      </c>
      <c r="BQ28" s="307">
        <f t="shared" si="24"/>
        <v>0</v>
      </c>
      <c r="BR28" s="308">
        <f t="shared" si="25"/>
        <v>0</v>
      </c>
      <c r="BS28" s="353">
        <f t="shared" si="26"/>
        <v>0</v>
      </c>
      <c r="BT28" s="307">
        <f t="shared" si="27"/>
        <v>0</v>
      </c>
      <c r="BU28" s="308">
        <f t="shared" si="28"/>
        <v>0</v>
      </c>
      <c r="BV28" s="353">
        <f t="shared" si="29"/>
        <v>0</v>
      </c>
      <c r="BW28" s="285"/>
      <c r="BX28" s="285"/>
      <c r="BY28" s="285"/>
    </row>
    <row r="29" spans="3:77" ht="12.75" customHeight="1">
      <c r="C29" s="146" t="str">
        <f ca="1">+IF(OFFSET(Processes!B10,$D$11,0)="*","*",OFFSET(Processes!D10,$D$11,0))</f>
        <v>INDCDPHBWPEE1</v>
      </c>
      <c r="D29" s="146" t="str">
        <f ca="1">+OFFSET(Processes!E10,$D$11,0)</f>
        <v>Chemical industry Heat Medium Temp. Boiler - Wood Pellets Existing 1</v>
      </c>
      <c r="E29" s="149" t="str">
        <f>+Processes!O10</f>
        <v>INDWPE</v>
      </c>
      <c r="F29" s="149" t="str">
        <f ca="1">+OFFSET(Processes!$M$12,$D$11,0) &amp; Processes!P10</f>
        <v>ICDPH</v>
      </c>
      <c r="G29" s="321">
        <f t="shared" si="0"/>
        <v>94.355000000000004</v>
      </c>
      <c r="H29" s="321">
        <f t="shared" si="0"/>
        <v>0</v>
      </c>
      <c r="I29" s="321">
        <f t="shared" si="0"/>
        <v>0</v>
      </c>
      <c r="J29" s="321">
        <f t="shared" si="1"/>
        <v>75.180000000000007</v>
      </c>
      <c r="K29" s="321">
        <f t="shared" si="1"/>
        <v>0</v>
      </c>
      <c r="L29" s="321">
        <f t="shared" si="1"/>
        <v>0</v>
      </c>
      <c r="M29" s="321">
        <f t="shared" si="2"/>
        <v>36.39</v>
      </c>
      <c r="N29" s="321">
        <f t="shared" si="2"/>
        <v>0</v>
      </c>
      <c r="O29" s="321">
        <f t="shared" si="2"/>
        <v>0</v>
      </c>
      <c r="P29" s="321">
        <f t="shared" si="3"/>
        <v>36.39</v>
      </c>
      <c r="Q29" s="321">
        <f t="shared" si="4"/>
        <v>0</v>
      </c>
      <c r="R29" s="321">
        <f t="shared" si="5"/>
        <v>0</v>
      </c>
      <c r="S29" s="321">
        <f t="shared" si="6"/>
        <v>0</v>
      </c>
      <c r="T29" s="321">
        <f t="shared" si="7"/>
        <v>0</v>
      </c>
      <c r="U29" s="321">
        <f t="shared" si="8"/>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10"/>
        <v>1.701011421711542</v>
      </c>
      <c r="AH29" s="236">
        <f t="shared" si="11"/>
        <v>1.4090050752974459</v>
      </c>
      <c r="AI29" s="236">
        <f t="shared" si="12"/>
        <v>0.68201243269585066</v>
      </c>
      <c r="AJ29" s="285"/>
      <c r="AK29" s="290"/>
      <c r="AL29" s="559" t="s">
        <v>99</v>
      </c>
      <c r="AM29" s="560">
        <f>K77/1000</f>
        <v>1.7010000000000001</v>
      </c>
      <c r="AN29" s="561">
        <f>AM29*$AN$23</f>
        <v>1.7010000000000001</v>
      </c>
      <c r="AO29" s="562">
        <f>AM29*$AO$23</f>
        <v>0</v>
      </c>
      <c r="AP29" s="562">
        <f>AM29*$AP$23</f>
        <v>0</v>
      </c>
      <c r="AQ29" s="582">
        <f t="shared" si="13"/>
        <v>1.4169425142857144</v>
      </c>
      <c r="AR29" s="562">
        <f t="shared" si="14"/>
        <v>0</v>
      </c>
      <c r="AS29" s="563">
        <f t="shared" si="15"/>
        <v>0</v>
      </c>
      <c r="AT29" s="560">
        <f t="shared" si="16"/>
        <v>1.701011421711542</v>
      </c>
      <c r="AU29" s="561">
        <f t="shared" si="16"/>
        <v>0</v>
      </c>
      <c r="AV29" s="566">
        <f t="shared" si="16"/>
        <v>0</v>
      </c>
      <c r="AW29" s="285"/>
      <c r="AX29" s="290"/>
      <c r="AY29" s="559" t="s">
        <v>99</v>
      </c>
      <c r="AZ29" s="560">
        <f>K97/1000</f>
        <v>1.409</v>
      </c>
      <c r="BA29" s="561">
        <f>AZ29*$AN$23</f>
        <v>1.409</v>
      </c>
      <c r="BB29" s="562">
        <f>AZ29*$BB$23</f>
        <v>0</v>
      </c>
      <c r="BC29" s="562">
        <f>AZ29*$BC$23</f>
        <v>0</v>
      </c>
      <c r="BD29" s="560">
        <f t="shared" si="18"/>
        <v>1.1737012277227723</v>
      </c>
      <c r="BE29" s="561">
        <f t="shared" si="19"/>
        <v>0</v>
      </c>
      <c r="BF29" s="566">
        <f t="shared" si="20"/>
        <v>0</v>
      </c>
      <c r="BG29" s="560">
        <f t="shared" si="21"/>
        <v>1.4090050752974459</v>
      </c>
      <c r="BH29" s="561">
        <f t="shared" si="22"/>
        <v>0</v>
      </c>
      <c r="BI29" s="566">
        <f t="shared" si="23"/>
        <v>0</v>
      </c>
      <c r="BJ29" s="285"/>
      <c r="BK29" s="290"/>
      <c r="BL29" s="559" t="s">
        <v>99</v>
      </c>
      <c r="BM29" s="560">
        <f>K117/1000</f>
        <v>0.68200000000000005</v>
      </c>
      <c r="BN29" s="561">
        <f>BM29*$AN$23</f>
        <v>0.68200000000000005</v>
      </c>
      <c r="BO29" s="562">
        <f>BM29*$BB$23</f>
        <v>0</v>
      </c>
      <c r="BP29" s="562">
        <f>BM29*$BC$23</f>
        <v>0</v>
      </c>
      <c r="BQ29" s="560">
        <f t="shared" si="24"/>
        <v>0.56811635643564362</v>
      </c>
      <c r="BR29" s="561">
        <f t="shared" si="25"/>
        <v>0</v>
      </c>
      <c r="BS29" s="566">
        <f t="shared" si="26"/>
        <v>0</v>
      </c>
      <c r="BT29" s="560">
        <f t="shared" si="27"/>
        <v>0.68201243269585077</v>
      </c>
      <c r="BU29" s="561">
        <f t="shared" si="28"/>
        <v>0</v>
      </c>
      <c r="BV29" s="566">
        <f t="shared" si="29"/>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3"/>
        <v>0</v>
      </c>
      <c r="Q30" s="321">
        <f t="shared" si="4"/>
        <v>0</v>
      </c>
      <c r="R30" s="321">
        <f t="shared" si="5"/>
        <v>0</v>
      </c>
      <c r="S30" s="321">
        <f t="shared" si="6"/>
        <v>0</v>
      </c>
      <c r="T30" s="321">
        <f t="shared" si="7"/>
        <v>0</v>
      </c>
      <c r="U30" s="321">
        <f t="shared" si="8"/>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10"/>
        <v>0</v>
      </c>
      <c r="AH30" s="236">
        <f t="shared" si="11"/>
        <v>0</v>
      </c>
      <c r="AI30" s="236">
        <f t="shared" si="12"/>
        <v>0</v>
      </c>
      <c r="AJ30" s="285"/>
      <c r="AK30" s="354"/>
      <c r="AL30" s="559" t="s">
        <v>107</v>
      </c>
      <c r="AM30" s="560"/>
      <c r="AN30" s="561"/>
      <c r="AO30" s="562"/>
      <c r="AP30" s="562"/>
      <c r="AQ30" s="582">
        <f t="shared" si="13"/>
        <v>0</v>
      </c>
      <c r="AR30" s="562">
        <f t="shared" si="14"/>
        <v>0</v>
      </c>
      <c r="AS30" s="563">
        <f t="shared" si="15"/>
        <v>0</v>
      </c>
      <c r="AT30" s="560"/>
      <c r="AU30" s="561"/>
      <c r="AV30" s="566"/>
      <c r="AW30" s="285"/>
      <c r="AX30" s="354"/>
      <c r="AY30" s="559" t="s">
        <v>107</v>
      </c>
      <c r="AZ30" s="560"/>
      <c r="BA30" s="561"/>
      <c r="BB30" s="562"/>
      <c r="BC30" s="562"/>
      <c r="BD30" s="560">
        <f t="shared" si="18"/>
        <v>0</v>
      </c>
      <c r="BE30" s="561">
        <f t="shared" si="19"/>
        <v>0</v>
      </c>
      <c r="BF30" s="566">
        <f t="shared" si="20"/>
        <v>0</v>
      </c>
      <c r="BG30" s="560">
        <f t="shared" si="21"/>
        <v>0</v>
      </c>
      <c r="BH30" s="561">
        <f t="shared" si="22"/>
        <v>0</v>
      </c>
      <c r="BI30" s="566">
        <f t="shared" si="23"/>
        <v>0</v>
      </c>
      <c r="BJ30" s="285"/>
      <c r="BK30" s="354"/>
      <c r="BL30" s="559" t="s">
        <v>107</v>
      </c>
      <c r="BM30" s="560"/>
      <c r="BN30" s="561"/>
      <c r="BO30" s="562"/>
      <c r="BP30" s="562"/>
      <c r="BQ30" s="560">
        <f t="shared" si="24"/>
        <v>0</v>
      </c>
      <c r="BR30" s="561">
        <f t="shared" si="25"/>
        <v>0</v>
      </c>
      <c r="BS30" s="566">
        <f t="shared" si="26"/>
        <v>0</v>
      </c>
      <c r="BT30" s="560">
        <f t="shared" si="27"/>
        <v>0</v>
      </c>
      <c r="BU30" s="561">
        <f t="shared" si="28"/>
        <v>0</v>
      </c>
      <c r="BV30" s="566">
        <f t="shared" si="29"/>
        <v>0</v>
      </c>
      <c r="BW30" s="285"/>
      <c r="BX30" s="285"/>
      <c r="BY30" s="285"/>
    </row>
    <row r="31" spans="3:77" ht="12.75" customHeight="1">
      <c r="C31" s="146" t="str">
        <f ca="1">+IF(OFFSET(Processes!B12,$D$11,0)="*","*",OFFSET(Processes!D12,$D$11,0))</f>
        <v>INDCDPHBBGAE1</v>
      </c>
      <c r="D31" s="146" t="str">
        <f ca="1">+OFFSET(Processes!E12,$D$11,0)</f>
        <v>Chemical industry Heat Medium Temp. Boiler - Biogas Existing 1</v>
      </c>
      <c r="E31" s="149" t="str">
        <f>+Processes!O12</f>
        <v>INDBGA</v>
      </c>
      <c r="F31" s="172" t="str">
        <f ca="1">+OFFSET(Processes!$M$12,$D$11,0) &amp; Processes!P12</f>
        <v>ICDPH</v>
      </c>
      <c r="G31" s="322">
        <f t="shared" ref="G31:I35" si="30">ROUNDUP(AN31/($Z31*$AA31)*G$21*W31,3)</f>
        <v>315.78799999999995</v>
      </c>
      <c r="H31" s="322">
        <f t="shared" si="30"/>
        <v>0</v>
      </c>
      <c r="I31" s="322">
        <f t="shared" si="30"/>
        <v>0</v>
      </c>
      <c r="J31" s="322" t="e">
        <f t="shared" ref="J31:L35" si="31">ROUNDUP(BA31/($Z31*$AA31)*J$21*W31,3)</f>
        <v>#REF!</v>
      </c>
      <c r="K31" s="322" t="e">
        <f t="shared" si="31"/>
        <v>#REF!</v>
      </c>
      <c r="L31" s="322" t="e">
        <f t="shared" si="31"/>
        <v>#REF!</v>
      </c>
      <c r="M31" s="322">
        <f t="shared" ref="M31:O35" si="32">ROUNDUP(BN31/($Z31*$AA31)*M$21*W31,3)</f>
        <v>13168.748</v>
      </c>
      <c r="N31" s="322">
        <f t="shared" si="32"/>
        <v>0</v>
      </c>
      <c r="O31" s="322">
        <f t="shared" si="32"/>
        <v>0</v>
      </c>
      <c r="P31" s="322">
        <f t="shared" si="3"/>
        <v>13168.748</v>
      </c>
      <c r="Q31" s="322">
        <f t="shared" si="4"/>
        <v>0</v>
      </c>
      <c r="R31" s="322">
        <f t="shared" si="5"/>
        <v>0</v>
      </c>
      <c r="S31" s="322">
        <f t="shared" si="6"/>
        <v>0</v>
      </c>
      <c r="T31" s="322">
        <f t="shared" si="7"/>
        <v>0</v>
      </c>
      <c r="U31" s="322">
        <f t="shared" si="8"/>
        <v>0</v>
      </c>
      <c r="V31" s="322">
        <v>5</v>
      </c>
      <c r="W31" s="343">
        <f>J131</f>
        <v>0.98</v>
      </c>
      <c r="X31" s="522">
        <f t="shared" ref="X31:Y34" si="33">W31</f>
        <v>0.98</v>
      </c>
      <c r="Y31" s="522">
        <f t="shared" si="33"/>
        <v>0.98</v>
      </c>
      <c r="Z31" s="319">
        <f t="shared" ref="Z31:Z36" si="34">3.6*8760/1000000</f>
        <v>3.1536000000000002E-2</v>
      </c>
      <c r="AA31" s="390">
        <f t="shared" ref="AA31:AA41" si="35">$AA$26</f>
        <v>0.5</v>
      </c>
      <c r="AB31" s="329">
        <v>20</v>
      </c>
      <c r="AC31" s="319"/>
      <c r="AD31" s="319"/>
      <c r="AE31" s="329"/>
      <c r="AG31" s="236">
        <f t="shared" si="10"/>
        <v>4.8390137842565588</v>
      </c>
      <c r="AH31" s="236" t="e">
        <f t="shared" si="11"/>
        <v>#REF!</v>
      </c>
      <c r="AI31" s="236">
        <f t="shared" si="12"/>
        <v>209.7846216043645</v>
      </c>
      <c r="AJ31" s="285"/>
      <c r="AK31" s="290"/>
      <c r="AL31" s="559" t="s">
        <v>100</v>
      </c>
      <c r="AM31" s="560">
        <f>J77/1000</f>
        <v>4.8390000000000004</v>
      </c>
      <c r="AN31" s="561">
        <f>AM31*$AN$23</f>
        <v>4.8390000000000004</v>
      </c>
      <c r="AO31" s="562">
        <f>AM31*$AO$23</f>
        <v>0</v>
      </c>
      <c r="AP31" s="562">
        <f>AM31*$AP$23</f>
        <v>0</v>
      </c>
      <c r="AQ31" s="582">
        <f t="shared" si="13"/>
        <v>4.7422335085714282</v>
      </c>
      <c r="AR31" s="562">
        <f t="shared" si="14"/>
        <v>0</v>
      </c>
      <c r="AS31" s="563">
        <f t="shared" si="15"/>
        <v>0</v>
      </c>
      <c r="AT31" s="560">
        <f t="shared" ref="AT31:AV34" si="36">IFERROR(AQ31/W31,0)</f>
        <v>4.8390137842565597</v>
      </c>
      <c r="AU31" s="561">
        <f t="shared" si="36"/>
        <v>0</v>
      </c>
      <c r="AV31" s="566">
        <f t="shared" si="36"/>
        <v>0</v>
      </c>
      <c r="AW31" s="285"/>
      <c r="AX31" s="290"/>
      <c r="AY31" s="559" t="s">
        <v>100</v>
      </c>
      <c r="AZ31" s="560" t="e">
        <f>J97/1000</f>
        <v>#REF!</v>
      </c>
      <c r="BA31" s="561" t="e">
        <f>AZ31*$AN$23</f>
        <v>#REF!</v>
      </c>
      <c r="BB31" s="562" t="e">
        <f>AZ31*$BB$23</f>
        <v>#REF!</v>
      </c>
      <c r="BC31" s="562" t="e">
        <f>AZ31*$BC$23</f>
        <v>#REF!</v>
      </c>
      <c r="BD31" s="560">
        <f t="shared" si="18"/>
        <v>0</v>
      </c>
      <c r="BE31" s="561">
        <f t="shared" si="19"/>
        <v>0</v>
      </c>
      <c r="BF31" s="566">
        <f t="shared" si="20"/>
        <v>0</v>
      </c>
      <c r="BG31" s="560">
        <f t="shared" si="21"/>
        <v>0</v>
      </c>
      <c r="BH31" s="561">
        <f t="shared" si="22"/>
        <v>0</v>
      </c>
      <c r="BI31" s="566">
        <f t="shared" si="23"/>
        <v>0</v>
      </c>
      <c r="BJ31" s="285"/>
      <c r="BK31" s="290"/>
      <c r="BL31" s="559" t="s">
        <v>100</v>
      </c>
      <c r="BM31" s="560">
        <f>J117/1000</f>
        <v>209.784616</v>
      </c>
      <c r="BN31" s="561">
        <f>BM31*$AN$23</f>
        <v>209.784616</v>
      </c>
      <c r="BO31" s="562">
        <f>BM31*$BB$23</f>
        <v>0</v>
      </c>
      <c r="BP31" s="562">
        <f>BM31*$BC$23</f>
        <v>0</v>
      </c>
      <c r="BQ31" s="560">
        <f t="shared" si="24"/>
        <v>205.58892917227723</v>
      </c>
      <c r="BR31" s="561">
        <f t="shared" si="25"/>
        <v>0</v>
      </c>
      <c r="BS31" s="566">
        <f t="shared" si="26"/>
        <v>0</v>
      </c>
      <c r="BT31" s="560">
        <f t="shared" si="27"/>
        <v>209.78462160436453</v>
      </c>
      <c r="BU31" s="561">
        <f t="shared" si="28"/>
        <v>0</v>
      </c>
      <c r="BV31" s="566">
        <f t="shared" si="29"/>
        <v>0</v>
      </c>
      <c r="BW31" s="285"/>
      <c r="BX31" s="285"/>
      <c r="BY31" s="285"/>
    </row>
    <row r="32" spans="3:77" ht="12.75" customHeight="1">
      <c r="C32" s="146" t="str">
        <f ca="1">+IF(OFFSET(Processes!B13,$D$11,0)="*","*",OFFSET(Processes!D13,$D$11,0))</f>
        <v>INDCDPHBHFOE1</v>
      </c>
      <c r="D32" s="146" t="str">
        <f ca="1">+OFFSET(Processes!E13,$D$11,0)</f>
        <v>Chemical industry Heat Medium Temp. Boiler - Heavy Fuel Oil Existing 1</v>
      </c>
      <c r="E32" s="149" t="str">
        <f>+Processes!O13</f>
        <v>INDHFO</v>
      </c>
      <c r="F32" s="172" t="str">
        <f ca="1">+OFFSET(Processes!$M$12,$D$11,0) &amp; Processes!P13</f>
        <v>ICDPH</v>
      </c>
      <c r="G32" s="322">
        <f t="shared" si="30"/>
        <v>2849.1030000000001</v>
      </c>
      <c r="H32" s="322">
        <f t="shared" si="30"/>
        <v>0</v>
      </c>
      <c r="I32" s="322">
        <f t="shared" si="30"/>
        <v>0</v>
      </c>
      <c r="J32" s="322">
        <f t="shared" si="31"/>
        <v>3191.9610000000002</v>
      </c>
      <c r="K32" s="322">
        <f t="shared" si="31"/>
        <v>0</v>
      </c>
      <c r="L32" s="322">
        <f t="shared" si="31"/>
        <v>0</v>
      </c>
      <c r="M32" s="322">
        <f t="shared" si="32"/>
        <v>1260.6489999999999</v>
      </c>
      <c r="N32" s="322">
        <f t="shared" si="32"/>
        <v>0</v>
      </c>
      <c r="O32" s="322">
        <f t="shared" si="32"/>
        <v>0</v>
      </c>
      <c r="P32" s="322">
        <f t="shared" si="3"/>
        <v>1260.6489999999999</v>
      </c>
      <c r="Q32" s="322">
        <f t="shared" si="4"/>
        <v>0</v>
      </c>
      <c r="R32" s="322">
        <f t="shared" si="5"/>
        <v>0</v>
      </c>
      <c r="S32" s="322">
        <f t="shared" si="6"/>
        <v>0</v>
      </c>
      <c r="T32" s="322">
        <f t="shared" si="7"/>
        <v>0</v>
      </c>
      <c r="U32" s="322">
        <f t="shared" si="8"/>
        <v>0</v>
      </c>
      <c r="V32" s="322">
        <v>5</v>
      </c>
      <c r="W32" s="343">
        <f>E131</f>
        <v>0.93099999999999994</v>
      </c>
      <c r="X32" s="522">
        <f t="shared" si="33"/>
        <v>0.93099999999999994</v>
      </c>
      <c r="Y32" s="522">
        <f t="shared" si="33"/>
        <v>0.93099999999999994</v>
      </c>
      <c r="Z32" s="319">
        <f t="shared" si="34"/>
        <v>3.1536000000000002E-2</v>
      </c>
      <c r="AA32" s="390">
        <f t="shared" si="35"/>
        <v>0.5</v>
      </c>
      <c r="AB32" s="329">
        <v>20</v>
      </c>
      <c r="AC32" s="319"/>
      <c r="AD32" s="319"/>
      <c r="AE32" s="329"/>
      <c r="AG32" s="236">
        <f t="shared" si="10"/>
        <v>45.956376762313944</v>
      </c>
      <c r="AH32" s="236">
        <f t="shared" si="11"/>
        <v>53.5257957992577</v>
      </c>
      <c r="AI32" s="236">
        <f t="shared" si="12"/>
        <v>21.139744799055631</v>
      </c>
      <c r="AJ32" s="45"/>
      <c r="AK32" s="290"/>
      <c r="AL32" s="559" t="s">
        <v>101</v>
      </c>
      <c r="AM32" s="560">
        <f>E77/1000</f>
        <v>45.956372000000002</v>
      </c>
      <c r="AN32" s="561">
        <f>AM32*$AN$23</f>
        <v>45.956372000000002</v>
      </c>
      <c r="AO32" s="562">
        <f>AM32*$AO$23</f>
        <v>0</v>
      </c>
      <c r="AP32" s="562">
        <f>AM32*$AP$23</f>
        <v>0</v>
      </c>
      <c r="AQ32" s="582">
        <f t="shared" si="13"/>
        <v>42.785386765714286</v>
      </c>
      <c r="AR32" s="562">
        <f t="shared" si="14"/>
        <v>0</v>
      </c>
      <c r="AS32" s="563">
        <f t="shared" si="15"/>
        <v>0</v>
      </c>
      <c r="AT32" s="560">
        <f t="shared" si="36"/>
        <v>45.956376762313951</v>
      </c>
      <c r="AU32" s="561">
        <f t="shared" si="36"/>
        <v>0</v>
      </c>
      <c r="AV32" s="566">
        <f t="shared" si="36"/>
        <v>0</v>
      </c>
      <c r="AW32" s="285"/>
      <c r="AX32" s="290"/>
      <c r="AY32" s="559" t="s">
        <v>101</v>
      </c>
      <c r="AZ32" s="560">
        <f>E97/1000</f>
        <v>53.525790000000001</v>
      </c>
      <c r="BA32" s="561">
        <f>AZ32*$AN$23</f>
        <v>53.525790000000001</v>
      </c>
      <c r="BB32" s="562">
        <f>AZ32*$BB$23</f>
        <v>0</v>
      </c>
      <c r="BC32" s="562">
        <f>AZ32*$BC$23</f>
        <v>0</v>
      </c>
      <c r="BD32" s="560">
        <f t="shared" si="18"/>
        <v>49.832515889108912</v>
      </c>
      <c r="BE32" s="561">
        <f t="shared" si="19"/>
        <v>0</v>
      </c>
      <c r="BF32" s="566">
        <f t="shared" si="20"/>
        <v>0</v>
      </c>
      <c r="BG32" s="560">
        <f t="shared" si="21"/>
        <v>53.525795799257693</v>
      </c>
      <c r="BH32" s="561">
        <f t="shared" si="22"/>
        <v>0</v>
      </c>
      <c r="BI32" s="566">
        <f t="shared" si="23"/>
        <v>0</v>
      </c>
      <c r="BJ32" s="285"/>
      <c r="BK32" s="290"/>
      <c r="BL32" s="559" t="s">
        <v>101</v>
      </c>
      <c r="BM32" s="560">
        <f>E117/1000</f>
        <v>21.139731999999999</v>
      </c>
      <c r="BN32" s="561">
        <f>BM32*$AN$23</f>
        <v>21.139731999999999</v>
      </c>
      <c r="BO32" s="562">
        <f>BM32*$BB$23</f>
        <v>0</v>
      </c>
      <c r="BP32" s="562">
        <f>BM32*$BC$23</f>
        <v>0</v>
      </c>
      <c r="BQ32" s="560">
        <f t="shared" si="24"/>
        <v>19.681102407920793</v>
      </c>
      <c r="BR32" s="561">
        <f t="shared" si="25"/>
        <v>0</v>
      </c>
      <c r="BS32" s="566">
        <f t="shared" si="26"/>
        <v>0</v>
      </c>
      <c r="BT32" s="560">
        <f t="shared" si="27"/>
        <v>21.139744799055634</v>
      </c>
      <c r="BU32" s="561">
        <f t="shared" si="28"/>
        <v>0</v>
      </c>
      <c r="BV32" s="566">
        <f t="shared" si="29"/>
        <v>0</v>
      </c>
      <c r="BW32" s="285"/>
      <c r="BX32" s="285"/>
      <c r="BY32" s="285"/>
    </row>
    <row r="33" spans="3:77" ht="12.75" customHeight="1">
      <c r="C33" s="146" t="str">
        <f ca="1">+IF(OFFSET(Processes!B14,$D$11,0)="*","*",OFFSET(Processes!D14,$D$11,0))</f>
        <v>INDCDPHBLPGE1</v>
      </c>
      <c r="D33" s="146" t="str">
        <f ca="1">+OFFSET(Processes!E14,$D$11,0)</f>
        <v>Chemical industry Heat Medium Temp. Boiler - Liquified Petroleum Gas Existing 1</v>
      </c>
      <c r="E33" s="149" t="str">
        <f>+Processes!O14</f>
        <v>INDLPG</v>
      </c>
      <c r="F33" s="172" t="str">
        <f ca="1">+OFFSET(Processes!$M$12,$D$11,0) &amp; Processes!P14</f>
        <v>ICDPH</v>
      </c>
      <c r="G33" s="322">
        <f t="shared" si="30"/>
        <v>0</v>
      </c>
      <c r="H33" s="322">
        <f t="shared" si="30"/>
        <v>0</v>
      </c>
      <c r="I33" s="322">
        <f t="shared" si="30"/>
        <v>0</v>
      </c>
      <c r="J33" s="322">
        <f t="shared" si="31"/>
        <v>0</v>
      </c>
      <c r="K33" s="322">
        <f t="shared" si="31"/>
        <v>0</v>
      </c>
      <c r="L33" s="322">
        <f t="shared" si="31"/>
        <v>0</v>
      </c>
      <c r="M33" s="322" t="e">
        <f t="shared" si="32"/>
        <v>#REF!</v>
      </c>
      <c r="N33" s="322" t="e">
        <f t="shared" si="32"/>
        <v>#REF!</v>
      </c>
      <c r="O33" s="322" t="e">
        <f t="shared" si="32"/>
        <v>#REF!</v>
      </c>
      <c r="P33" s="322" t="e">
        <f t="shared" si="3"/>
        <v>#REF!</v>
      </c>
      <c r="Q33" s="322" t="e">
        <f t="shared" si="4"/>
        <v>#REF!</v>
      </c>
      <c r="R33" s="322" t="e">
        <f t="shared" si="5"/>
        <v>#REF!</v>
      </c>
      <c r="S33" s="322" t="e">
        <f t="shared" si="6"/>
        <v>#REF!</v>
      </c>
      <c r="T33" s="322" t="e">
        <f t="shared" si="7"/>
        <v>#REF!</v>
      </c>
      <c r="U33" s="322" t="e">
        <f t="shared" si="8"/>
        <v>#REF!</v>
      </c>
      <c r="V33" s="322">
        <v>5</v>
      </c>
      <c r="W33" s="343">
        <f>H131</f>
        <v>0.98</v>
      </c>
      <c r="X33" s="522">
        <f t="shared" si="33"/>
        <v>0.98</v>
      </c>
      <c r="Y33" s="522">
        <f t="shared" si="33"/>
        <v>0.98</v>
      </c>
      <c r="Z33" s="319">
        <f t="shared" si="34"/>
        <v>3.1536000000000002E-2</v>
      </c>
      <c r="AA33" s="390">
        <f t="shared" si="35"/>
        <v>0.5</v>
      </c>
      <c r="AB33" s="329">
        <v>20</v>
      </c>
      <c r="AC33" s="319"/>
      <c r="AD33" s="319"/>
      <c r="AE33" s="329"/>
      <c r="AG33" s="236">
        <f t="shared" si="10"/>
        <v>0</v>
      </c>
      <c r="AH33" s="236">
        <f t="shared" si="11"/>
        <v>0</v>
      </c>
      <c r="AI33" s="236" t="e">
        <f t="shared" si="12"/>
        <v>#REF!</v>
      </c>
      <c r="AJ33" s="285"/>
      <c r="AK33" s="290"/>
      <c r="AL33" s="559" t="s">
        <v>53</v>
      </c>
      <c r="AM33" s="560">
        <f>H77/1000</f>
        <v>0</v>
      </c>
      <c r="AN33" s="561">
        <f>AM33*$AN$23</f>
        <v>0</v>
      </c>
      <c r="AO33" s="562">
        <f>AM33*$AO$23</f>
        <v>0</v>
      </c>
      <c r="AP33" s="562">
        <f>AM33*$AP$23</f>
        <v>0</v>
      </c>
      <c r="AQ33" s="582">
        <f t="shared" si="13"/>
        <v>0</v>
      </c>
      <c r="AR33" s="562">
        <f t="shared" si="14"/>
        <v>0</v>
      </c>
      <c r="AS33" s="563">
        <f t="shared" si="15"/>
        <v>0</v>
      </c>
      <c r="AT33" s="560">
        <f t="shared" si="36"/>
        <v>0</v>
      </c>
      <c r="AU33" s="561">
        <f t="shared" si="36"/>
        <v>0</v>
      </c>
      <c r="AV33" s="566">
        <f t="shared" si="36"/>
        <v>0</v>
      </c>
      <c r="AW33" s="285"/>
      <c r="AX33" s="290"/>
      <c r="AY33" s="559" t="s">
        <v>53</v>
      </c>
      <c r="AZ33" s="560">
        <f>H97/1000</f>
        <v>0</v>
      </c>
      <c r="BA33" s="561">
        <f>AZ33*$AN$23</f>
        <v>0</v>
      </c>
      <c r="BB33" s="562">
        <f>AZ33*$BB$23</f>
        <v>0</v>
      </c>
      <c r="BC33" s="562">
        <f>AZ33*$BC$23</f>
        <v>0</v>
      </c>
      <c r="BD33" s="560">
        <f t="shared" si="18"/>
        <v>0</v>
      </c>
      <c r="BE33" s="561">
        <f t="shared" si="19"/>
        <v>0</v>
      </c>
      <c r="BF33" s="566">
        <f t="shared" si="20"/>
        <v>0</v>
      </c>
      <c r="BG33" s="560">
        <f t="shared" si="21"/>
        <v>0</v>
      </c>
      <c r="BH33" s="561">
        <f t="shared" si="22"/>
        <v>0</v>
      </c>
      <c r="BI33" s="566">
        <f t="shared" si="23"/>
        <v>0</v>
      </c>
      <c r="BJ33" s="285"/>
      <c r="BK33" s="290"/>
      <c r="BL33" s="559" t="s">
        <v>53</v>
      </c>
      <c r="BM33" s="560" t="e">
        <f>H117/1000</f>
        <v>#REF!</v>
      </c>
      <c r="BN33" s="561" t="e">
        <f>BM33*$AN$23</f>
        <v>#REF!</v>
      </c>
      <c r="BO33" s="562" t="e">
        <f>BM33*$BB$23</f>
        <v>#REF!</v>
      </c>
      <c r="BP33" s="562" t="e">
        <f>BM33*$BC$23</f>
        <v>#REF!</v>
      </c>
      <c r="BQ33" s="560">
        <f t="shared" si="24"/>
        <v>0</v>
      </c>
      <c r="BR33" s="561">
        <f t="shared" si="25"/>
        <v>0</v>
      </c>
      <c r="BS33" s="566">
        <f t="shared" si="26"/>
        <v>0</v>
      </c>
      <c r="BT33" s="560">
        <f t="shared" si="27"/>
        <v>0</v>
      </c>
      <c r="BU33" s="561">
        <f t="shared" si="28"/>
        <v>0</v>
      </c>
      <c r="BV33" s="566">
        <f t="shared" si="29"/>
        <v>0</v>
      </c>
      <c r="BW33" s="285"/>
      <c r="BX33" s="285"/>
      <c r="BY33" s="285"/>
    </row>
    <row r="34" spans="3:77" ht="12.75" customHeight="1">
      <c r="C34" s="146" t="str">
        <f ca="1">+IF(OFFSET(Processes!B15,$D$11,0)="*","*",OFFSET(Processes!D15,$D$11,0))</f>
        <v>INDCDPHBWSTE1</v>
      </c>
      <c r="D34" s="146" t="str">
        <f ca="1">+OFFSET(Processes!E15,$D$11,0)</f>
        <v>Chemical industry Heat Medium Temp. Boiler - Waste Existing 1</v>
      </c>
      <c r="E34" s="149" t="str">
        <f>+Processes!O15</f>
        <v>INDWST</v>
      </c>
      <c r="F34" s="172" t="str">
        <f ca="1">+OFFSET(Processes!$M$12,$D$11,0) &amp; Processes!P15</f>
        <v>ICDPH</v>
      </c>
      <c r="G34" s="322">
        <f t="shared" si="30"/>
        <v>405.76299999999998</v>
      </c>
      <c r="H34" s="322">
        <f t="shared" si="30"/>
        <v>0</v>
      </c>
      <c r="I34" s="322">
        <f t="shared" si="30"/>
        <v>0</v>
      </c>
      <c r="J34" s="322">
        <f t="shared" si="31"/>
        <v>517.92200000000003</v>
      </c>
      <c r="K34" s="322">
        <f t="shared" si="31"/>
        <v>0</v>
      </c>
      <c r="L34" s="322">
        <f t="shared" si="31"/>
        <v>0</v>
      </c>
      <c r="M34" s="322">
        <f t="shared" si="32"/>
        <v>66.373000000000005</v>
      </c>
      <c r="N34" s="322">
        <f t="shared" si="32"/>
        <v>0</v>
      </c>
      <c r="O34" s="322">
        <f t="shared" si="32"/>
        <v>0</v>
      </c>
      <c r="P34" s="322">
        <f t="shared" si="3"/>
        <v>66.373000000000005</v>
      </c>
      <c r="Q34" s="322">
        <f t="shared" si="4"/>
        <v>0</v>
      </c>
      <c r="R34" s="322">
        <f t="shared" si="5"/>
        <v>0</v>
      </c>
      <c r="S34" s="322">
        <f t="shared" si="6"/>
        <v>0</v>
      </c>
      <c r="T34" s="322">
        <f t="shared" si="7"/>
        <v>0</v>
      </c>
      <c r="U34" s="322">
        <f t="shared" si="8"/>
        <v>0</v>
      </c>
      <c r="V34" s="322">
        <v>5</v>
      </c>
      <c r="W34" s="343">
        <f>L131</f>
        <v>0.93099999999999994</v>
      </c>
      <c r="X34" s="522">
        <f t="shared" si="33"/>
        <v>0.93099999999999994</v>
      </c>
      <c r="Y34" s="522">
        <f t="shared" si="33"/>
        <v>0.93099999999999994</v>
      </c>
      <c r="Z34" s="319">
        <f t="shared" si="34"/>
        <v>3.1536000000000002E-2</v>
      </c>
      <c r="AA34" s="390">
        <f t="shared" si="35"/>
        <v>0.5</v>
      </c>
      <c r="AB34" s="329">
        <v>20</v>
      </c>
      <c r="AC34" s="319"/>
      <c r="AD34" s="319"/>
      <c r="AE34" s="329"/>
      <c r="AG34" s="236">
        <f t="shared" si="10"/>
        <v>6.5450063771674083</v>
      </c>
      <c r="AH34" s="236">
        <f t="shared" si="11"/>
        <v>8.6850018568344485</v>
      </c>
      <c r="AI34" s="236">
        <f t="shared" si="12"/>
        <v>1.1130047154661762</v>
      </c>
      <c r="AJ34" s="285"/>
      <c r="AK34" s="290"/>
      <c r="AL34" s="559" t="s">
        <v>102</v>
      </c>
      <c r="AM34" s="560">
        <f>$L77/1000</f>
        <v>6.5449999999999999</v>
      </c>
      <c r="AN34" s="561">
        <f>AM34*$AN$23</f>
        <v>6.5449999999999999</v>
      </c>
      <c r="AO34" s="562">
        <f>AM34*$AO$23</f>
        <v>0</v>
      </c>
      <c r="AP34" s="562">
        <f>AM34*$AP$23</f>
        <v>0</v>
      </c>
      <c r="AQ34" s="582">
        <f t="shared" si="13"/>
        <v>6.0934009371428575</v>
      </c>
      <c r="AR34" s="562">
        <f t="shared" si="14"/>
        <v>0</v>
      </c>
      <c r="AS34" s="563">
        <f t="shared" si="15"/>
        <v>0</v>
      </c>
      <c r="AT34" s="560">
        <f t="shared" si="36"/>
        <v>6.5450063771674092</v>
      </c>
      <c r="AU34" s="561">
        <f t="shared" si="36"/>
        <v>0</v>
      </c>
      <c r="AV34" s="566">
        <f t="shared" si="36"/>
        <v>0</v>
      </c>
      <c r="AW34" s="285"/>
      <c r="AX34" s="290"/>
      <c r="AY34" s="559" t="s">
        <v>102</v>
      </c>
      <c r="AZ34" s="560">
        <f>$L97/1000</f>
        <v>8.6850000000000005</v>
      </c>
      <c r="BA34" s="561">
        <f>AZ34*$AN$23</f>
        <v>8.6850000000000005</v>
      </c>
      <c r="BB34" s="562">
        <f>AZ34*$BB$23</f>
        <v>0</v>
      </c>
      <c r="BC34" s="562">
        <f>AZ34*$BC$23</f>
        <v>0</v>
      </c>
      <c r="BD34" s="560">
        <f t="shared" si="18"/>
        <v>8.0857367287128721</v>
      </c>
      <c r="BE34" s="561">
        <f t="shared" si="19"/>
        <v>0</v>
      </c>
      <c r="BF34" s="566">
        <f t="shared" si="20"/>
        <v>0</v>
      </c>
      <c r="BG34" s="560">
        <f t="shared" si="21"/>
        <v>8.6850018568344503</v>
      </c>
      <c r="BH34" s="561">
        <f t="shared" si="22"/>
        <v>0</v>
      </c>
      <c r="BI34" s="566">
        <f t="shared" si="23"/>
        <v>0</v>
      </c>
      <c r="BJ34" s="285"/>
      <c r="BK34" s="290"/>
      <c r="BL34" s="559" t="s">
        <v>102</v>
      </c>
      <c r="BM34" s="560">
        <f>$L117/1000</f>
        <v>1.113</v>
      </c>
      <c r="BN34" s="561">
        <f>BM34*$AN$23</f>
        <v>1.113</v>
      </c>
      <c r="BO34" s="562">
        <f>BM34*$BB$23</f>
        <v>0</v>
      </c>
      <c r="BP34" s="562">
        <f>BM34*$BC$23</f>
        <v>0</v>
      </c>
      <c r="BQ34" s="560">
        <f t="shared" si="24"/>
        <v>1.0362073900990099</v>
      </c>
      <c r="BR34" s="561">
        <f t="shared" si="25"/>
        <v>0</v>
      </c>
      <c r="BS34" s="566">
        <f t="shared" si="26"/>
        <v>0</v>
      </c>
      <c r="BT34" s="560">
        <f t="shared" si="27"/>
        <v>1.1130047154661762</v>
      </c>
      <c r="BU34" s="561">
        <f t="shared" si="28"/>
        <v>0</v>
      </c>
      <c r="BV34" s="566">
        <f t="shared" si="29"/>
        <v>0</v>
      </c>
      <c r="BW34" s="285"/>
      <c r="BX34" s="285"/>
      <c r="BY34" s="285"/>
    </row>
    <row r="35" spans="3:77" ht="12.75" customHeight="1">
      <c r="C35" s="173" t="str">
        <f ca="1">+IF(OFFSET(Processes!B16,$D$11,0)="*","*",OFFSET(Processes!D16,$D$11,0))</f>
        <v>INDCDPHBHETE1</v>
      </c>
      <c r="D35" s="146" t="str">
        <f ca="1">+OFFSET(Processes!E16,$D$11,0)</f>
        <v>Chemical industry Heat Medium Temp. Boiler - Dist. Heat Existing 1</v>
      </c>
      <c r="E35" s="149" t="str">
        <f>+Processes!O16</f>
        <v>INDHCE</v>
      </c>
      <c r="F35" s="172" t="str">
        <f ca="1">+OFFSET(Processes!$M$12,$D$11,0) &amp; Processes!P16</f>
        <v>ICDPH</v>
      </c>
      <c r="G35" s="321">
        <f t="shared" si="30"/>
        <v>0</v>
      </c>
      <c r="H35" s="321">
        <f t="shared" si="30"/>
        <v>0</v>
      </c>
      <c r="I35" s="321">
        <f t="shared" si="30"/>
        <v>0</v>
      </c>
      <c r="J35" s="321">
        <f t="shared" si="31"/>
        <v>0</v>
      </c>
      <c r="K35" s="321">
        <f t="shared" si="31"/>
        <v>0</v>
      </c>
      <c r="L35" s="321">
        <f t="shared" si="31"/>
        <v>0</v>
      </c>
      <c r="M35" s="321">
        <f t="shared" si="32"/>
        <v>0</v>
      </c>
      <c r="N35" s="321">
        <f t="shared" si="32"/>
        <v>0</v>
      </c>
      <c r="O35" s="321">
        <f t="shared" si="32"/>
        <v>0</v>
      </c>
      <c r="P35" s="321">
        <f t="shared" si="3"/>
        <v>0</v>
      </c>
      <c r="Q35" s="321">
        <f t="shared" si="4"/>
        <v>0</v>
      </c>
      <c r="R35" s="321">
        <f t="shared" si="5"/>
        <v>0</v>
      </c>
      <c r="S35" s="321">
        <f t="shared" si="6"/>
        <v>0</v>
      </c>
      <c r="T35" s="321">
        <f t="shared" si="7"/>
        <v>0</v>
      </c>
      <c r="U35" s="321">
        <f t="shared" si="8"/>
        <v>0</v>
      </c>
      <c r="V35" s="321">
        <v>5</v>
      </c>
      <c r="W35" s="343">
        <f>$N$131</f>
        <v>0.94079999999999997</v>
      </c>
      <c r="X35" s="522">
        <f>$W$35</f>
        <v>0.94079999999999997</v>
      </c>
      <c r="Y35" s="522">
        <f>$W$35</f>
        <v>0.94079999999999997</v>
      </c>
      <c r="Z35" s="319">
        <f t="shared" si="34"/>
        <v>3.1536000000000002E-2</v>
      </c>
      <c r="AA35" s="390">
        <f t="shared" si="35"/>
        <v>0.5</v>
      </c>
      <c r="AB35" s="329">
        <v>20</v>
      </c>
      <c r="AC35" s="319"/>
      <c r="AD35" s="319"/>
      <c r="AE35" s="329"/>
      <c r="AG35" s="236">
        <f t="shared" si="10"/>
        <v>0</v>
      </c>
      <c r="AH35" s="236">
        <f t="shared" si="11"/>
        <v>0</v>
      </c>
      <c r="AI35" s="236">
        <f t="shared" si="12"/>
        <v>0</v>
      </c>
      <c r="AJ35" s="285"/>
      <c r="AK35" s="290"/>
      <c r="AL35" s="559" t="s">
        <v>103</v>
      </c>
      <c r="AM35" s="560">
        <f>N77/1000</f>
        <v>0</v>
      </c>
      <c r="AN35" s="613">
        <f>AM35</f>
        <v>0</v>
      </c>
      <c r="AO35" s="614">
        <v>0</v>
      </c>
      <c r="AP35" s="614">
        <v>0</v>
      </c>
      <c r="AQ35" s="582">
        <f t="shared" si="13"/>
        <v>0</v>
      </c>
      <c r="AR35" s="562">
        <f t="shared" si="14"/>
        <v>0</v>
      </c>
      <c r="AS35" s="563">
        <f t="shared" si="15"/>
        <v>0</v>
      </c>
      <c r="AT35" s="560">
        <f>AN35-AQ35</f>
        <v>0</v>
      </c>
      <c r="AU35" s="561">
        <f>AO35-AR35</f>
        <v>0</v>
      </c>
      <c r="AV35" s="566">
        <f>AP35-AS35</f>
        <v>0</v>
      </c>
      <c r="AW35" s="285"/>
      <c r="AX35" s="290"/>
      <c r="AY35" s="559" t="s">
        <v>103</v>
      </c>
      <c r="AZ35" s="560">
        <f>N97/1000</f>
        <v>0</v>
      </c>
      <c r="BA35" s="613">
        <f>AZ35</f>
        <v>0</v>
      </c>
      <c r="BB35" s="614">
        <v>0</v>
      </c>
      <c r="BC35" s="614">
        <v>0</v>
      </c>
      <c r="BD35" s="560">
        <f t="shared" si="18"/>
        <v>0</v>
      </c>
      <c r="BE35" s="561">
        <f t="shared" si="19"/>
        <v>0</v>
      </c>
      <c r="BF35" s="566">
        <f t="shared" si="20"/>
        <v>0</v>
      </c>
      <c r="BG35" s="560">
        <f t="shared" si="21"/>
        <v>0</v>
      </c>
      <c r="BH35" s="561">
        <f t="shared" si="22"/>
        <v>0</v>
      </c>
      <c r="BI35" s="566">
        <f t="shared" si="23"/>
        <v>0</v>
      </c>
      <c r="BJ35" s="285"/>
      <c r="BK35" s="290"/>
      <c r="BL35" s="559" t="s">
        <v>103</v>
      </c>
      <c r="BM35" s="560">
        <f>N117/1000</f>
        <v>0</v>
      </c>
      <c r="BN35" s="613">
        <f>BM35</f>
        <v>0</v>
      </c>
      <c r="BO35" s="614">
        <v>0</v>
      </c>
      <c r="BP35" s="614">
        <v>0</v>
      </c>
      <c r="BQ35" s="560">
        <f t="shared" si="24"/>
        <v>0</v>
      </c>
      <c r="BR35" s="561">
        <f t="shared" si="25"/>
        <v>0</v>
      </c>
      <c r="BS35" s="566">
        <f t="shared" si="26"/>
        <v>0</v>
      </c>
      <c r="BT35" s="560">
        <f t="shared" si="27"/>
        <v>0</v>
      </c>
      <c r="BU35" s="561">
        <f t="shared" si="28"/>
        <v>0</v>
      </c>
      <c r="BV35" s="566">
        <f t="shared" si="29"/>
        <v>0</v>
      </c>
      <c r="BW35" s="285"/>
      <c r="BX35" s="285"/>
      <c r="BY35" s="285"/>
    </row>
    <row r="36" spans="3:77" ht="12.75" customHeight="1">
      <c r="C36" s="173" t="str">
        <f ca="1">+IF(OFFSET(Processes!B17,$D$11,0)="*","*",OFFSET(Processes!D17,$D$11,0))</f>
        <v>INDCDPHBHETE2</v>
      </c>
      <c r="D36" s="146" t="str">
        <f ca="1">+OFFSET(Processes!E17,$D$11,0)</f>
        <v>Chemical industry Heat Medium Temp. Boiler - Dist. Heat Existing 2</v>
      </c>
      <c r="E36" s="149" t="str">
        <f>+Processes!O17</f>
        <v>INDHDE</v>
      </c>
      <c r="F36" s="172" t="str">
        <f ca="1">+OFFSET(Processes!$M$12,$D$11,0) &amp; Processes!P17</f>
        <v>ICDPH</v>
      </c>
      <c r="G36" s="321"/>
      <c r="H36" s="321"/>
      <c r="I36" s="321"/>
      <c r="J36" s="321"/>
      <c r="K36" s="321"/>
      <c r="L36" s="321"/>
      <c r="M36" s="321"/>
      <c r="N36" s="321"/>
      <c r="O36" s="321"/>
      <c r="P36" s="321">
        <f t="shared" si="3"/>
        <v>0</v>
      </c>
      <c r="Q36" s="321">
        <f t="shared" si="4"/>
        <v>0</v>
      </c>
      <c r="R36" s="321">
        <f t="shared" si="5"/>
        <v>0</v>
      </c>
      <c r="S36" s="321">
        <f t="shared" si="6"/>
        <v>0</v>
      </c>
      <c r="T36" s="321">
        <f t="shared" si="7"/>
        <v>0</v>
      </c>
      <c r="U36" s="321">
        <f t="shared" si="8"/>
        <v>0</v>
      </c>
      <c r="V36" s="321">
        <v>5</v>
      </c>
      <c r="W36" s="343">
        <f>$N$131</f>
        <v>0.94079999999999997</v>
      </c>
      <c r="X36" s="522">
        <f>$W$35</f>
        <v>0.94079999999999997</v>
      </c>
      <c r="Y36" s="522">
        <f>$W$35</f>
        <v>0.94079999999999997</v>
      </c>
      <c r="Z36" s="319">
        <f t="shared" si="34"/>
        <v>3.1536000000000002E-2</v>
      </c>
      <c r="AA36" s="390">
        <f t="shared" si="35"/>
        <v>0.5</v>
      </c>
      <c r="AB36" s="329">
        <v>20</v>
      </c>
      <c r="AC36" s="319"/>
      <c r="AD36" s="319"/>
      <c r="AE36" s="329"/>
      <c r="AG36" s="236">
        <f t="shared" si="10"/>
        <v>0</v>
      </c>
      <c r="AH36" s="236">
        <f t="shared" si="11"/>
        <v>0</v>
      </c>
      <c r="AI36" s="236">
        <f t="shared" si="12"/>
        <v>0</v>
      </c>
      <c r="AJ36" s="285"/>
      <c r="AK36" s="290"/>
      <c r="AL36" s="559" t="s">
        <v>104</v>
      </c>
      <c r="AM36" s="560"/>
      <c r="AN36" s="613">
        <f>AM36</f>
        <v>0</v>
      </c>
      <c r="AO36" s="614">
        <v>0</v>
      </c>
      <c r="AP36" s="614">
        <v>0</v>
      </c>
      <c r="AQ36" s="582">
        <f t="shared" si="13"/>
        <v>0</v>
      </c>
      <c r="AR36" s="562">
        <f t="shared" si="14"/>
        <v>0</v>
      </c>
      <c r="AS36" s="563">
        <f t="shared" si="15"/>
        <v>0</v>
      </c>
      <c r="AT36" s="560"/>
      <c r="AU36" s="561"/>
      <c r="AV36" s="566"/>
      <c r="AW36" s="285"/>
      <c r="AX36" s="290"/>
      <c r="AY36" s="559" t="s">
        <v>104</v>
      </c>
      <c r="AZ36" s="560"/>
      <c r="BA36" s="613">
        <f>AZ36</f>
        <v>0</v>
      </c>
      <c r="BB36" s="614">
        <v>0</v>
      </c>
      <c r="BC36" s="614">
        <v>0</v>
      </c>
      <c r="BD36" s="560">
        <f t="shared" si="18"/>
        <v>0</v>
      </c>
      <c r="BE36" s="561">
        <f t="shared" si="19"/>
        <v>0</v>
      </c>
      <c r="BF36" s="566">
        <f t="shared" si="20"/>
        <v>0</v>
      </c>
      <c r="BG36" s="560"/>
      <c r="BH36" s="561"/>
      <c r="BI36" s="566"/>
      <c r="BJ36" s="285"/>
      <c r="BK36" s="290"/>
      <c r="BL36" s="559" t="s">
        <v>104</v>
      </c>
      <c r="BM36" s="560"/>
      <c r="BN36" s="613">
        <f>BM36</f>
        <v>0</v>
      </c>
      <c r="BO36" s="614">
        <v>0</v>
      </c>
      <c r="BP36" s="614">
        <v>0</v>
      </c>
      <c r="BQ36" s="560">
        <f t="shared" si="24"/>
        <v>0</v>
      </c>
      <c r="BR36" s="561">
        <f t="shared" si="25"/>
        <v>0</v>
      </c>
      <c r="BS36" s="566">
        <f t="shared" si="26"/>
        <v>0</v>
      </c>
      <c r="BT36" s="560"/>
      <c r="BU36" s="561"/>
      <c r="BV36" s="566"/>
      <c r="BW36" s="285"/>
      <c r="BX36" s="285"/>
      <c r="BY36" s="285"/>
    </row>
    <row r="37" spans="3:77" ht="12.75" customHeight="1">
      <c r="C37" s="148" t="str">
        <f ca="1">+IF(OFFSET(Processes!B18,$D$11,0)="*","*",OFFSET(Processes!D18,$D$11,0))</f>
        <v>INDCDPHBELCE1</v>
      </c>
      <c r="D37" s="148" t="str">
        <f ca="1">+OFFSET(Processes!E18,$D$11,0)</f>
        <v>Chemical industry Heat Medium Temp. Boiler - Electricity Existing 1</v>
      </c>
      <c r="E37" s="174" t="str">
        <f>+Processes!O18</f>
        <v>INDELC</v>
      </c>
      <c r="F37" s="174" t="str">
        <f ca="1">+OFFSET(Processes!$M$12,$D$11,0) &amp; Processes!P18</f>
        <v>ICDPH</v>
      </c>
      <c r="G37" s="324">
        <f t="shared" ref="G37:I41" si="37">ROUNDUP(AN37/($Z37*$AA37)*G$21*W37,3)</f>
        <v>0</v>
      </c>
      <c r="H37" s="324">
        <f t="shared" si="37"/>
        <v>0</v>
      </c>
      <c r="I37" s="324">
        <f t="shared" si="37"/>
        <v>0</v>
      </c>
      <c r="J37" s="324">
        <f t="shared" ref="J37:L41" si="38">ROUNDUP(BA37/($Z37*$AA37)*J$21*W37,3)</f>
        <v>0</v>
      </c>
      <c r="K37" s="324">
        <f t="shared" si="38"/>
        <v>0</v>
      </c>
      <c r="L37" s="324">
        <f t="shared" si="38"/>
        <v>0</v>
      </c>
      <c r="M37" s="324">
        <f t="shared" ref="M37:O41" si="39">ROUNDUP(BN37/($Z37*$AA37)*M$21*W37,3)</f>
        <v>0</v>
      </c>
      <c r="N37" s="324">
        <f t="shared" si="39"/>
        <v>0</v>
      </c>
      <c r="O37" s="324">
        <f t="shared" si="39"/>
        <v>0</v>
      </c>
      <c r="P37" s="324">
        <f t="shared" si="3"/>
        <v>0</v>
      </c>
      <c r="Q37" s="324">
        <f t="shared" si="4"/>
        <v>0</v>
      </c>
      <c r="R37" s="324">
        <f t="shared" si="5"/>
        <v>0</v>
      </c>
      <c r="S37" s="324">
        <f t="shared" si="6"/>
        <v>0</v>
      </c>
      <c r="T37" s="324">
        <f t="shared" si="7"/>
        <v>0</v>
      </c>
      <c r="U37" s="324">
        <f t="shared" si="8"/>
        <v>0</v>
      </c>
      <c r="V37" s="558">
        <v>5</v>
      </c>
      <c r="W37" s="345">
        <f>M131</f>
        <v>0.93099999999999994</v>
      </c>
      <c r="X37" s="523">
        <f t="shared" ref="X37:Y50" si="40">W37</f>
        <v>0.93099999999999994</v>
      </c>
      <c r="Y37" s="523">
        <f t="shared" si="40"/>
        <v>0.93099999999999994</v>
      </c>
      <c r="Z37" s="320">
        <f t="shared" ref="Z37:Z50" si="41">3.6*8760/1000000</f>
        <v>3.1536000000000002E-2</v>
      </c>
      <c r="AA37" s="391">
        <f t="shared" si="35"/>
        <v>0.5</v>
      </c>
      <c r="AB37" s="330">
        <v>20</v>
      </c>
      <c r="AC37" s="326"/>
      <c r="AD37" s="319"/>
      <c r="AE37" s="330"/>
      <c r="AG37" s="236">
        <f t="shared" si="10"/>
        <v>0</v>
      </c>
      <c r="AH37" s="236">
        <f t="shared" si="11"/>
        <v>0</v>
      </c>
      <c r="AI37" s="236">
        <f t="shared" si="12"/>
        <v>0</v>
      </c>
      <c r="AJ37" s="285"/>
      <c r="AK37" s="352"/>
      <c r="AL37" s="567" t="s">
        <v>61</v>
      </c>
      <c r="AM37" s="568">
        <f>M77/1000</f>
        <v>0</v>
      </c>
      <c r="AN37" s="561">
        <f>AM37*$AN$23</f>
        <v>0</v>
      </c>
      <c r="AO37" s="562">
        <f>AM37*$AO$23</f>
        <v>0</v>
      </c>
      <c r="AP37" s="562">
        <f>AM37*$AP$23</f>
        <v>0</v>
      </c>
      <c r="AQ37" s="582">
        <f t="shared" si="13"/>
        <v>0</v>
      </c>
      <c r="AR37" s="562">
        <f t="shared" si="14"/>
        <v>0</v>
      </c>
      <c r="AS37" s="563">
        <f t="shared" si="15"/>
        <v>0</v>
      </c>
      <c r="AT37" s="568">
        <f t="shared" ref="AT37:AV41" si="42">IFERROR(AQ37/W37,0)</f>
        <v>0</v>
      </c>
      <c r="AU37" s="569">
        <f t="shared" si="42"/>
        <v>0</v>
      </c>
      <c r="AV37" s="570">
        <f t="shared" si="42"/>
        <v>0</v>
      </c>
      <c r="AW37" s="285"/>
      <c r="AX37" s="352"/>
      <c r="AY37" s="567" t="s">
        <v>61</v>
      </c>
      <c r="AZ37" s="568">
        <f>M97/1000</f>
        <v>0</v>
      </c>
      <c r="BA37" s="561">
        <f>AZ37*$AN$23</f>
        <v>0</v>
      </c>
      <c r="BB37" s="562">
        <f t="shared" ref="BB37:BB55" si="43">AZ37*$BB$23</f>
        <v>0</v>
      </c>
      <c r="BC37" s="562">
        <f t="shared" ref="BC37:BC55" si="44">AZ37*$BC$23</f>
        <v>0</v>
      </c>
      <c r="BD37" s="568">
        <f t="shared" si="18"/>
        <v>0</v>
      </c>
      <c r="BE37" s="569">
        <f t="shared" si="19"/>
        <v>0</v>
      </c>
      <c r="BF37" s="570">
        <f t="shared" si="20"/>
        <v>0</v>
      </c>
      <c r="BG37" s="568">
        <f t="shared" ref="BG37:BG56" si="45">IFERROR(BD37/W37,0)</f>
        <v>0</v>
      </c>
      <c r="BH37" s="569">
        <f t="shared" ref="BH37:BH56" si="46">IFERROR(BE37/X37,0)</f>
        <v>0</v>
      </c>
      <c r="BI37" s="570">
        <f t="shared" ref="BI37:BI56" si="47">IFERROR(BF37/Y37,0)</f>
        <v>0</v>
      </c>
      <c r="BJ37" s="285"/>
      <c r="BK37" s="352"/>
      <c r="BL37" s="567" t="s">
        <v>61</v>
      </c>
      <c r="BM37" s="568">
        <f>M117/1000</f>
        <v>0</v>
      </c>
      <c r="BN37" s="561">
        <f>BM37*$AN$23</f>
        <v>0</v>
      </c>
      <c r="BO37" s="562">
        <f t="shared" ref="BO37:BO55" si="48">BM37*$BB$23</f>
        <v>0</v>
      </c>
      <c r="BP37" s="562">
        <f t="shared" ref="BP37:BP55" si="49">BM37*$BC$23</f>
        <v>0</v>
      </c>
      <c r="BQ37" s="568">
        <f t="shared" si="24"/>
        <v>0</v>
      </c>
      <c r="BR37" s="569">
        <f t="shared" si="25"/>
        <v>0</v>
      </c>
      <c r="BS37" s="570">
        <f t="shared" si="26"/>
        <v>0</v>
      </c>
      <c r="BT37" s="568">
        <f t="shared" ref="BT37:BT56" si="50">IFERROR(BQ37/W37,0)</f>
        <v>0</v>
      </c>
      <c r="BU37" s="569">
        <f t="shared" ref="BU37:BU56" si="51">IFERROR(BR37/X37,0)</f>
        <v>0</v>
      </c>
      <c r="BV37" s="570">
        <f t="shared" ref="BV37:BV56" si="52">IFERROR(BS37/Y37,0)</f>
        <v>0</v>
      </c>
      <c r="BW37" s="285"/>
      <c r="BX37" s="285"/>
      <c r="BY37" s="285"/>
    </row>
    <row r="38" spans="3:77" ht="12.75" customHeight="1">
      <c r="C38" s="173" t="str">
        <f ca="1">+IF(OFFSET(Processes!B19,$D$11,0)="*","*",OFFSET(Processes!D19,$D$11,0))</f>
        <v>INDCDCOBNGAE1</v>
      </c>
      <c r="D38" s="173" t="str">
        <f ca="1">+OFFSET(Processes!E19,$D$11,0)</f>
        <v>Chemical industry Heat High Temp. Boiler - Nat. Gas Existing 1</v>
      </c>
      <c r="E38" s="172" t="str">
        <f>+Processes!O19</f>
        <v>INDSNG1,INDSNG2,INDNGA</v>
      </c>
      <c r="F38" s="172" t="str">
        <f ca="1">+OFFSET(Processes!$M$12,$D$11,0) &amp; Processes!P19</f>
        <v>ICDCO</v>
      </c>
      <c r="G38" s="322">
        <f t="shared" si="37"/>
        <v>0</v>
      </c>
      <c r="H38" s="322">
        <f t="shared" si="37"/>
        <v>0</v>
      </c>
      <c r="I38" s="322">
        <f t="shared" si="37"/>
        <v>0</v>
      </c>
      <c r="J38" s="322">
        <f t="shared" si="38"/>
        <v>0</v>
      </c>
      <c r="K38" s="322">
        <f t="shared" si="38"/>
        <v>0</v>
      </c>
      <c r="L38" s="322">
        <f t="shared" si="38"/>
        <v>0</v>
      </c>
      <c r="M38" s="322">
        <f t="shared" si="39"/>
        <v>0</v>
      </c>
      <c r="N38" s="322">
        <f t="shared" si="39"/>
        <v>0</v>
      </c>
      <c r="O38" s="322">
        <f t="shared" si="39"/>
        <v>0</v>
      </c>
      <c r="P38" s="322">
        <f t="shared" si="3"/>
        <v>0</v>
      </c>
      <c r="Q38" s="322">
        <f t="shared" si="4"/>
        <v>0</v>
      </c>
      <c r="R38" s="322">
        <f t="shared" si="5"/>
        <v>0</v>
      </c>
      <c r="S38" s="323">
        <f t="shared" si="6"/>
        <v>0</v>
      </c>
      <c r="T38" s="323">
        <f t="shared" si="7"/>
        <v>0</v>
      </c>
      <c r="U38" s="323">
        <f t="shared" si="8"/>
        <v>0</v>
      </c>
      <c r="V38" s="323">
        <v>5</v>
      </c>
      <c r="W38" s="343">
        <f>I132</f>
        <v>0.96039999999999992</v>
      </c>
      <c r="X38" s="522">
        <f t="shared" si="40"/>
        <v>0.96039999999999992</v>
      </c>
      <c r="Y38" s="522">
        <f t="shared" si="40"/>
        <v>0.96039999999999992</v>
      </c>
      <c r="Z38" s="326">
        <f t="shared" si="41"/>
        <v>3.1536000000000002E-2</v>
      </c>
      <c r="AA38" s="392">
        <f t="shared" si="35"/>
        <v>0.5</v>
      </c>
      <c r="AB38" s="331">
        <v>20</v>
      </c>
      <c r="AC38" s="327"/>
      <c r="AD38" s="327"/>
      <c r="AE38" s="331"/>
      <c r="AG38" s="236">
        <f t="shared" si="10"/>
        <v>0</v>
      </c>
      <c r="AH38" s="236">
        <f t="shared" si="11"/>
        <v>0</v>
      </c>
      <c r="AI38" s="236">
        <f t="shared" si="12"/>
        <v>0</v>
      </c>
      <c r="AJ38" s="285"/>
      <c r="AK38" s="530" t="str">
        <f ca="1">F38</f>
        <v>ICDCO</v>
      </c>
      <c r="AL38" s="571" t="s">
        <v>97</v>
      </c>
      <c r="AM38" s="572">
        <f>I78/1000</f>
        <v>0</v>
      </c>
      <c r="AN38" s="565">
        <f>AM38*$AN$23</f>
        <v>0</v>
      </c>
      <c r="AO38" s="565">
        <f>AM38*(1-$AN$23)</f>
        <v>0</v>
      </c>
      <c r="AP38" s="565"/>
      <c r="AQ38" s="564">
        <f t="shared" si="13"/>
        <v>0</v>
      </c>
      <c r="AR38" s="565">
        <f t="shared" si="14"/>
        <v>0</v>
      </c>
      <c r="AS38" s="573">
        <f t="shared" si="15"/>
        <v>0</v>
      </c>
      <c r="AT38" s="572">
        <f t="shared" si="42"/>
        <v>0</v>
      </c>
      <c r="AU38" s="574">
        <f t="shared" si="42"/>
        <v>0</v>
      </c>
      <c r="AV38" s="575">
        <f t="shared" si="42"/>
        <v>0</v>
      </c>
      <c r="AW38" s="285"/>
      <c r="AX38" s="530" t="str">
        <f t="shared" ca="1" si="17"/>
        <v>ICDCO</v>
      </c>
      <c r="AY38" s="571" t="s">
        <v>97</v>
      </c>
      <c r="AZ38" s="572">
        <f>I98/1000</f>
        <v>0</v>
      </c>
      <c r="BA38" s="565">
        <f>AZ38*$AN$23</f>
        <v>0</v>
      </c>
      <c r="BB38" s="565">
        <f t="shared" si="43"/>
        <v>0</v>
      </c>
      <c r="BC38" s="565">
        <f t="shared" si="44"/>
        <v>0</v>
      </c>
      <c r="BD38" s="572">
        <f t="shared" si="18"/>
        <v>0</v>
      </c>
      <c r="BE38" s="574">
        <f t="shared" si="19"/>
        <v>0</v>
      </c>
      <c r="BF38" s="575">
        <f t="shared" si="20"/>
        <v>0</v>
      </c>
      <c r="BG38" s="572">
        <f t="shared" si="45"/>
        <v>0</v>
      </c>
      <c r="BH38" s="574">
        <f t="shared" si="46"/>
        <v>0</v>
      </c>
      <c r="BI38" s="575">
        <f t="shared" si="47"/>
        <v>0</v>
      </c>
      <c r="BJ38" s="285"/>
      <c r="BK38" s="530" t="str">
        <f ca="1">AK38</f>
        <v>ICDCO</v>
      </c>
      <c r="BL38" s="571" t="s">
        <v>97</v>
      </c>
      <c r="BM38" s="572">
        <f>I118/1000</f>
        <v>0</v>
      </c>
      <c r="BN38" s="565">
        <f>BM38*$AN$23</f>
        <v>0</v>
      </c>
      <c r="BO38" s="565">
        <f t="shared" si="48"/>
        <v>0</v>
      </c>
      <c r="BP38" s="565">
        <f t="shared" si="49"/>
        <v>0</v>
      </c>
      <c r="BQ38" s="572">
        <f t="shared" si="24"/>
        <v>0</v>
      </c>
      <c r="BR38" s="574">
        <f t="shared" si="25"/>
        <v>0</v>
      </c>
      <c r="BS38" s="575">
        <f t="shared" si="26"/>
        <v>0</v>
      </c>
      <c r="BT38" s="572">
        <f t="shared" si="50"/>
        <v>0</v>
      </c>
      <c r="BU38" s="574">
        <f t="shared" si="51"/>
        <v>0</v>
      </c>
      <c r="BV38" s="575">
        <f t="shared" si="52"/>
        <v>0</v>
      </c>
      <c r="BW38" s="285"/>
      <c r="BX38" s="285"/>
      <c r="BY38" s="285"/>
    </row>
    <row r="39" spans="3:77" ht="12.75" customHeight="1">
      <c r="C39" s="173" t="str">
        <f ca="1">+IF(OFFSET(Processes!B20,$D$11,0)="*","*",OFFSET(Processes!D20,$D$11,0))</f>
        <v>INDCDCOBCOAE1</v>
      </c>
      <c r="D39" s="173" t="str">
        <f ca="1">+OFFSET(Processes!E20,$D$11,0)</f>
        <v>Chemical industry Heat High Temp. Boiler - Coal Existing 1</v>
      </c>
      <c r="E39" s="172" t="str">
        <f>+Processes!O20</f>
        <v>INDCOA</v>
      </c>
      <c r="F39" s="172" t="str">
        <f ca="1">+OFFSET(Processes!$M$12,$D$11,0) &amp; Processes!P20</f>
        <v>ICDCO</v>
      </c>
      <c r="G39" s="322">
        <f t="shared" si="37"/>
        <v>0</v>
      </c>
      <c r="H39" s="322">
        <f t="shared" si="37"/>
        <v>0</v>
      </c>
      <c r="I39" s="322">
        <f t="shared" si="37"/>
        <v>0</v>
      </c>
      <c r="J39" s="322">
        <f t="shared" si="38"/>
        <v>0</v>
      </c>
      <c r="K39" s="322">
        <f t="shared" si="38"/>
        <v>0</v>
      </c>
      <c r="L39" s="322">
        <f t="shared" si="38"/>
        <v>0</v>
      </c>
      <c r="M39" s="322">
        <f t="shared" si="39"/>
        <v>0</v>
      </c>
      <c r="N39" s="322">
        <f t="shared" si="39"/>
        <v>0</v>
      </c>
      <c r="O39" s="322">
        <f t="shared" si="39"/>
        <v>0</v>
      </c>
      <c r="P39" s="322">
        <f t="shared" si="3"/>
        <v>0</v>
      </c>
      <c r="Q39" s="322">
        <f t="shared" si="4"/>
        <v>0</v>
      </c>
      <c r="R39" s="322">
        <f t="shared" si="5"/>
        <v>0</v>
      </c>
      <c r="S39" s="322">
        <f t="shared" si="6"/>
        <v>0</v>
      </c>
      <c r="T39" s="322">
        <f t="shared" si="7"/>
        <v>0</v>
      </c>
      <c r="U39" s="322">
        <f t="shared" si="8"/>
        <v>0</v>
      </c>
      <c r="V39" s="322">
        <v>5</v>
      </c>
      <c r="W39" s="343">
        <f>D132</f>
        <v>0.91237999999999997</v>
      </c>
      <c r="X39" s="522">
        <f t="shared" si="40"/>
        <v>0.91237999999999997</v>
      </c>
      <c r="Y39" s="522">
        <f t="shared" si="40"/>
        <v>0.91237999999999997</v>
      </c>
      <c r="Z39" s="326">
        <f t="shared" si="41"/>
        <v>3.1536000000000002E-2</v>
      </c>
      <c r="AA39" s="390">
        <f t="shared" si="35"/>
        <v>0.5</v>
      </c>
      <c r="AB39" s="329">
        <v>20</v>
      </c>
      <c r="AC39" s="326"/>
      <c r="AD39" s="326"/>
      <c r="AE39" s="331"/>
      <c r="AG39" s="236">
        <f t="shared" si="10"/>
        <v>0</v>
      </c>
      <c r="AH39" s="236">
        <f t="shared" si="11"/>
        <v>0</v>
      </c>
      <c r="AI39" s="236">
        <f t="shared" si="12"/>
        <v>0</v>
      </c>
      <c r="AJ39" s="285"/>
      <c r="AK39" s="290"/>
      <c r="AL39" s="559" t="s">
        <v>98</v>
      </c>
      <c r="AM39" s="560">
        <f>D78/1000</f>
        <v>0</v>
      </c>
      <c r="AN39" s="562">
        <f>AM39*$AN$23</f>
        <v>0</v>
      </c>
      <c r="AO39" s="562">
        <f>AM39*(1-$AN$23)</f>
        <v>0</v>
      </c>
      <c r="AP39" s="562"/>
      <c r="AQ39" s="582">
        <f t="shared" si="13"/>
        <v>0</v>
      </c>
      <c r="AR39" s="562">
        <f t="shared" si="14"/>
        <v>0</v>
      </c>
      <c r="AS39" s="563">
        <f t="shared" si="15"/>
        <v>0</v>
      </c>
      <c r="AT39" s="560">
        <f t="shared" si="42"/>
        <v>0</v>
      </c>
      <c r="AU39" s="561">
        <f t="shared" si="42"/>
        <v>0</v>
      </c>
      <c r="AV39" s="566">
        <f t="shared" si="42"/>
        <v>0</v>
      </c>
      <c r="AW39" s="285"/>
      <c r="AX39" s="290"/>
      <c r="AY39" s="559" t="s">
        <v>98</v>
      </c>
      <c r="AZ39" s="560">
        <f>D98/1000</f>
        <v>0</v>
      </c>
      <c r="BA39" s="562">
        <f>AZ39*$AN$23</f>
        <v>0</v>
      </c>
      <c r="BB39" s="562">
        <f t="shared" si="43"/>
        <v>0</v>
      </c>
      <c r="BC39" s="562">
        <f t="shared" si="44"/>
        <v>0</v>
      </c>
      <c r="BD39" s="560">
        <f t="shared" si="18"/>
        <v>0</v>
      </c>
      <c r="BE39" s="561">
        <f t="shared" si="19"/>
        <v>0</v>
      </c>
      <c r="BF39" s="566">
        <f t="shared" si="20"/>
        <v>0</v>
      </c>
      <c r="BG39" s="560">
        <f t="shared" si="45"/>
        <v>0</v>
      </c>
      <c r="BH39" s="561">
        <f t="shared" si="46"/>
        <v>0</v>
      </c>
      <c r="BI39" s="566">
        <f t="shared" si="47"/>
        <v>0</v>
      </c>
      <c r="BJ39" s="285"/>
      <c r="BK39" s="290"/>
      <c r="BL39" s="559" t="s">
        <v>98</v>
      </c>
      <c r="BM39" s="560">
        <f>D118/1000</f>
        <v>0</v>
      </c>
      <c r="BN39" s="562">
        <f>BM39*$AN$23</f>
        <v>0</v>
      </c>
      <c r="BO39" s="562">
        <f t="shared" si="48"/>
        <v>0</v>
      </c>
      <c r="BP39" s="562">
        <f t="shared" si="49"/>
        <v>0</v>
      </c>
      <c r="BQ39" s="560">
        <f t="shared" si="24"/>
        <v>0</v>
      </c>
      <c r="BR39" s="561">
        <f t="shared" si="25"/>
        <v>0</v>
      </c>
      <c r="BS39" s="566">
        <f t="shared" si="26"/>
        <v>0</v>
      </c>
      <c r="BT39" s="560">
        <f t="shared" si="50"/>
        <v>0</v>
      </c>
      <c r="BU39" s="561">
        <f t="shared" si="51"/>
        <v>0</v>
      </c>
      <c r="BV39" s="566">
        <f t="shared" si="52"/>
        <v>0</v>
      </c>
      <c r="BW39" s="285"/>
      <c r="BX39" s="285"/>
      <c r="BY39" s="285"/>
    </row>
    <row r="40" spans="3:77" ht="12.75" customHeight="1">
      <c r="C40" s="173" t="str">
        <f ca="1">+IF(OFFSET(Processes!B21,$D$11,0)="*","*",OFFSET(Processes!D21,$D$11,0))</f>
        <v>INDCDCOBDSLE1</v>
      </c>
      <c r="D40" s="173" t="str">
        <f ca="1">+OFFSET(Processes!E21,$D$11,0)</f>
        <v>Chemical industry Heat High Temp. Boiler - Diesel Existing 1</v>
      </c>
      <c r="E40" s="172" t="str">
        <f>+Processes!O21</f>
        <v>INDDSB1,INDDSB2,INDDSL</v>
      </c>
      <c r="F40" s="172" t="str">
        <f ca="1">+OFFSET(Processes!$M$12,$D$11,0) &amp; Processes!P21</f>
        <v>ICDCO</v>
      </c>
      <c r="G40" s="322">
        <f t="shared" si="37"/>
        <v>0</v>
      </c>
      <c r="H40" s="322">
        <f t="shared" si="37"/>
        <v>0</v>
      </c>
      <c r="I40" s="322">
        <f t="shared" si="37"/>
        <v>0</v>
      </c>
      <c r="J40" s="322">
        <f t="shared" si="38"/>
        <v>0</v>
      </c>
      <c r="K40" s="322">
        <f t="shared" si="38"/>
        <v>0</v>
      </c>
      <c r="L40" s="322">
        <f t="shared" si="38"/>
        <v>0</v>
      </c>
      <c r="M40" s="322">
        <f t="shared" si="39"/>
        <v>0</v>
      </c>
      <c r="N40" s="322">
        <f t="shared" si="39"/>
        <v>0</v>
      </c>
      <c r="O40" s="322">
        <f t="shared" si="39"/>
        <v>0</v>
      </c>
      <c r="P40" s="322">
        <f t="shared" si="3"/>
        <v>0</v>
      </c>
      <c r="Q40" s="322">
        <f t="shared" si="4"/>
        <v>0</v>
      </c>
      <c r="R40" s="322">
        <f t="shared" si="5"/>
        <v>0</v>
      </c>
      <c r="S40" s="322">
        <f t="shared" si="6"/>
        <v>0</v>
      </c>
      <c r="T40" s="322">
        <f t="shared" si="7"/>
        <v>0</v>
      </c>
      <c r="U40" s="322">
        <f t="shared" si="8"/>
        <v>0</v>
      </c>
      <c r="V40" s="322">
        <v>5</v>
      </c>
      <c r="W40" s="343">
        <f>F132</f>
        <v>0.92198399999999991</v>
      </c>
      <c r="X40" s="522">
        <f t="shared" si="40"/>
        <v>0.92198399999999991</v>
      </c>
      <c r="Y40" s="522">
        <f t="shared" si="40"/>
        <v>0.92198399999999991</v>
      </c>
      <c r="Z40" s="326">
        <f t="shared" si="41"/>
        <v>3.1536000000000002E-2</v>
      </c>
      <c r="AA40" s="392">
        <f t="shared" si="35"/>
        <v>0.5</v>
      </c>
      <c r="AB40" s="331">
        <v>20</v>
      </c>
      <c r="AC40" s="326"/>
      <c r="AD40" s="326"/>
      <c r="AE40" s="331"/>
      <c r="AG40" s="236">
        <f t="shared" si="10"/>
        <v>0</v>
      </c>
      <c r="AH40" s="236">
        <f t="shared" si="11"/>
        <v>0</v>
      </c>
      <c r="AI40" s="236">
        <f t="shared" si="12"/>
        <v>0</v>
      </c>
      <c r="AJ40" s="285"/>
      <c r="AK40" s="290"/>
      <c r="AL40" s="559" t="s">
        <v>59</v>
      </c>
      <c r="AM40" s="560">
        <f>F78/1000</f>
        <v>0</v>
      </c>
      <c r="AN40" s="562">
        <f>AM40*$AN$23</f>
        <v>0</v>
      </c>
      <c r="AO40" s="562">
        <f>AM40*(1-$AN$23)</f>
        <v>0</v>
      </c>
      <c r="AP40" s="562"/>
      <c r="AQ40" s="582">
        <f t="shared" si="13"/>
        <v>0</v>
      </c>
      <c r="AR40" s="562">
        <f t="shared" si="14"/>
        <v>0</v>
      </c>
      <c r="AS40" s="563">
        <f t="shared" si="15"/>
        <v>0</v>
      </c>
      <c r="AT40" s="560">
        <f t="shared" si="42"/>
        <v>0</v>
      </c>
      <c r="AU40" s="561">
        <f t="shared" si="42"/>
        <v>0</v>
      </c>
      <c r="AV40" s="566">
        <f t="shared" si="42"/>
        <v>0</v>
      </c>
      <c r="AW40" s="285"/>
      <c r="AX40" s="290"/>
      <c r="AY40" s="559" t="s">
        <v>59</v>
      </c>
      <c r="AZ40" s="560">
        <f>F98/1000</f>
        <v>0</v>
      </c>
      <c r="BA40" s="562">
        <f>AZ40*$AN$23</f>
        <v>0</v>
      </c>
      <c r="BB40" s="562">
        <f t="shared" si="43"/>
        <v>0</v>
      </c>
      <c r="BC40" s="562">
        <f t="shared" si="44"/>
        <v>0</v>
      </c>
      <c r="BD40" s="560">
        <f t="shared" si="18"/>
        <v>0</v>
      </c>
      <c r="BE40" s="561">
        <f t="shared" si="19"/>
        <v>0</v>
      </c>
      <c r="BF40" s="566">
        <f t="shared" si="20"/>
        <v>0</v>
      </c>
      <c r="BG40" s="560">
        <f t="shared" si="45"/>
        <v>0</v>
      </c>
      <c r="BH40" s="561">
        <f t="shared" si="46"/>
        <v>0</v>
      </c>
      <c r="BI40" s="566">
        <f t="shared" si="47"/>
        <v>0</v>
      </c>
      <c r="BJ40" s="285"/>
      <c r="BK40" s="290"/>
      <c r="BL40" s="559" t="s">
        <v>59</v>
      </c>
      <c r="BM40" s="560">
        <f>F118/1000</f>
        <v>0</v>
      </c>
      <c r="BN40" s="562">
        <f>BM40*$AN$23</f>
        <v>0</v>
      </c>
      <c r="BO40" s="562">
        <f t="shared" si="48"/>
        <v>0</v>
      </c>
      <c r="BP40" s="562">
        <f t="shared" si="49"/>
        <v>0</v>
      </c>
      <c r="BQ40" s="560">
        <f t="shared" si="24"/>
        <v>0</v>
      </c>
      <c r="BR40" s="561">
        <f t="shared" si="25"/>
        <v>0</v>
      </c>
      <c r="BS40" s="566">
        <f t="shared" si="26"/>
        <v>0</v>
      </c>
      <c r="BT40" s="560">
        <f t="shared" si="50"/>
        <v>0</v>
      </c>
      <c r="BU40" s="561">
        <f t="shared" si="51"/>
        <v>0</v>
      </c>
      <c r="BV40" s="566">
        <f t="shared" si="52"/>
        <v>0</v>
      </c>
      <c r="BW40" s="285"/>
      <c r="BX40" s="285"/>
      <c r="BY40" s="285"/>
    </row>
    <row r="41" spans="3:77" ht="12.75" customHeight="1">
      <c r="C41" s="173" t="str">
        <f ca="1">+IF(OFFSET(Processes!B22,$D$11,0)="*","*",OFFSET(Processes!D22,$D$11,0))</f>
        <v>INDCDCOBWPEE1</v>
      </c>
      <c r="D41" s="173" t="str">
        <f ca="1">+OFFSET(Processes!E22,$D$11,0)</f>
        <v>Chemical industry Heat High Temp. Boiler - Wood Pellets Existing 1</v>
      </c>
      <c r="E41" s="172" t="str">
        <f>+Processes!O22</f>
        <v>INDWPE</v>
      </c>
      <c r="F41" s="172" t="str">
        <f ca="1">+OFFSET(Processes!$M$12,$D$11,0) &amp; Processes!P22</f>
        <v>ICDCO</v>
      </c>
      <c r="G41" s="321">
        <f t="shared" si="37"/>
        <v>0</v>
      </c>
      <c r="H41" s="321">
        <f t="shared" si="37"/>
        <v>0</v>
      </c>
      <c r="I41" s="321">
        <f t="shared" si="37"/>
        <v>0</v>
      </c>
      <c r="J41" s="321">
        <f t="shared" si="38"/>
        <v>0</v>
      </c>
      <c r="K41" s="321">
        <f t="shared" si="38"/>
        <v>0</v>
      </c>
      <c r="L41" s="321">
        <f t="shared" si="38"/>
        <v>0</v>
      </c>
      <c r="M41" s="321">
        <f t="shared" si="39"/>
        <v>0</v>
      </c>
      <c r="N41" s="321">
        <f t="shared" si="39"/>
        <v>0</v>
      </c>
      <c r="O41" s="321">
        <f t="shared" si="39"/>
        <v>0</v>
      </c>
      <c r="P41" s="321">
        <f t="shared" si="3"/>
        <v>0</v>
      </c>
      <c r="Q41" s="321">
        <f t="shared" si="4"/>
        <v>0</v>
      </c>
      <c r="R41" s="321">
        <f t="shared" si="5"/>
        <v>0</v>
      </c>
      <c r="S41" s="321">
        <f t="shared" si="6"/>
        <v>0</v>
      </c>
      <c r="T41" s="321">
        <f t="shared" si="7"/>
        <v>0</v>
      </c>
      <c r="U41" s="321">
        <f t="shared" si="8"/>
        <v>0</v>
      </c>
      <c r="V41" s="321">
        <v>5</v>
      </c>
      <c r="W41" s="343">
        <f>K132</f>
        <v>0.81633999999999995</v>
      </c>
      <c r="X41" s="522">
        <f t="shared" si="40"/>
        <v>0.81633999999999995</v>
      </c>
      <c r="Y41" s="522">
        <f t="shared" si="40"/>
        <v>0.81633999999999995</v>
      </c>
      <c r="Z41" s="326">
        <f t="shared" si="41"/>
        <v>3.1536000000000002E-2</v>
      </c>
      <c r="AA41" s="392">
        <f t="shared" si="35"/>
        <v>0.5</v>
      </c>
      <c r="AB41" s="331">
        <v>20</v>
      </c>
      <c r="AC41" s="319">
        <v>0.5</v>
      </c>
      <c r="AD41" s="319">
        <v>0.5</v>
      </c>
      <c r="AE41" s="329">
        <v>5</v>
      </c>
      <c r="AG41" s="236">
        <f t="shared" si="10"/>
        <v>0</v>
      </c>
      <c r="AH41" s="236">
        <f t="shared" si="11"/>
        <v>0</v>
      </c>
      <c r="AI41" s="236">
        <f t="shared" si="12"/>
        <v>0</v>
      </c>
      <c r="AJ41" s="285"/>
      <c r="AK41" s="290"/>
      <c r="AL41" s="559" t="s">
        <v>99</v>
      </c>
      <c r="AM41" s="560">
        <f>K78/1000</f>
        <v>0</v>
      </c>
      <c r="AN41" s="562">
        <f>AM41*$AN$23</f>
        <v>0</v>
      </c>
      <c r="AO41" s="562">
        <f>AM41*(1-$AN$23)</f>
        <v>0</v>
      </c>
      <c r="AP41" s="562"/>
      <c r="AQ41" s="582">
        <f t="shared" si="13"/>
        <v>0</v>
      </c>
      <c r="AR41" s="562">
        <f t="shared" si="14"/>
        <v>0</v>
      </c>
      <c r="AS41" s="563">
        <f t="shared" si="15"/>
        <v>0</v>
      </c>
      <c r="AT41" s="560">
        <f t="shared" si="42"/>
        <v>0</v>
      </c>
      <c r="AU41" s="561">
        <f t="shared" si="42"/>
        <v>0</v>
      </c>
      <c r="AV41" s="566">
        <f t="shared" si="42"/>
        <v>0</v>
      </c>
      <c r="AW41" s="285"/>
      <c r="AX41" s="290"/>
      <c r="AY41" s="559" t="s">
        <v>99</v>
      </c>
      <c r="AZ41" s="560">
        <f>K98/1000</f>
        <v>0</v>
      </c>
      <c r="BA41" s="562">
        <f>AZ41*$AN$23</f>
        <v>0</v>
      </c>
      <c r="BB41" s="562">
        <f t="shared" si="43"/>
        <v>0</v>
      </c>
      <c r="BC41" s="562">
        <f t="shared" si="44"/>
        <v>0</v>
      </c>
      <c r="BD41" s="560">
        <f t="shared" si="18"/>
        <v>0</v>
      </c>
      <c r="BE41" s="561">
        <f t="shared" si="19"/>
        <v>0</v>
      </c>
      <c r="BF41" s="566">
        <f t="shared" si="20"/>
        <v>0</v>
      </c>
      <c r="BG41" s="560">
        <f t="shared" si="45"/>
        <v>0</v>
      </c>
      <c r="BH41" s="561">
        <f t="shared" si="46"/>
        <v>0</v>
      </c>
      <c r="BI41" s="566">
        <f t="shared" si="47"/>
        <v>0</v>
      </c>
      <c r="BJ41" s="285"/>
      <c r="BK41" s="290"/>
      <c r="BL41" s="559" t="s">
        <v>99</v>
      </c>
      <c r="BM41" s="560">
        <f>K118/1000</f>
        <v>0</v>
      </c>
      <c r="BN41" s="562">
        <f>BM41*$AN$23</f>
        <v>0</v>
      </c>
      <c r="BO41" s="562">
        <f t="shared" si="48"/>
        <v>0</v>
      </c>
      <c r="BP41" s="562">
        <f t="shared" si="49"/>
        <v>0</v>
      </c>
      <c r="BQ41" s="560">
        <f t="shared" si="24"/>
        <v>0</v>
      </c>
      <c r="BR41" s="561">
        <f t="shared" si="25"/>
        <v>0</v>
      </c>
      <c r="BS41" s="566">
        <f t="shared" si="26"/>
        <v>0</v>
      </c>
      <c r="BT41" s="560">
        <f t="shared" si="50"/>
        <v>0</v>
      </c>
      <c r="BU41" s="561">
        <f t="shared" si="51"/>
        <v>0</v>
      </c>
      <c r="BV41" s="566">
        <f t="shared" si="52"/>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3"/>
        <v>0</v>
      </c>
      <c r="Q42" s="321">
        <f t="shared" si="4"/>
        <v>0</v>
      </c>
      <c r="R42" s="321">
        <f t="shared" si="5"/>
        <v>0</v>
      </c>
      <c r="S42" s="321">
        <f t="shared" si="6"/>
        <v>0</v>
      </c>
      <c r="T42" s="321">
        <f t="shared" si="7"/>
        <v>0</v>
      </c>
      <c r="U42" s="321">
        <f t="shared" si="8"/>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13"/>
        <v>0</v>
      </c>
      <c r="AR42" s="562">
        <f t="shared" si="14"/>
        <v>0</v>
      </c>
      <c r="AS42" s="563">
        <f t="shared" si="15"/>
        <v>0</v>
      </c>
      <c r="AT42" s="560"/>
      <c r="AU42" s="561"/>
      <c r="AV42" s="566"/>
      <c r="AW42" s="285"/>
      <c r="AX42" s="290"/>
      <c r="AY42" s="559" t="s">
        <v>107</v>
      </c>
      <c r="AZ42" s="560"/>
      <c r="BA42" s="562"/>
      <c r="BB42" s="562">
        <f t="shared" si="43"/>
        <v>0</v>
      </c>
      <c r="BC42" s="562">
        <f t="shared" si="44"/>
        <v>0</v>
      </c>
      <c r="BD42" s="560">
        <f t="shared" si="18"/>
        <v>0</v>
      </c>
      <c r="BE42" s="561">
        <f t="shared" si="19"/>
        <v>0</v>
      </c>
      <c r="BF42" s="566">
        <f t="shared" si="20"/>
        <v>0</v>
      </c>
      <c r="BG42" s="560">
        <f t="shared" si="45"/>
        <v>0</v>
      </c>
      <c r="BH42" s="561">
        <f t="shared" si="46"/>
        <v>0</v>
      </c>
      <c r="BI42" s="566">
        <f t="shared" si="47"/>
        <v>0</v>
      </c>
      <c r="BJ42" s="285"/>
      <c r="BK42" s="290"/>
      <c r="BL42" s="559" t="s">
        <v>107</v>
      </c>
      <c r="BM42" s="560"/>
      <c r="BN42" s="562"/>
      <c r="BO42" s="562">
        <f t="shared" si="48"/>
        <v>0</v>
      </c>
      <c r="BP42" s="562">
        <f t="shared" si="49"/>
        <v>0</v>
      </c>
      <c r="BQ42" s="560">
        <f t="shared" si="24"/>
        <v>0</v>
      </c>
      <c r="BR42" s="561">
        <f t="shared" si="25"/>
        <v>0</v>
      </c>
      <c r="BS42" s="566">
        <f t="shared" si="26"/>
        <v>0</v>
      </c>
      <c r="BT42" s="560">
        <f t="shared" si="50"/>
        <v>0</v>
      </c>
      <c r="BU42" s="561">
        <f t="shared" si="51"/>
        <v>0</v>
      </c>
      <c r="BV42" s="566">
        <f t="shared" si="52"/>
        <v>0</v>
      </c>
      <c r="BW42" s="285"/>
      <c r="BX42" s="285"/>
      <c r="BY42" s="285"/>
    </row>
    <row r="43" spans="3:77" ht="12.75" customHeight="1">
      <c r="C43" s="173" t="str">
        <f ca="1">+IF(OFFSET(Processes!B24,$D$11,0)="*","*",OFFSET(Processes!D24,$D$11,0))</f>
        <v>INDCDCOBHFOE1</v>
      </c>
      <c r="D43" s="173" t="str">
        <f ca="1">+OFFSET(Processes!E24,$D$11,0)</f>
        <v>Chemical industry Heat High Temp. Boiler - Heavy Fuel Oil Existing 1</v>
      </c>
      <c r="E43" s="172" t="str">
        <f>+Processes!O24</f>
        <v>INDHFO</v>
      </c>
      <c r="F43" s="172" t="str">
        <f ca="1">+OFFSET(Processes!$M$12,$D$11,0) &amp; Processes!P24</f>
        <v>ICDCO</v>
      </c>
      <c r="G43" s="322">
        <f t="shared" ref="G43:I50" si="53">ROUNDUP(AN43/($Z43*$AA43)*G$21*W43,3)</f>
        <v>0</v>
      </c>
      <c r="H43" s="322">
        <f t="shared" si="53"/>
        <v>0</v>
      </c>
      <c r="I43" s="322">
        <f t="shared" si="53"/>
        <v>0</v>
      </c>
      <c r="J43" s="322">
        <f t="shared" ref="J43:L50" si="54">ROUNDUP(BA43/($Z43*$AA43)*J$21*W43,3)</f>
        <v>0</v>
      </c>
      <c r="K43" s="322">
        <f t="shared" si="54"/>
        <v>0</v>
      </c>
      <c r="L43" s="322">
        <f t="shared" si="54"/>
        <v>0</v>
      </c>
      <c r="M43" s="322">
        <f t="shared" ref="M43:O50" si="55">ROUNDUP(BN43/($Z43*$AA43)*M$21*W43,3)</f>
        <v>0</v>
      </c>
      <c r="N43" s="322">
        <f t="shared" si="55"/>
        <v>0</v>
      </c>
      <c r="O43" s="322">
        <f t="shared" si="55"/>
        <v>0</v>
      </c>
      <c r="P43" s="322">
        <f t="shared" si="3"/>
        <v>0</v>
      </c>
      <c r="Q43" s="322">
        <f t="shared" si="4"/>
        <v>0</v>
      </c>
      <c r="R43" s="322">
        <f t="shared" si="5"/>
        <v>0</v>
      </c>
      <c r="S43" s="322">
        <f t="shared" si="6"/>
        <v>0</v>
      </c>
      <c r="T43" s="322">
        <f t="shared" si="7"/>
        <v>0</v>
      </c>
      <c r="U43" s="322">
        <f t="shared" si="8"/>
        <v>0</v>
      </c>
      <c r="V43" s="322">
        <v>5</v>
      </c>
      <c r="W43" s="343">
        <f>E132</f>
        <v>0.91237999999999997</v>
      </c>
      <c r="X43" s="522">
        <f t="shared" ref="X43:Y45" si="56">W43</f>
        <v>0.91237999999999997</v>
      </c>
      <c r="Y43" s="522">
        <f t="shared" si="56"/>
        <v>0.91237999999999997</v>
      </c>
      <c r="Z43" s="326">
        <f t="shared" si="41"/>
        <v>3.1536000000000002E-2</v>
      </c>
      <c r="AA43" s="392">
        <f t="shared" ref="AA43:AA50" si="57">$AA$26</f>
        <v>0.5</v>
      </c>
      <c r="AB43" s="331">
        <v>20</v>
      </c>
      <c r="AC43" s="319"/>
      <c r="AD43" s="319"/>
      <c r="AE43" s="331"/>
      <c r="AG43" s="236">
        <f>((G43*Z43*AA43/W43)+(H43*Z43*AA43/X43))/$G$21</f>
        <v>0</v>
      </c>
      <c r="AH43" s="236">
        <f t="shared" ref="AH43:AH50" si="58">((J43*Z43*AA43/W43)+(K43*Z43*AA43/X43))/$J$21</f>
        <v>0</v>
      </c>
      <c r="AI43" s="236">
        <f t="shared" ref="AI43:AI50" si="59">((M43*AA43*Z43/W43)+(N43*Z43*AA43/X43))/$M$21</f>
        <v>0</v>
      </c>
      <c r="AJ43" s="285"/>
      <c r="AK43" s="290"/>
      <c r="AL43" s="559" t="s">
        <v>101</v>
      </c>
      <c r="AM43" s="560">
        <f>E78/1000</f>
        <v>0</v>
      </c>
      <c r="AN43" s="562">
        <f t="shared" ref="AN43:AN55" si="60">AM43*$AN$23</f>
        <v>0</v>
      </c>
      <c r="AO43" s="562">
        <f>AM43*(1-$AN$23)</f>
        <v>0</v>
      </c>
      <c r="AP43" s="562"/>
      <c r="AQ43" s="582">
        <f t="shared" si="13"/>
        <v>0</v>
      </c>
      <c r="AR43" s="562">
        <f t="shared" si="14"/>
        <v>0</v>
      </c>
      <c r="AS43" s="563">
        <f t="shared" si="15"/>
        <v>0</v>
      </c>
      <c r="AT43" s="560">
        <f t="shared" ref="AT43:AV50" si="61">IFERROR(AQ43/W43,0)</f>
        <v>0</v>
      </c>
      <c r="AU43" s="561">
        <f t="shared" si="61"/>
        <v>0</v>
      </c>
      <c r="AV43" s="566">
        <f t="shared" si="61"/>
        <v>0</v>
      </c>
      <c r="AW43" s="285"/>
      <c r="AX43" s="290"/>
      <c r="AY43" s="559" t="s">
        <v>101</v>
      </c>
      <c r="AZ43" s="560">
        <f>E98/1000</f>
        <v>0</v>
      </c>
      <c r="BA43" s="562">
        <f t="shared" ref="BA43:BA50" si="62">AZ43*$AN$23</f>
        <v>0</v>
      </c>
      <c r="BB43" s="562">
        <f t="shared" si="43"/>
        <v>0</v>
      </c>
      <c r="BC43" s="562">
        <f t="shared" si="44"/>
        <v>0</v>
      </c>
      <c r="BD43" s="560">
        <f t="shared" si="18"/>
        <v>0</v>
      </c>
      <c r="BE43" s="561">
        <f t="shared" si="19"/>
        <v>0</v>
      </c>
      <c r="BF43" s="566">
        <f t="shared" si="20"/>
        <v>0</v>
      </c>
      <c r="BG43" s="560">
        <f t="shared" si="45"/>
        <v>0</v>
      </c>
      <c r="BH43" s="561">
        <f t="shared" si="46"/>
        <v>0</v>
      </c>
      <c r="BI43" s="566">
        <f t="shared" si="47"/>
        <v>0</v>
      </c>
      <c r="BJ43" s="285"/>
      <c r="BK43" s="290"/>
      <c r="BL43" s="559" t="s">
        <v>101</v>
      </c>
      <c r="BM43" s="560">
        <f>E118/1000</f>
        <v>0</v>
      </c>
      <c r="BN43" s="562">
        <f t="shared" ref="BN43:BN50" si="63">BM43*$AN$23</f>
        <v>0</v>
      </c>
      <c r="BO43" s="562">
        <f t="shared" si="48"/>
        <v>0</v>
      </c>
      <c r="BP43" s="562">
        <f t="shared" si="49"/>
        <v>0</v>
      </c>
      <c r="BQ43" s="560">
        <f t="shared" si="24"/>
        <v>0</v>
      </c>
      <c r="BR43" s="561">
        <f t="shared" si="25"/>
        <v>0</v>
      </c>
      <c r="BS43" s="566">
        <f t="shared" si="26"/>
        <v>0</v>
      </c>
      <c r="BT43" s="560">
        <f t="shared" si="50"/>
        <v>0</v>
      </c>
      <c r="BU43" s="561">
        <f t="shared" si="51"/>
        <v>0</v>
      </c>
      <c r="BV43" s="566">
        <f t="shared" si="52"/>
        <v>0</v>
      </c>
      <c r="BW43" s="285"/>
      <c r="BX43" s="285"/>
      <c r="BY43" s="285"/>
    </row>
    <row r="44" spans="3:77" ht="12.75" customHeight="1">
      <c r="C44" s="173" t="str">
        <f ca="1">+IF(OFFSET(Processes!B25,$D$11,0)="*","*",OFFSET(Processes!D25,$D$11,0))</f>
        <v>INDCDCOBLPGE1</v>
      </c>
      <c r="D44" s="173" t="str">
        <f ca="1">+OFFSET(Processes!E25,$D$11,0)</f>
        <v>Chemical industry Heat High Temp. Boiler - Liquified Petroleum Gas Existing 1</v>
      </c>
      <c r="E44" s="172" t="str">
        <f>+Processes!O25</f>
        <v>INDLPG</v>
      </c>
      <c r="F44" s="172" t="str">
        <f ca="1">+OFFSET(Processes!$M$12,$D$11,0) &amp; Processes!P25</f>
        <v>ICDCO</v>
      </c>
      <c r="G44" s="322">
        <f t="shared" si="53"/>
        <v>0</v>
      </c>
      <c r="H44" s="322">
        <f t="shared" si="53"/>
        <v>0</v>
      </c>
      <c r="I44" s="322">
        <f t="shared" si="53"/>
        <v>0</v>
      </c>
      <c r="J44" s="322">
        <f t="shared" si="54"/>
        <v>0</v>
      </c>
      <c r="K44" s="322">
        <f t="shared" si="54"/>
        <v>0</v>
      </c>
      <c r="L44" s="322">
        <f t="shared" si="54"/>
        <v>0</v>
      </c>
      <c r="M44" s="322" t="e">
        <f t="shared" si="55"/>
        <v>#REF!</v>
      </c>
      <c r="N44" s="322" t="e">
        <f t="shared" si="55"/>
        <v>#REF!</v>
      </c>
      <c r="O44" s="322" t="e">
        <f t="shared" si="55"/>
        <v>#REF!</v>
      </c>
      <c r="P44" s="322" t="e">
        <f t="shared" si="3"/>
        <v>#REF!</v>
      </c>
      <c r="Q44" s="322" t="e">
        <f t="shared" si="4"/>
        <v>#REF!</v>
      </c>
      <c r="R44" s="322" t="e">
        <f t="shared" si="5"/>
        <v>#REF!</v>
      </c>
      <c r="S44" s="322" t="e">
        <f t="shared" si="6"/>
        <v>#REF!</v>
      </c>
      <c r="T44" s="322" t="e">
        <f t="shared" si="7"/>
        <v>#REF!</v>
      </c>
      <c r="U44" s="322" t="e">
        <f t="shared" si="8"/>
        <v>#REF!</v>
      </c>
      <c r="V44" s="322">
        <v>5</v>
      </c>
      <c r="W44" s="343">
        <f>H132</f>
        <v>0.96039999999999992</v>
      </c>
      <c r="X44" s="522">
        <f t="shared" si="56"/>
        <v>0.96039999999999992</v>
      </c>
      <c r="Y44" s="522">
        <f t="shared" si="56"/>
        <v>0.96039999999999992</v>
      </c>
      <c r="Z44" s="326">
        <f t="shared" si="41"/>
        <v>3.1536000000000002E-2</v>
      </c>
      <c r="AA44" s="392">
        <f t="shared" si="57"/>
        <v>0.5</v>
      </c>
      <c r="AB44" s="331">
        <v>20</v>
      </c>
      <c r="AC44" s="319"/>
      <c r="AD44" s="319"/>
      <c r="AE44" s="331"/>
      <c r="AG44" s="236">
        <f>((G44*Z44*AA44/W44)+(H44*Z44*AA44/X44))/$G$21</f>
        <v>0</v>
      </c>
      <c r="AH44" s="236">
        <f t="shared" si="58"/>
        <v>0</v>
      </c>
      <c r="AI44" s="236" t="e">
        <f t="shared" si="59"/>
        <v>#REF!</v>
      </c>
      <c r="AJ44" s="285"/>
      <c r="AK44" s="290"/>
      <c r="AL44" s="559" t="s">
        <v>53</v>
      </c>
      <c r="AM44" s="560">
        <f>H78/1000</f>
        <v>0</v>
      </c>
      <c r="AN44" s="562">
        <f t="shared" si="60"/>
        <v>0</v>
      </c>
      <c r="AO44" s="562">
        <f>AM44*(1-$AN$23)</f>
        <v>0</v>
      </c>
      <c r="AP44" s="562"/>
      <c r="AQ44" s="582">
        <f t="shared" si="13"/>
        <v>0</v>
      </c>
      <c r="AR44" s="562">
        <f t="shared" si="14"/>
        <v>0</v>
      </c>
      <c r="AS44" s="563">
        <f t="shared" si="15"/>
        <v>0</v>
      </c>
      <c r="AT44" s="560">
        <f t="shared" si="61"/>
        <v>0</v>
      </c>
      <c r="AU44" s="561">
        <f t="shared" si="61"/>
        <v>0</v>
      </c>
      <c r="AV44" s="566">
        <f t="shared" si="61"/>
        <v>0</v>
      </c>
      <c r="AW44" s="285"/>
      <c r="AX44" s="290"/>
      <c r="AY44" s="559" t="s">
        <v>53</v>
      </c>
      <c r="AZ44" s="560">
        <f>H98/1000</f>
        <v>0</v>
      </c>
      <c r="BA44" s="562">
        <f t="shared" si="62"/>
        <v>0</v>
      </c>
      <c r="BB44" s="562">
        <f t="shared" si="43"/>
        <v>0</v>
      </c>
      <c r="BC44" s="562">
        <f t="shared" si="44"/>
        <v>0</v>
      </c>
      <c r="BD44" s="560">
        <f t="shared" si="18"/>
        <v>0</v>
      </c>
      <c r="BE44" s="561">
        <f t="shared" si="19"/>
        <v>0</v>
      </c>
      <c r="BF44" s="566">
        <f t="shared" si="20"/>
        <v>0</v>
      </c>
      <c r="BG44" s="560">
        <f t="shared" si="45"/>
        <v>0</v>
      </c>
      <c r="BH44" s="561">
        <f t="shared" si="46"/>
        <v>0</v>
      </c>
      <c r="BI44" s="566">
        <f t="shared" si="47"/>
        <v>0</v>
      </c>
      <c r="BJ44" s="285"/>
      <c r="BK44" s="290"/>
      <c r="BL44" s="559" t="s">
        <v>53</v>
      </c>
      <c r="BM44" s="560" t="e">
        <f>H118/1000</f>
        <v>#REF!</v>
      </c>
      <c r="BN44" s="562" t="e">
        <f t="shared" si="63"/>
        <v>#REF!</v>
      </c>
      <c r="BO44" s="562" t="e">
        <f t="shared" si="48"/>
        <v>#REF!</v>
      </c>
      <c r="BP44" s="562" t="e">
        <f t="shared" si="49"/>
        <v>#REF!</v>
      </c>
      <c r="BQ44" s="560">
        <f t="shared" si="24"/>
        <v>0</v>
      </c>
      <c r="BR44" s="561">
        <f t="shared" si="25"/>
        <v>0</v>
      </c>
      <c r="BS44" s="566">
        <f t="shared" si="26"/>
        <v>0</v>
      </c>
      <c r="BT44" s="560">
        <f t="shared" si="50"/>
        <v>0</v>
      </c>
      <c r="BU44" s="561">
        <f t="shared" si="51"/>
        <v>0</v>
      </c>
      <c r="BV44" s="566">
        <f t="shared" si="52"/>
        <v>0</v>
      </c>
      <c r="BW44" s="285"/>
      <c r="BX44" s="285"/>
      <c r="BY44" s="285"/>
    </row>
    <row r="45" spans="3:77" ht="12.75" customHeight="1">
      <c r="C45" s="173" t="str">
        <f ca="1">+IF(OFFSET(Processes!B26,$D$11,0)="*","*",OFFSET(Processes!D26,$D$11,0))</f>
        <v>INDCDCOBWSTE1</v>
      </c>
      <c r="D45" s="173" t="str">
        <f ca="1">+OFFSET(Processes!E26,$D$11,0)</f>
        <v>Chemical industry Heat High Temp. Boiler - Waste Existing 1</v>
      </c>
      <c r="E45" s="172" t="str">
        <f>+Processes!O26</f>
        <v>INDWST</v>
      </c>
      <c r="F45" s="172" t="str">
        <f ca="1">+OFFSET(Processes!$M$12,$D$11,0) &amp; Processes!P26</f>
        <v>ICDCO</v>
      </c>
      <c r="G45" s="322">
        <f t="shared" si="53"/>
        <v>0</v>
      </c>
      <c r="H45" s="322">
        <f t="shared" si="53"/>
        <v>0</v>
      </c>
      <c r="I45" s="322">
        <f t="shared" si="53"/>
        <v>0</v>
      </c>
      <c r="J45" s="322">
        <f t="shared" si="54"/>
        <v>0</v>
      </c>
      <c r="K45" s="322">
        <f t="shared" si="54"/>
        <v>0</v>
      </c>
      <c r="L45" s="322">
        <f t="shared" si="54"/>
        <v>0</v>
      </c>
      <c r="M45" s="322">
        <f t="shared" si="55"/>
        <v>0</v>
      </c>
      <c r="N45" s="322">
        <f t="shared" si="55"/>
        <v>0</v>
      </c>
      <c r="O45" s="322">
        <f t="shared" si="55"/>
        <v>0</v>
      </c>
      <c r="P45" s="322">
        <f t="shared" si="3"/>
        <v>0</v>
      </c>
      <c r="Q45" s="322">
        <f t="shared" si="4"/>
        <v>0</v>
      </c>
      <c r="R45" s="322">
        <f t="shared" si="5"/>
        <v>0</v>
      </c>
      <c r="S45" s="322">
        <f t="shared" si="6"/>
        <v>0</v>
      </c>
      <c r="T45" s="322">
        <f t="shared" si="7"/>
        <v>0</v>
      </c>
      <c r="U45" s="322">
        <f t="shared" si="8"/>
        <v>0</v>
      </c>
      <c r="V45" s="322">
        <v>5</v>
      </c>
      <c r="W45" s="343">
        <f>L132</f>
        <v>0.91237999999999997</v>
      </c>
      <c r="X45" s="522">
        <f t="shared" si="56"/>
        <v>0.91237999999999997</v>
      </c>
      <c r="Y45" s="522">
        <f t="shared" si="56"/>
        <v>0.91237999999999997</v>
      </c>
      <c r="Z45" s="326">
        <f t="shared" si="41"/>
        <v>3.1536000000000002E-2</v>
      </c>
      <c r="AA45" s="392">
        <f t="shared" si="57"/>
        <v>0.5</v>
      </c>
      <c r="AB45" s="331">
        <v>20</v>
      </c>
      <c r="AC45" s="326"/>
      <c r="AD45" s="326"/>
      <c r="AE45" s="331"/>
      <c r="AG45" s="236">
        <f>((G45*Z45*AA45/W45)+(H45*Z45*AA45/X45))/$G$21</f>
        <v>0</v>
      </c>
      <c r="AH45" s="236">
        <f t="shared" si="58"/>
        <v>0</v>
      </c>
      <c r="AI45" s="236">
        <f t="shared" si="59"/>
        <v>0</v>
      </c>
      <c r="AJ45" s="285"/>
      <c r="AK45" s="290"/>
      <c r="AL45" s="559" t="s">
        <v>102</v>
      </c>
      <c r="AM45" s="560">
        <f>$L78/1000</f>
        <v>0</v>
      </c>
      <c r="AN45" s="561">
        <f t="shared" si="60"/>
        <v>0</v>
      </c>
      <c r="AO45" s="562">
        <f>AM45*(1-$AN$23)</f>
        <v>0</v>
      </c>
      <c r="AP45" s="562"/>
      <c r="AQ45" s="582">
        <f t="shared" si="13"/>
        <v>0</v>
      </c>
      <c r="AR45" s="562">
        <f t="shared" si="14"/>
        <v>0</v>
      </c>
      <c r="AS45" s="563">
        <f t="shared" si="15"/>
        <v>0</v>
      </c>
      <c r="AT45" s="560">
        <f t="shared" si="61"/>
        <v>0</v>
      </c>
      <c r="AU45" s="561">
        <f t="shared" si="61"/>
        <v>0</v>
      </c>
      <c r="AV45" s="566">
        <f t="shared" si="61"/>
        <v>0</v>
      </c>
      <c r="AW45" s="285"/>
      <c r="AX45" s="290"/>
      <c r="AY45" s="559" t="s">
        <v>102</v>
      </c>
      <c r="AZ45" s="560">
        <f>$L98/1000</f>
        <v>0</v>
      </c>
      <c r="BA45" s="561">
        <f t="shared" si="62"/>
        <v>0</v>
      </c>
      <c r="BB45" s="562">
        <f t="shared" si="43"/>
        <v>0</v>
      </c>
      <c r="BC45" s="562">
        <f t="shared" si="44"/>
        <v>0</v>
      </c>
      <c r="BD45" s="560">
        <f t="shared" si="18"/>
        <v>0</v>
      </c>
      <c r="BE45" s="561">
        <f t="shared" si="19"/>
        <v>0</v>
      </c>
      <c r="BF45" s="566">
        <f t="shared" si="20"/>
        <v>0</v>
      </c>
      <c r="BG45" s="560">
        <f t="shared" si="45"/>
        <v>0</v>
      </c>
      <c r="BH45" s="561">
        <f t="shared" si="46"/>
        <v>0</v>
      </c>
      <c r="BI45" s="566">
        <f t="shared" si="47"/>
        <v>0</v>
      </c>
      <c r="BJ45" s="285"/>
      <c r="BK45" s="290"/>
      <c r="BL45" s="559" t="s">
        <v>102</v>
      </c>
      <c r="BM45" s="560">
        <f>$L118/1000</f>
        <v>0</v>
      </c>
      <c r="BN45" s="561">
        <f t="shared" si="63"/>
        <v>0</v>
      </c>
      <c r="BO45" s="562">
        <f t="shared" si="48"/>
        <v>0</v>
      </c>
      <c r="BP45" s="562">
        <f t="shared" si="49"/>
        <v>0</v>
      </c>
      <c r="BQ45" s="560">
        <f t="shared" si="24"/>
        <v>0</v>
      </c>
      <c r="BR45" s="561">
        <f t="shared" si="25"/>
        <v>0</v>
      </c>
      <c r="BS45" s="566">
        <f t="shared" si="26"/>
        <v>0</v>
      </c>
      <c r="BT45" s="560">
        <f t="shared" si="50"/>
        <v>0</v>
      </c>
      <c r="BU45" s="561">
        <f t="shared" si="51"/>
        <v>0</v>
      </c>
      <c r="BV45" s="566">
        <f t="shared" si="52"/>
        <v>0</v>
      </c>
      <c r="BW45" s="285"/>
      <c r="BX45" s="285"/>
      <c r="BY45" s="285"/>
    </row>
    <row r="46" spans="3:77" ht="12.75" customHeight="1">
      <c r="C46" s="148" t="str">
        <f ca="1">+IF(OFFSET(Processes!B27,$D$11,0)="*","*",OFFSET(Processes!D27,$D$11,0))</f>
        <v>INDCDCOBELCE1</v>
      </c>
      <c r="D46" s="148" t="str">
        <f ca="1">+OFFSET(Processes!E27,$D$11,0)</f>
        <v>Chemical industry Heat High Temp. Boiler - Electricity Existing 1</v>
      </c>
      <c r="E46" s="174" t="str">
        <f>+Processes!O27</f>
        <v>INDELC</v>
      </c>
      <c r="F46" s="174" t="str">
        <f ca="1">+OFFSET(Processes!$M$12,$D$11,0) &amp; Processes!P27</f>
        <v>ICDCO</v>
      </c>
      <c r="G46" s="324">
        <f t="shared" si="53"/>
        <v>1259.194</v>
      </c>
      <c r="H46" s="324">
        <f t="shared" si="53"/>
        <v>0</v>
      </c>
      <c r="I46" s="324">
        <f t="shared" si="53"/>
        <v>0</v>
      </c>
      <c r="J46" s="324">
        <f t="shared" si="54"/>
        <v>1237.33</v>
      </c>
      <c r="K46" s="324">
        <f t="shared" si="54"/>
        <v>0</v>
      </c>
      <c r="L46" s="324">
        <f t="shared" si="54"/>
        <v>0</v>
      </c>
      <c r="M46" s="324">
        <f t="shared" si="55"/>
        <v>56.236999999999995</v>
      </c>
      <c r="N46" s="324">
        <f t="shared" si="55"/>
        <v>0</v>
      </c>
      <c r="O46" s="324">
        <f t="shared" si="55"/>
        <v>0</v>
      </c>
      <c r="P46" s="324">
        <f t="shared" si="3"/>
        <v>56.236999999999995</v>
      </c>
      <c r="Q46" s="324">
        <f t="shared" si="4"/>
        <v>0</v>
      </c>
      <c r="R46" s="324">
        <f t="shared" si="5"/>
        <v>0</v>
      </c>
      <c r="S46" s="324">
        <f t="shared" si="6"/>
        <v>0</v>
      </c>
      <c r="T46" s="324">
        <f t="shared" si="7"/>
        <v>0</v>
      </c>
      <c r="U46" s="324">
        <f t="shared" si="8"/>
        <v>0</v>
      </c>
      <c r="V46" s="558">
        <v>5</v>
      </c>
      <c r="W46" s="345">
        <f>M132</f>
        <v>0.91237999999999997</v>
      </c>
      <c r="X46" s="523">
        <f t="shared" si="40"/>
        <v>0.91237999999999997</v>
      </c>
      <c r="Y46" s="523">
        <f t="shared" si="40"/>
        <v>0.91237999999999997</v>
      </c>
      <c r="Z46" s="320">
        <f t="shared" si="41"/>
        <v>3.1536000000000002E-2</v>
      </c>
      <c r="AA46" s="391">
        <f t="shared" si="57"/>
        <v>0.5</v>
      </c>
      <c r="AB46" s="330">
        <v>20</v>
      </c>
      <c r="AC46" s="320"/>
      <c r="AD46" s="320"/>
      <c r="AE46" s="330"/>
      <c r="AG46" s="617">
        <f>((G46*Z46*AA46/W46)+(H46*Z46*AA46/X46))</f>
        <v>21.761734137092002</v>
      </c>
      <c r="AH46" s="236">
        <f t="shared" si="58"/>
        <v>21.172152996005007</v>
      </c>
      <c r="AI46" s="236">
        <f t="shared" si="59"/>
        <v>0.96228036824156349</v>
      </c>
      <c r="AJ46" s="285"/>
      <c r="AK46" s="355"/>
      <c r="AL46" s="567" t="s">
        <v>61</v>
      </c>
      <c r="AM46" s="619">
        <f>M78/1000</f>
        <v>20.725452000000001</v>
      </c>
      <c r="AN46" s="618">
        <f t="shared" si="60"/>
        <v>20.725452000000001</v>
      </c>
      <c r="AO46" s="576">
        <f>AM46*(1-$AN$23)</f>
        <v>0</v>
      </c>
      <c r="AP46" s="576"/>
      <c r="AQ46" s="620">
        <f t="shared" si="13"/>
        <v>18.909496182857144</v>
      </c>
      <c r="AR46" s="576">
        <f t="shared" si="14"/>
        <v>0</v>
      </c>
      <c r="AS46" s="577">
        <f t="shared" si="15"/>
        <v>0</v>
      </c>
      <c r="AT46" s="568">
        <f t="shared" si="61"/>
        <v>20.725461082944765</v>
      </c>
      <c r="AU46" s="569">
        <f t="shared" si="61"/>
        <v>0</v>
      </c>
      <c r="AV46" s="570">
        <f t="shared" si="61"/>
        <v>0</v>
      </c>
      <c r="AW46" s="285"/>
      <c r="AX46" s="355"/>
      <c r="AY46" s="567" t="s">
        <v>61</v>
      </c>
      <c r="AZ46" s="568">
        <f>M98/1000</f>
        <v>21.172139999999999</v>
      </c>
      <c r="BA46" s="576">
        <f t="shared" si="62"/>
        <v>21.172139999999999</v>
      </c>
      <c r="BB46" s="576">
        <f t="shared" si="43"/>
        <v>0</v>
      </c>
      <c r="BC46" s="576">
        <f t="shared" si="44"/>
        <v>0</v>
      </c>
      <c r="BD46" s="568">
        <f t="shared" si="18"/>
        <v>19.31704895049505</v>
      </c>
      <c r="BE46" s="569">
        <f t="shared" si="19"/>
        <v>0</v>
      </c>
      <c r="BF46" s="570">
        <f t="shared" si="20"/>
        <v>0</v>
      </c>
      <c r="BG46" s="568">
        <f t="shared" si="45"/>
        <v>21.172152996005011</v>
      </c>
      <c r="BH46" s="569">
        <f t="shared" si="46"/>
        <v>0</v>
      </c>
      <c r="BI46" s="570">
        <f t="shared" si="47"/>
        <v>0</v>
      </c>
      <c r="BJ46" s="285"/>
      <c r="BK46" s="355"/>
      <c r="BL46" s="567" t="s">
        <v>61</v>
      </c>
      <c r="BM46" s="568">
        <f>M118/1000</f>
        <v>0.96228000000000002</v>
      </c>
      <c r="BN46" s="576">
        <f t="shared" si="63"/>
        <v>0.96228000000000002</v>
      </c>
      <c r="BO46" s="576">
        <f t="shared" si="48"/>
        <v>0</v>
      </c>
      <c r="BP46" s="576">
        <f t="shared" si="49"/>
        <v>0</v>
      </c>
      <c r="BQ46" s="568">
        <f t="shared" si="24"/>
        <v>0.87796536237623757</v>
      </c>
      <c r="BR46" s="569">
        <f t="shared" si="25"/>
        <v>0</v>
      </c>
      <c r="BS46" s="570">
        <f t="shared" si="26"/>
        <v>0</v>
      </c>
      <c r="BT46" s="568">
        <f t="shared" si="50"/>
        <v>0.96228036824156338</v>
      </c>
      <c r="BU46" s="569">
        <f t="shared" si="51"/>
        <v>0</v>
      </c>
      <c r="BV46" s="570">
        <f t="shared" si="52"/>
        <v>0</v>
      </c>
      <c r="BW46" s="285"/>
      <c r="BX46" s="285"/>
      <c r="BY46" s="285"/>
    </row>
    <row r="47" spans="3:77" ht="12.75" customHeight="1">
      <c r="C47" s="173" t="str">
        <f ca="1">+IF(OFFSET(Processes!B28,$D$11,0)="*","*",OFFSET(Processes!D28,$D$11,0))</f>
        <v>INDCDSHBNGAE1</v>
      </c>
      <c r="D47" s="146" t="str">
        <f ca="1">+OFFSET(Processes!E28,$D$11,0)</f>
        <v>Chemical industry Heat Room Boiler - Nat. Gas Existing 1</v>
      </c>
      <c r="E47" s="149" t="str">
        <f>+Processes!O28</f>
        <v>INDSNG1,INDSNG2,INDNGA</v>
      </c>
      <c r="F47" s="149" t="str">
        <f ca="1">+OFFSET(Processes!$M$12,$D$11,0) &amp; Processes!P28</f>
        <v>ICDSH</v>
      </c>
      <c r="G47" s="322">
        <f t="shared" si="53"/>
        <v>1492.4680000000001</v>
      </c>
      <c r="H47" s="322">
        <f t="shared" si="53"/>
        <v>0</v>
      </c>
      <c r="I47" s="322">
        <f t="shared" si="53"/>
        <v>0</v>
      </c>
      <c r="J47" s="322">
        <f t="shared" si="54"/>
        <v>1311.7090000000001</v>
      </c>
      <c r="K47" s="322">
        <f t="shared" si="54"/>
        <v>0</v>
      </c>
      <c r="L47" s="322">
        <f t="shared" si="54"/>
        <v>0</v>
      </c>
      <c r="M47" s="322">
        <f t="shared" si="55"/>
        <v>10.837999999999999</v>
      </c>
      <c r="N47" s="322">
        <f t="shared" si="55"/>
        <v>0</v>
      </c>
      <c r="O47" s="322">
        <f t="shared" si="55"/>
        <v>0</v>
      </c>
      <c r="P47" s="322">
        <f t="shared" si="3"/>
        <v>10.837999999999999</v>
      </c>
      <c r="Q47" s="322">
        <f t="shared" si="4"/>
        <v>0</v>
      </c>
      <c r="R47" s="322">
        <f t="shared" si="5"/>
        <v>0</v>
      </c>
      <c r="S47" s="322">
        <f t="shared" si="6"/>
        <v>0</v>
      </c>
      <c r="T47" s="322">
        <f t="shared" si="7"/>
        <v>0</v>
      </c>
      <c r="U47" s="322">
        <f t="shared" si="8"/>
        <v>0</v>
      </c>
      <c r="V47" s="322">
        <v>5</v>
      </c>
      <c r="W47" s="343">
        <f>I136</f>
        <v>1</v>
      </c>
      <c r="X47" s="522">
        <f t="shared" si="40"/>
        <v>1</v>
      </c>
      <c r="Y47" s="522">
        <f t="shared" si="40"/>
        <v>1</v>
      </c>
      <c r="Z47" s="319">
        <f t="shared" si="41"/>
        <v>3.1536000000000002E-2</v>
      </c>
      <c r="AA47" s="392">
        <f t="shared" si="57"/>
        <v>0.5</v>
      </c>
      <c r="AB47" s="331">
        <v>20</v>
      </c>
      <c r="AC47" s="326"/>
      <c r="AD47" s="319"/>
      <c r="AE47" s="331"/>
      <c r="AG47" s="236">
        <f>((G47*Z47*AA47/W47)+(H47*Z47*AA47/X47))/$G$21</f>
        <v>22.412605165714286</v>
      </c>
      <c r="AH47" s="236">
        <f t="shared" si="58"/>
        <v>20.47824506138614</v>
      </c>
      <c r="AI47" s="236">
        <f t="shared" si="59"/>
        <v>0.16920156831683167</v>
      </c>
      <c r="AJ47" s="285"/>
      <c r="AK47" s="530" t="str">
        <f ca="1">F47</f>
        <v>ICDSH</v>
      </c>
      <c r="AL47" s="571" t="s">
        <v>97</v>
      </c>
      <c r="AM47" s="572">
        <f>I82/1000</f>
        <v>22.412600700000002</v>
      </c>
      <c r="AN47" s="574">
        <f t="shared" si="60"/>
        <v>22.412600700000002</v>
      </c>
      <c r="AO47" s="562">
        <f t="shared" ref="AO47:AO55" si="64">AM47*$AO$23</f>
        <v>0</v>
      </c>
      <c r="AP47" s="562">
        <f t="shared" ref="AP47:AP55" si="65">AM47*$AP$23</f>
        <v>0</v>
      </c>
      <c r="AQ47" s="582">
        <f t="shared" si="13"/>
        <v>22.412605165714286</v>
      </c>
      <c r="AR47" s="562">
        <f t="shared" si="14"/>
        <v>0</v>
      </c>
      <c r="AS47" s="563">
        <f t="shared" si="15"/>
        <v>0</v>
      </c>
      <c r="AT47" s="572">
        <f t="shared" si="61"/>
        <v>22.412605165714286</v>
      </c>
      <c r="AU47" s="574">
        <f t="shared" si="61"/>
        <v>0</v>
      </c>
      <c r="AV47" s="575">
        <f t="shared" si="61"/>
        <v>0</v>
      </c>
      <c r="AW47" s="285"/>
      <c r="AX47" s="530" t="str">
        <f t="shared" ca="1" si="17"/>
        <v>ICDSH</v>
      </c>
      <c r="AY47" s="571" t="s">
        <v>97</v>
      </c>
      <c r="AZ47" s="572">
        <f>I102/1000</f>
        <v>20.478240000000003</v>
      </c>
      <c r="BA47" s="574">
        <f t="shared" si="62"/>
        <v>20.478240000000003</v>
      </c>
      <c r="BB47" s="562">
        <f t="shared" si="43"/>
        <v>0</v>
      </c>
      <c r="BC47" s="562">
        <f t="shared" si="44"/>
        <v>0</v>
      </c>
      <c r="BD47" s="572">
        <f t="shared" si="18"/>
        <v>20.47824506138614</v>
      </c>
      <c r="BE47" s="574">
        <f t="shared" si="19"/>
        <v>0</v>
      </c>
      <c r="BF47" s="575">
        <f t="shared" si="20"/>
        <v>0</v>
      </c>
      <c r="BG47" s="572">
        <f t="shared" si="45"/>
        <v>20.47824506138614</v>
      </c>
      <c r="BH47" s="574">
        <f t="shared" si="46"/>
        <v>0</v>
      </c>
      <c r="BI47" s="575">
        <f t="shared" si="47"/>
        <v>0</v>
      </c>
      <c r="BJ47" s="285"/>
      <c r="BK47" s="530" t="str">
        <f ca="1">AK47</f>
        <v>ICDSH</v>
      </c>
      <c r="BL47" s="571" t="s">
        <v>97</v>
      </c>
      <c r="BM47" s="572">
        <f>I122/1000</f>
        <v>0.16920000000000002</v>
      </c>
      <c r="BN47" s="574">
        <f t="shared" si="63"/>
        <v>0.16920000000000002</v>
      </c>
      <c r="BO47" s="562">
        <f t="shared" si="48"/>
        <v>0</v>
      </c>
      <c r="BP47" s="562">
        <f t="shared" si="49"/>
        <v>0</v>
      </c>
      <c r="BQ47" s="572">
        <f t="shared" si="24"/>
        <v>0.16920156831683167</v>
      </c>
      <c r="BR47" s="574">
        <f t="shared" si="25"/>
        <v>0</v>
      </c>
      <c r="BS47" s="575">
        <f t="shared" si="26"/>
        <v>0</v>
      </c>
      <c r="BT47" s="572">
        <f t="shared" si="50"/>
        <v>0.16920156831683167</v>
      </c>
      <c r="BU47" s="574">
        <f t="shared" si="51"/>
        <v>0</v>
      </c>
      <c r="BV47" s="575">
        <f t="shared" si="52"/>
        <v>0</v>
      </c>
      <c r="BW47" s="285"/>
      <c r="BX47" s="285"/>
      <c r="BY47" s="285"/>
    </row>
    <row r="48" spans="3:77" ht="12.75" customHeight="1">
      <c r="C48" s="173" t="str">
        <f ca="1">+IF(OFFSET(Processes!B29,$D$11,0)="*","*",OFFSET(Processes!D29,$D$11,0))</f>
        <v>INDCDSHBCOAE1</v>
      </c>
      <c r="D48" s="146" t="str">
        <f ca="1">+OFFSET(Processes!E29,$D$11,0)</f>
        <v>Chemical industry Heat Room Boiler - Coal Existing 1</v>
      </c>
      <c r="E48" s="149" t="str">
        <f>+Processes!O29</f>
        <v>INDCOA</v>
      </c>
      <c r="F48" s="149" t="str">
        <f ca="1">+OFFSET(Processes!$M$12,$D$11,0) &amp; Processes!P29</f>
        <v>ICDSH</v>
      </c>
      <c r="G48" s="322">
        <f t="shared" si="53"/>
        <v>0</v>
      </c>
      <c r="H48" s="322">
        <f t="shared" si="53"/>
        <v>0</v>
      </c>
      <c r="I48" s="322">
        <f t="shared" si="53"/>
        <v>0</v>
      </c>
      <c r="J48" s="322">
        <f t="shared" si="54"/>
        <v>0</v>
      </c>
      <c r="K48" s="322">
        <f t="shared" si="54"/>
        <v>0</v>
      </c>
      <c r="L48" s="322">
        <f t="shared" si="54"/>
        <v>0</v>
      </c>
      <c r="M48" s="322">
        <f t="shared" si="55"/>
        <v>0</v>
      </c>
      <c r="N48" s="322">
        <f t="shared" si="55"/>
        <v>0</v>
      </c>
      <c r="O48" s="322">
        <f t="shared" si="55"/>
        <v>0</v>
      </c>
      <c r="P48" s="322">
        <f t="shared" si="3"/>
        <v>0</v>
      </c>
      <c r="Q48" s="322">
        <f t="shared" si="4"/>
        <v>0</v>
      </c>
      <c r="R48" s="322">
        <f t="shared" si="5"/>
        <v>0</v>
      </c>
      <c r="S48" s="322">
        <f t="shared" si="6"/>
        <v>0</v>
      </c>
      <c r="T48" s="322">
        <f t="shared" si="7"/>
        <v>0</v>
      </c>
      <c r="U48" s="322">
        <f t="shared" si="8"/>
        <v>0</v>
      </c>
      <c r="V48" s="322">
        <v>5</v>
      </c>
      <c r="W48" s="343">
        <f>D136</f>
        <v>0.95</v>
      </c>
      <c r="X48" s="522">
        <f t="shared" si="40"/>
        <v>0.95</v>
      </c>
      <c r="Y48" s="522">
        <f t="shared" si="40"/>
        <v>0.95</v>
      </c>
      <c r="Z48" s="319">
        <f t="shared" si="41"/>
        <v>3.1536000000000002E-2</v>
      </c>
      <c r="AA48" s="390">
        <f t="shared" si="57"/>
        <v>0.5</v>
      </c>
      <c r="AB48" s="329">
        <v>20</v>
      </c>
      <c r="AC48" s="326"/>
      <c r="AD48" s="319"/>
      <c r="AE48" s="331"/>
      <c r="AG48" s="236">
        <f>((G48*Z48*AA48/W48)+(H48*Z48*AA48/X48))/$G$21</f>
        <v>0</v>
      </c>
      <c r="AH48" s="236">
        <f t="shared" si="58"/>
        <v>0</v>
      </c>
      <c r="AI48" s="236">
        <f t="shared" si="59"/>
        <v>0</v>
      </c>
      <c r="AJ48" s="285"/>
      <c r="AK48" s="356"/>
      <c r="AL48" s="559" t="s">
        <v>98</v>
      </c>
      <c r="AM48" s="560">
        <f>D82/1000</f>
        <v>0</v>
      </c>
      <c r="AN48" s="561">
        <f t="shared" si="60"/>
        <v>0</v>
      </c>
      <c r="AO48" s="562">
        <f t="shared" si="64"/>
        <v>0</v>
      </c>
      <c r="AP48" s="562">
        <f t="shared" si="65"/>
        <v>0</v>
      </c>
      <c r="AQ48" s="582">
        <f t="shared" si="13"/>
        <v>0</v>
      </c>
      <c r="AR48" s="562">
        <f t="shared" si="14"/>
        <v>0</v>
      </c>
      <c r="AS48" s="563">
        <f t="shared" si="15"/>
        <v>0</v>
      </c>
      <c r="AT48" s="560">
        <f t="shared" si="61"/>
        <v>0</v>
      </c>
      <c r="AU48" s="561">
        <f t="shared" si="61"/>
        <v>0</v>
      </c>
      <c r="AV48" s="566">
        <f t="shared" si="61"/>
        <v>0</v>
      </c>
      <c r="AW48" s="285"/>
      <c r="AX48" s="356"/>
      <c r="AY48" s="559" t="s">
        <v>98</v>
      </c>
      <c r="AZ48" s="560">
        <f>D102/1000</f>
        <v>0</v>
      </c>
      <c r="BA48" s="561">
        <f t="shared" si="62"/>
        <v>0</v>
      </c>
      <c r="BB48" s="562">
        <f t="shared" si="43"/>
        <v>0</v>
      </c>
      <c r="BC48" s="562">
        <f t="shared" si="44"/>
        <v>0</v>
      </c>
      <c r="BD48" s="560">
        <f t="shared" si="18"/>
        <v>0</v>
      </c>
      <c r="BE48" s="561">
        <f t="shared" si="19"/>
        <v>0</v>
      </c>
      <c r="BF48" s="566">
        <f t="shared" si="20"/>
        <v>0</v>
      </c>
      <c r="BG48" s="560">
        <f t="shared" si="45"/>
        <v>0</v>
      </c>
      <c r="BH48" s="561">
        <f t="shared" si="46"/>
        <v>0</v>
      </c>
      <c r="BI48" s="566">
        <f t="shared" si="47"/>
        <v>0</v>
      </c>
      <c r="BJ48" s="285"/>
      <c r="BK48" s="356"/>
      <c r="BL48" s="559" t="s">
        <v>98</v>
      </c>
      <c r="BM48" s="560">
        <f>D122/1000</f>
        <v>0</v>
      </c>
      <c r="BN48" s="561">
        <f t="shared" si="63"/>
        <v>0</v>
      </c>
      <c r="BO48" s="562">
        <f t="shared" si="48"/>
        <v>0</v>
      </c>
      <c r="BP48" s="562">
        <f t="shared" si="49"/>
        <v>0</v>
      </c>
      <c r="BQ48" s="560">
        <f t="shared" si="24"/>
        <v>0</v>
      </c>
      <c r="BR48" s="561">
        <f t="shared" si="25"/>
        <v>0</v>
      </c>
      <c r="BS48" s="566">
        <f t="shared" si="26"/>
        <v>0</v>
      </c>
      <c r="BT48" s="560">
        <f t="shared" si="50"/>
        <v>0</v>
      </c>
      <c r="BU48" s="561">
        <f t="shared" si="51"/>
        <v>0</v>
      </c>
      <c r="BV48" s="566">
        <f t="shared" si="52"/>
        <v>0</v>
      </c>
      <c r="BW48" s="285"/>
      <c r="BX48" s="285"/>
      <c r="BY48" s="285"/>
    </row>
    <row r="49" spans="3:77" ht="12.75" customHeight="1">
      <c r="C49" s="173" t="str">
        <f ca="1">+IF(OFFSET(Processes!B30,$D$11,0)="*","*",OFFSET(Processes!D30,$D$11,0))</f>
        <v>INDCDSHBDSLE1</v>
      </c>
      <c r="D49" s="146" t="str">
        <f ca="1">+OFFSET(Processes!E30,$D$11,0)</f>
        <v>Chemical industry Heat Room Boiler - Diesel Existing 1</v>
      </c>
      <c r="E49" s="149" t="str">
        <f>+Processes!O30</f>
        <v>INDDSB1,INDDSB2,INDDSL</v>
      </c>
      <c r="F49" s="149" t="str">
        <f ca="1">+OFFSET(Processes!$M$12,$D$11,0) &amp; Processes!P30</f>
        <v>ICDSH</v>
      </c>
      <c r="G49" s="322">
        <f t="shared" si="53"/>
        <v>0</v>
      </c>
      <c r="H49" s="322">
        <f t="shared" si="53"/>
        <v>0</v>
      </c>
      <c r="I49" s="322">
        <f t="shared" si="53"/>
        <v>0</v>
      </c>
      <c r="J49" s="322">
        <f t="shared" si="54"/>
        <v>0</v>
      </c>
      <c r="K49" s="322">
        <f t="shared" si="54"/>
        <v>0</v>
      </c>
      <c r="L49" s="322">
        <f t="shared" si="54"/>
        <v>0</v>
      </c>
      <c r="M49" s="322">
        <f t="shared" si="55"/>
        <v>0</v>
      </c>
      <c r="N49" s="322">
        <f t="shared" si="55"/>
        <v>0</v>
      </c>
      <c r="O49" s="322">
        <f t="shared" si="55"/>
        <v>0</v>
      </c>
      <c r="P49" s="322">
        <f t="shared" si="3"/>
        <v>0</v>
      </c>
      <c r="Q49" s="322">
        <f t="shared" si="4"/>
        <v>0</v>
      </c>
      <c r="R49" s="322">
        <f t="shared" si="5"/>
        <v>0</v>
      </c>
      <c r="S49" s="322">
        <f t="shared" si="6"/>
        <v>0</v>
      </c>
      <c r="T49" s="322">
        <f t="shared" si="7"/>
        <v>0</v>
      </c>
      <c r="U49" s="322">
        <f t="shared" si="8"/>
        <v>0</v>
      </c>
      <c r="V49" s="322">
        <v>5</v>
      </c>
      <c r="W49" s="343">
        <f>F136</f>
        <v>0.96</v>
      </c>
      <c r="X49" s="522">
        <f t="shared" si="40"/>
        <v>0.96</v>
      </c>
      <c r="Y49" s="522">
        <f t="shared" si="40"/>
        <v>0.96</v>
      </c>
      <c r="Z49" s="319">
        <f t="shared" si="41"/>
        <v>3.1536000000000002E-2</v>
      </c>
      <c r="AA49" s="392">
        <f t="shared" si="57"/>
        <v>0.5</v>
      </c>
      <c r="AB49" s="331">
        <v>20</v>
      </c>
      <c r="AC49" s="326"/>
      <c r="AD49" s="319"/>
      <c r="AE49" s="331"/>
      <c r="AG49" s="236">
        <f>((G49*Z49*AA49/W49)+(H49*Z49*AA49/X49))/$G$21</f>
        <v>0</v>
      </c>
      <c r="AH49" s="236">
        <f t="shared" si="58"/>
        <v>0</v>
      </c>
      <c r="AI49" s="236">
        <f t="shared" si="59"/>
        <v>0</v>
      </c>
      <c r="AJ49" s="285"/>
      <c r="AK49" s="356"/>
      <c r="AL49" s="559" t="s">
        <v>59</v>
      </c>
      <c r="AM49" s="560">
        <f>F82/1000</f>
        <v>0</v>
      </c>
      <c r="AN49" s="561">
        <f t="shared" si="60"/>
        <v>0</v>
      </c>
      <c r="AO49" s="562">
        <f t="shared" si="64"/>
        <v>0</v>
      </c>
      <c r="AP49" s="562">
        <f t="shared" si="65"/>
        <v>0</v>
      </c>
      <c r="AQ49" s="582">
        <f t="shared" si="13"/>
        <v>0</v>
      </c>
      <c r="AR49" s="562">
        <f t="shared" si="14"/>
        <v>0</v>
      </c>
      <c r="AS49" s="563">
        <f t="shared" si="15"/>
        <v>0</v>
      </c>
      <c r="AT49" s="560">
        <f t="shared" si="61"/>
        <v>0</v>
      </c>
      <c r="AU49" s="561">
        <f t="shared" si="61"/>
        <v>0</v>
      </c>
      <c r="AV49" s="566">
        <f t="shared" si="61"/>
        <v>0</v>
      </c>
      <c r="AW49" s="285"/>
      <c r="AX49" s="356"/>
      <c r="AY49" s="559" t="s">
        <v>59</v>
      </c>
      <c r="AZ49" s="560">
        <f>F102/1000</f>
        <v>0</v>
      </c>
      <c r="BA49" s="561">
        <f t="shared" si="62"/>
        <v>0</v>
      </c>
      <c r="BB49" s="562">
        <f t="shared" si="43"/>
        <v>0</v>
      </c>
      <c r="BC49" s="562">
        <f t="shared" si="44"/>
        <v>0</v>
      </c>
      <c r="BD49" s="560">
        <f t="shared" si="18"/>
        <v>0</v>
      </c>
      <c r="BE49" s="561">
        <f t="shared" si="19"/>
        <v>0</v>
      </c>
      <c r="BF49" s="566">
        <f t="shared" si="20"/>
        <v>0</v>
      </c>
      <c r="BG49" s="560">
        <f t="shared" si="45"/>
        <v>0</v>
      </c>
      <c r="BH49" s="561">
        <f t="shared" si="46"/>
        <v>0</v>
      </c>
      <c r="BI49" s="566">
        <f t="shared" si="47"/>
        <v>0</v>
      </c>
      <c r="BJ49" s="285"/>
      <c r="BK49" s="356"/>
      <c r="BL49" s="559" t="s">
        <v>59</v>
      </c>
      <c r="BM49" s="560">
        <f>F122/1000</f>
        <v>0</v>
      </c>
      <c r="BN49" s="561">
        <f t="shared" si="63"/>
        <v>0</v>
      </c>
      <c r="BO49" s="562">
        <f t="shared" si="48"/>
        <v>0</v>
      </c>
      <c r="BP49" s="562">
        <f t="shared" si="49"/>
        <v>0</v>
      </c>
      <c r="BQ49" s="560">
        <f t="shared" si="24"/>
        <v>0</v>
      </c>
      <c r="BR49" s="561">
        <f t="shared" si="25"/>
        <v>0</v>
      </c>
      <c r="BS49" s="566">
        <f t="shared" si="26"/>
        <v>0</v>
      </c>
      <c r="BT49" s="560">
        <f t="shared" si="50"/>
        <v>0</v>
      </c>
      <c r="BU49" s="561">
        <f t="shared" si="51"/>
        <v>0</v>
      </c>
      <c r="BV49" s="566">
        <f t="shared" si="52"/>
        <v>0</v>
      </c>
      <c r="BW49" s="285"/>
      <c r="BX49" s="285"/>
      <c r="BY49" s="285"/>
    </row>
    <row r="50" spans="3:77" ht="12.75" customHeight="1">
      <c r="C50" s="173" t="str">
        <f ca="1">+IF(OFFSET(Processes!B31,$D$11,0)="*","*",OFFSET(Processes!D31,$D$11,0))</f>
        <v>INDCDSHBWPEE1</v>
      </c>
      <c r="D50" s="146" t="str">
        <f ca="1">+OFFSET(Processes!E31,$D$11,0)</f>
        <v>Chemical industry Heat Room Boiler - Wood Pellets Existing 1</v>
      </c>
      <c r="E50" s="149" t="str">
        <f>+Processes!O31</f>
        <v>INDWPE</v>
      </c>
      <c r="F50" s="149" t="str">
        <f ca="1">+OFFSET(Processes!$M$12,$D$11,0) &amp; Processes!P31</f>
        <v>ICDSH</v>
      </c>
      <c r="G50" s="321">
        <f t="shared" si="53"/>
        <v>0</v>
      </c>
      <c r="H50" s="321">
        <f t="shared" si="53"/>
        <v>0</v>
      </c>
      <c r="I50" s="321">
        <f t="shared" si="53"/>
        <v>0</v>
      </c>
      <c r="J50" s="321">
        <f t="shared" si="54"/>
        <v>0</v>
      </c>
      <c r="K50" s="321">
        <f t="shared" si="54"/>
        <v>0</v>
      </c>
      <c r="L50" s="321">
        <f t="shared" si="54"/>
        <v>0</v>
      </c>
      <c r="M50" s="321">
        <f t="shared" si="55"/>
        <v>0</v>
      </c>
      <c r="N50" s="321">
        <f t="shared" si="55"/>
        <v>0</v>
      </c>
      <c r="O50" s="321">
        <f t="shared" si="55"/>
        <v>0</v>
      </c>
      <c r="P50" s="321">
        <f t="shared" si="3"/>
        <v>0</v>
      </c>
      <c r="Q50" s="321">
        <f t="shared" si="4"/>
        <v>0</v>
      </c>
      <c r="R50" s="321">
        <f t="shared" si="5"/>
        <v>0</v>
      </c>
      <c r="S50" s="321">
        <f t="shared" si="6"/>
        <v>0</v>
      </c>
      <c r="T50" s="321">
        <f t="shared" si="7"/>
        <v>0</v>
      </c>
      <c r="U50" s="321">
        <f t="shared" si="8"/>
        <v>0</v>
      </c>
      <c r="V50" s="321">
        <v>5</v>
      </c>
      <c r="W50" s="343">
        <f>K136</f>
        <v>0.85</v>
      </c>
      <c r="X50" s="522">
        <f t="shared" si="40"/>
        <v>0.85</v>
      </c>
      <c r="Y50" s="522">
        <f t="shared" si="40"/>
        <v>0.85</v>
      </c>
      <c r="Z50" s="319">
        <f t="shared" si="41"/>
        <v>3.1536000000000002E-2</v>
      </c>
      <c r="AA50" s="392">
        <f t="shared" si="57"/>
        <v>0.5</v>
      </c>
      <c r="AB50" s="331">
        <v>20</v>
      </c>
      <c r="AC50" s="319">
        <v>0.5</v>
      </c>
      <c r="AD50" s="319">
        <v>0.5</v>
      </c>
      <c r="AE50" s="331">
        <v>5</v>
      </c>
      <c r="AG50" s="236">
        <f>((G50*Z50*AA50/W50)+(H50*Z50*AA50/X50))/$G$21</f>
        <v>0</v>
      </c>
      <c r="AH50" s="236">
        <f t="shared" si="58"/>
        <v>0</v>
      </c>
      <c r="AI50" s="236">
        <f t="shared" si="59"/>
        <v>0</v>
      </c>
      <c r="AJ50" s="285"/>
      <c r="AK50" s="356"/>
      <c r="AL50" s="559" t="s">
        <v>99</v>
      </c>
      <c r="AM50" s="560">
        <f>K82/1000</f>
        <v>0</v>
      </c>
      <c r="AN50" s="561">
        <f t="shared" si="60"/>
        <v>0</v>
      </c>
      <c r="AO50" s="562">
        <f t="shared" si="64"/>
        <v>0</v>
      </c>
      <c r="AP50" s="562">
        <f t="shared" si="65"/>
        <v>0</v>
      </c>
      <c r="AQ50" s="582">
        <f t="shared" si="13"/>
        <v>0</v>
      </c>
      <c r="AR50" s="562">
        <f t="shared" si="14"/>
        <v>0</v>
      </c>
      <c r="AS50" s="563">
        <f t="shared" si="15"/>
        <v>0</v>
      </c>
      <c r="AT50" s="560">
        <f t="shared" si="61"/>
        <v>0</v>
      </c>
      <c r="AU50" s="561">
        <f t="shared" si="61"/>
        <v>0</v>
      </c>
      <c r="AV50" s="566">
        <f t="shared" si="61"/>
        <v>0</v>
      </c>
      <c r="AW50" s="285"/>
      <c r="AX50" s="356"/>
      <c r="AY50" s="559" t="s">
        <v>99</v>
      </c>
      <c r="AZ50" s="560">
        <f>K102/1000</f>
        <v>0</v>
      </c>
      <c r="BA50" s="561">
        <f t="shared" si="62"/>
        <v>0</v>
      </c>
      <c r="BB50" s="562">
        <f t="shared" si="43"/>
        <v>0</v>
      </c>
      <c r="BC50" s="562">
        <f t="shared" si="44"/>
        <v>0</v>
      </c>
      <c r="BD50" s="560">
        <f t="shared" si="18"/>
        <v>0</v>
      </c>
      <c r="BE50" s="561">
        <f t="shared" si="19"/>
        <v>0</v>
      </c>
      <c r="BF50" s="566">
        <f t="shared" si="20"/>
        <v>0</v>
      </c>
      <c r="BG50" s="560">
        <f t="shared" si="45"/>
        <v>0</v>
      </c>
      <c r="BH50" s="561">
        <f t="shared" si="46"/>
        <v>0</v>
      </c>
      <c r="BI50" s="566">
        <f t="shared" si="47"/>
        <v>0</v>
      </c>
      <c r="BJ50" s="285"/>
      <c r="BK50" s="356"/>
      <c r="BL50" s="559" t="s">
        <v>99</v>
      </c>
      <c r="BM50" s="560">
        <f>K122/1000</f>
        <v>0</v>
      </c>
      <c r="BN50" s="561">
        <f t="shared" si="63"/>
        <v>0</v>
      </c>
      <c r="BO50" s="562">
        <f t="shared" si="48"/>
        <v>0</v>
      </c>
      <c r="BP50" s="562">
        <f t="shared" si="49"/>
        <v>0</v>
      </c>
      <c r="BQ50" s="560">
        <f t="shared" si="24"/>
        <v>0</v>
      </c>
      <c r="BR50" s="561">
        <f t="shared" si="25"/>
        <v>0</v>
      </c>
      <c r="BS50" s="566">
        <f t="shared" si="26"/>
        <v>0</v>
      </c>
      <c r="BT50" s="560">
        <f t="shared" si="50"/>
        <v>0</v>
      </c>
      <c r="BU50" s="561">
        <f t="shared" si="51"/>
        <v>0</v>
      </c>
      <c r="BV50" s="566">
        <f t="shared" si="52"/>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3"/>
        <v>0</v>
      </c>
      <c r="Q51" s="321">
        <f t="shared" si="4"/>
        <v>0</v>
      </c>
      <c r="R51" s="321">
        <f t="shared" si="5"/>
        <v>0</v>
      </c>
      <c r="S51" s="321">
        <f t="shared" si="6"/>
        <v>0</v>
      </c>
      <c r="T51" s="321">
        <f t="shared" si="7"/>
        <v>0</v>
      </c>
      <c r="U51" s="321">
        <f t="shared" si="8"/>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60"/>
        <v>0</v>
      </c>
      <c r="AO51" s="562">
        <f t="shared" si="64"/>
        <v>0</v>
      </c>
      <c r="AP51" s="562">
        <f t="shared" si="65"/>
        <v>0</v>
      </c>
      <c r="AQ51" s="582">
        <f t="shared" si="13"/>
        <v>0</v>
      </c>
      <c r="AR51" s="562">
        <f t="shared" si="14"/>
        <v>0</v>
      </c>
      <c r="AS51" s="563">
        <f t="shared" si="15"/>
        <v>0</v>
      </c>
      <c r="AT51" s="560"/>
      <c r="AU51" s="561"/>
      <c r="AV51" s="566"/>
      <c r="AW51" s="285"/>
      <c r="AX51" s="356"/>
      <c r="AY51" s="559" t="s">
        <v>107</v>
      </c>
      <c r="AZ51" s="560"/>
      <c r="BA51" s="561"/>
      <c r="BB51" s="562">
        <f t="shared" si="43"/>
        <v>0</v>
      </c>
      <c r="BC51" s="562">
        <f t="shared" si="44"/>
        <v>0</v>
      </c>
      <c r="BD51" s="560">
        <f t="shared" si="18"/>
        <v>0</v>
      </c>
      <c r="BE51" s="561">
        <f t="shared" si="19"/>
        <v>0</v>
      </c>
      <c r="BF51" s="566">
        <f t="shared" si="20"/>
        <v>0</v>
      </c>
      <c r="BG51" s="560">
        <f t="shared" si="45"/>
        <v>0</v>
      </c>
      <c r="BH51" s="561">
        <f t="shared" si="46"/>
        <v>0</v>
      </c>
      <c r="BI51" s="566">
        <f t="shared" si="47"/>
        <v>0</v>
      </c>
      <c r="BJ51" s="285"/>
      <c r="BK51" s="356"/>
      <c r="BL51" s="559" t="s">
        <v>107</v>
      </c>
      <c r="BM51" s="560"/>
      <c r="BN51" s="561"/>
      <c r="BO51" s="562">
        <f t="shared" si="48"/>
        <v>0</v>
      </c>
      <c r="BP51" s="562">
        <f t="shared" si="49"/>
        <v>0</v>
      </c>
      <c r="BQ51" s="560">
        <f t="shared" si="24"/>
        <v>0</v>
      </c>
      <c r="BR51" s="561">
        <f t="shared" si="25"/>
        <v>0</v>
      </c>
      <c r="BS51" s="566">
        <f t="shared" si="26"/>
        <v>0</v>
      </c>
      <c r="BT51" s="560">
        <f t="shared" si="50"/>
        <v>0</v>
      </c>
      <c r="BU51" s="561">
        <f t="shared" si="51"/>
        <v>0</v>
      </c>
      <c r="BV51" s="566">
        <f t="shared" si="52"/>
        <v>0</v>
      </c>
      <c r="BW51" s="285"/>
      <c r="BX51" s="285"/>
      <c r="BY51" s="285"/>
    </row>
    <row r="52" spans="3:77" ht="12.75" customHeight="1">
      <c r="C52" s="173" t="str">
        <f ca="1">+IF(OFFSET(Processes!B33,$D$11,0)="*","*",OFFSET(Processes!D33,$D$11,0))</f>
        <v>INDCDSHBBGAE1</v>
      </c>
      <c r="D52" s="146" t="str">
        <f ca="1">+OFFSET(Processes!E33,$D$11,0)</f>
        <v>Chemical industry Heat Room Boiler - Biogas Existing 1</v>
      </c>
      <c r="E52" s="149" t="str">
        <f>+Processes!O33</f>
        <v>INDBGA</v>
      </c>
      <c r="F52" s="149" t="str">
        <f ca="1">+OFFSET(Processes!$M$12,$D$11,0) &amp; Processes!P33</f>
        <v>ICDSH</v>
      </c>
      <c r="G52" s="322">
        <f t="shared" ref="G52:I56" si="66">ROUNDUP(AN52/($Z52*$AA52)*G$21*W52,3)</f>
        <v>0</v>
      </c>
      <c r="H52" s="322">
        <f t="shared" si="66"/>
        <v>0</v>
      </c>
      <c r="I52" s="322">
        <f t="shared" si="66"/>
        <v>0</v>
      </c>
      <c r="J52" s="322" t="e">
        <f t="shared" ref="J52:L56" si="67">ROUNDUP(BA52/($Z52*$AA52)*J$21*W52,3)</f>
        <v>#REF!</v>
      </c>
      <c r="K52" s="322" t="e">
        <f t="shared" si="67"/>
        <v>#REF!</v>
      </c>
      <c r="L52" s="322" t="e">
        <f t="shared" si="67"/>
        <v>#REF!</v>
      </c>
      <c r="M52" s="322">
        <f t="shared" ref="M52:O56" si="68">ROUNDUP(BN52/($Z52*$AA52)*M$21*W52,3)</f>
        <v>0</v>
      </c>
      <c r="N52" s="322">
        <f t="shared" si="68"/>
        <v>0</v>
      </c>
      <c r="O52" s="322">
        <f t="shared" si="68"/>
        <v>0</v>
      </c>
      <c r="P52" s="322">
        <f t="shared" si="3"/>
        <v>0</v>
      </c>
      <c r="Q52" s="322">
        <f t="shared" si="4"/>
        <v>0</v>
      </c>
      <c r="R52" s="322">
        <f t="shared" si="5"/>
        <v>0</v>
      </c>
      <c r="S52" s="322">
        <f t="shared" si="6"/>
        <v>0</v>
      </c>
      <c r="T52" s="322">
        <f t="shared" si="7"/>
        <v>0</v>
      </c>
      <c r="U52" s="322">
        <f t="shared" si="8"/>
        <v>0</v>
      </c>
      <c r="V52" s="322">
        <v>5</v>
      </c>
      <c r="W52" s="343">
        <f>J136</f>
        <v>1</v>
      </c>
      <c r="X52" s="522">
        <f t="shared" ref="X52:Y58" si="69">W52</f>
        <v>1</v>
      </c>
      <c r="Y52" s="522">
        <f t="shared" si="69"/>
        <v>1</v>
      </c>
      <c r="Z52" s="319">
        <f>3.6*8760/1000000</f>
        <v>3.1536000000000002E-2</v>
      </c>
      <c r="AA52" s="392">
        <f t="shared" ref="AA52:AA60" si="70">$AA$26</f>
        <v>0.5</v>
      </c>
      <c r="AB52" s="331">
        <v>20</v>
      </c>
      <c r="AC52" s="326"/>
      <c r="AD52" s="319"/>
      <c r="AE52" s="331"/>
      <c r="AG52" s="236">
        <f t="shared" ref="AG52:AG62" si="71">((G52*Z52*AA52/W52)+(H52*Z52*AA52/X52))/$G$21</f>
        <v>0</v>
      </c>
      <c r="AH52" s="236" t="e">
        <f t="shared" ref="AH52:AH62" si="72">((J52*Z52*AA52/W52)+(K52*Z52*AA52/X52))/$J$21</f>
        <v>#REF!</v>
      </c>
      <c r="AI52" s="236">
        <f t="shared" ref="AI52:AI62" si="73">((M52*AA52*Z52/W52)+(N52*Z52*AA52/X52))/$M$21</f>
        <v>0</v>
      </c>
      <c r="AJ52" s="285"/>
      <c r="AK52" s="356"/>
      <c r="AL52" s="559" t="s">
        <v>100</v>
      </c>
      <c r="AM52" s="560">
        <f>J82/1000</f>
        <v>0</v>
      </c>
      <c r="AN52" s="561">
        <f t="shared" si="60"/>
        <v>0</v>
      </c>
      <c r="AO52" s="562">
        <f t="shared" si="64"/>
        <v>0</v>
      </c>
      <c r="AP52" s="562">
        <f t="shared" si="65"/>
        <v>0</v>
      </c>
      <c r="AQ52" s="582">
        <f t="shared" si="13"/>
        <v>0</v>
      </c>
      <c r="AR52" s="562">
        <f t="shared" si="14"/>
        <v>0</v>
      </c>
      <c r="AS52" s="563">
        <f t="shared" si="15"/>
        <v>0</v>
      </c>
      <c r="AT52" s="560">
        <f t="shared" ref="AT52:AV56" si="74">IFERROR(AQ52/W52,0)</f>
        <v>0</v>
      </c>
      <c r="AU52" s="561">
        <f t="shared" si="74"/>
        <v>0</v>
      </c>
      <c r="AV52" s="566">
        <f t="shared" si="74"/>
        <v>0</v>
      </c>
      <c r="AW52" s="285"/>
      <c r="AX52" s="356"/>
      <c r="AY52" s="559" t="s">
        <v>100</v>
      </c>
      <c r="AZ52" s="560" t="e">
        <f>J102/1000</f>
        <v>#REF!</v>
      </c>
      <c r="BA52" s="561" t="e">
        <f>AZ52*$AN$23</f>
        <v>#REF!</v>
      </c>
      <c r="BB52" s="562" t="e">
        <f t="shared" si="43"/>
        <v>#REF!</v>
      </c>
      <c r="BC52" s="562" t="e">
        <f t="shared" si="44"/>
        <v>#REF!</v>
      </c>
      <c r="BD52" s="560">
        <f t="shared" si="18"/>
        <v>0</v>
      </c>
      <c r="BE52" s="561">
        <f t="shared" si="19"/>
        <v>0</v>
      </c>
      <c r="BF52" s="566">
        <f t="shared" si="20"/>
        <v>0</v>
      </c>
      <c r="BG52" s="560">
        <f t="shared" si="45"/>
        <v>0</v>
      </c>
      <c r="BH52" s="561">
        <f t="shared" si="46"/>
        <v>0</v>
      </c>
      <c r="BI52" s="566">
        <f t="shared" si="47"/>
        <v>0</v>
      </c>
      <c r="BJ52" s="285"/>
      <c r="BK52" s="356"/>
      <c r="BL52" s="559" t="s">
        <v>100</v>
      </c>
      <c r="BM52" s="560">
        <f>J122/1000</f>
        <v>0</v>
      </c>
      <c r="BN52" s="561">
        <f>BM52*$AN$23</f>
        <v>0</v>
      </c>
      <c r="BO52" s="562">
        <f t="shared" si="48"/>
        <v>0</v>
      </c>
      <c r="BP52" s="562">
        <f t="shared" si="49"/>
        <v>0</v>
      </c>
      <c r="BQ52" s="560">
        <f t="shared" si="24"/>
        <v>0</v>
      </c>
      <c r="BR52" s="561">
        <f t="shared" si="25"/>
        <v>0</v>
      </c>
      <c r="BS52" s="566">
        <f t="shared" si="26"/>
        <v>0</v>
      </c>
      <c r="BT52" s="560">
        <f t="shared" si="50"/>
        <v>0</v>
      </c>
      <c r="BU52" s="561">
        <f t="shared" si="51"/>
        <v>0</v>
      </c>
      <c r="BV52" s="566">
        <f t="shared" si="52"/>
        <v>0</v>
      </c>
      <c r="BW52" s="285"/>
      <c r="BX52" s="285"/>
      <c r="BY52" s="285"/>
    </row>
    <row r="53" spans="3:77" ht="12.75" customHeight="1">
      <c r="C53" s="173" t="str">
        <f ca="1">+IF(OFFSET(Processes!B34,$D$11,0)="*","*",OFFSET(Processes!D34,$D$11,0))</f>
        <v>INDCDSHBHFOE1</v>
      </c>
      <c r="D53" s="146" t="str">
        <f ca="1">+OFFSET(Processes!E34,$D$11,0)</f>
        <v>Chemical industry Heat Room Boiler - Heavy Fuel Oil Existing 1</v>
      </c>
      <c r="E53" s="149" t="str">
        <f>+Processes!O34</f>
        <v>INDHFO</v>
      </c>
      <c r="F53" s="149" t="str">
        <f ca="1">+OFFSET(Processes!$M$12,$D$11,0) &amp; Processes!P34</f>
        <v>ICDSH</v>
      </c>
      <c r="G53" s="322">
        <f t="shared" si="66"/>
        <v>0</v>
      </c>
      <c r="H53" s="322">
        <f t="shared" si="66"/>
        <v>0</v>
      </c>
      <c r="I53" s="322">
        <f t="shared" si="66"/>
        <v>0</v>
      </c>
      <c r="J53" s="322">
        <f t="shared" si="67"/>
        <v>0</v>
      </c>
      <c r="K53" s="322">
        <f t="shared" si="67"/>
        <v>0</v>
      </c>
      <c r="L53" s="322">
        <f t="shared" si="67"/>
        <v>0</v>
      </c>
      <c r="M53" s="322">
        <f t="shared" si="68"/>
        <v>0</v>
      </c>
      <c r="N53" s="322">
        <f t="shared" si="68"/>
        <v>0</v>
      </c>
      <c r="O53" s="322">
        <f t="shared" si="68"/>
        <v>0</v>
      </c>
      <c r="P53" s="322">
        <f t="shared" si="3"/>
        <v>0</v>
      </c>
      <c r="Q53" s="322">
        <f t="shared" si="4"/>
        <v>0</v>
      </c>
      <c r="R53" s="322">
        <f t="shared" si="5"/>
        <v>0</v>
      </c>
      <c r="S53" s="322">
        <f t="shared" si="6"/>
        <v>0</v>
      </c>
      <c r="T53" s="322">
        <f t="shared" si="7"/>
        <v>0</v>
      </c>
      <c r="U53" s="322">
        <f t="shared" si="8"/>
        <v>0</v>
      </c>
      <c r="V53" s="322">
        <v>5</v>
      </c>
      <c r="W53" s="343">
        <f>E136</f>
        <v>0.95</v>
      </c>
      <c r="X53" s="522">
        <f t="shared" si="69"/>
        <v>0.95</v>
      </c>
      <c r="Y53" s="522">
        <f t="shared" si="69"/>
        <v>0.95</v>
      </c>
      <c r="Z53" s="319">
        <f>3.6*8760/1000000</f>
        <v>3.1536000000000002E-2</v>
      </c>
      <c r="AA53" s="392">
        <f t="shared" si="70"/>
        <v>0.5</v>
      </c>
      <c r="AB53" s="331">
        <v>20</v>
      </c>
      <c r="AC53" s="319"/>
      <c r="AD53" s="319"/>
      <c r="AE53" s="331"/>
      <c r="AG53" s="236">
        <f t="shared" si="71"/>
        <v>0</v>
      </c>
      <c r="AH53" s="236">
        <f t="shared" si="72"/>
        <v>0</v>
      </c>
      <c r="AI53" s="236">
        <f t="shared" si="73"/>
        <v>0</v>
      </c>
      <c r="AJ53" s="285"/>
      <c r="AK53" s="356"/>
      <c r="AL53" s="559" t="s">
        <v>101</v>
      </c>
      <c r="AM53" s="560">
        <f>E82/1000</f>
        <v>0</v>
      </c>
      <c r="AN53" s="561">
        <f t="shared" si="60"/>
        <v>0</v>
      </c>
      <c r="AO53" s="562">
        <f t="shared" si="64"/>
        <v>0</v>
      </c>
      <c r="AP53" s="562">
        <f t="shared" si="65"/>
        <v>0</v>
      </c>
      <c r="AQ53" s="582">
        <f t="shared" si="13"/>
        <v>0</v>
      </c>
      <c r="AR53" s="562">
        <f t="shared" si="14"/>
        <v>0</v>
      </c>
      <c r="AS53" s="563">
        <f t="shared" si="15"/>
        <v>0</v>
      </c>
      <c r="AT53" s="560">
        <f t="shared" si="74"/>
        <v>0</v>
      </c>
      <c r="AU53" s="561">
        <f t="shared" si="74"/>
        <v>0</v>
      </c>
      <c r="AV53" s="566">
        <f t="shared" si="74"/>
        <v>0</v>
      </c>
      <c r="AW53" s="285"/>
      <c r="AX53" s="356"/>
      <c r="AY53" s="559" t="s">
        <v>101</v>
      </c>
      <c r="AZ53" s="560">
        <f>E102/1000</f>
        <v>0</v>
      </c>
      <c r="BA53" s="561">
        <f>AZ53*$AN$23</f>
        <v>0</v>
      </c>
      <c r="BB53" s="562">
        <f t="shared" si="43"/>
        <v>0</v>
      </c>
      <c r="BC53" s="562">
        <f t="shared" si="44"/>
        <v>0</v>
      </c>
      <c r="BD53" s="560">
        <f t="shared" si="18"/>
        <v>0</v>
      </c>
      <c r="BE53" s="561">
        <f t="shared" si="19"/>
        <v>0</v>
      </c>
      <c r="BF53" s="566">
        <f t="shared" si="20"/>
        <v>0</v>
      </c>
      <c r="BG53" s="560">
        <f t="shared" si="45"/>
        <v>0</v>
      </c>
      <c r="BH53" s="561">
        <f t="shared" si="46"/>
        <v>0</v>
      </c>
      <c r="BI53" s="566">
        <f t="shared" si="47"/>
        <v>0</v>
      </c>
      <c r="BJ53" s="285"/>
      <c r="BK53" s="356"/>
      <c r="BL53" s="559" t="s">
        <v>101</v>
      </c>
      <c r="BM53" s="560">
        <f>E122/1000</f>
        <v>0</v>
      </c>
      <c r="BN53" s="561">
        <f>BM53*$AN$23</f>
        <v>0</v>
      </c>
      <c r="BO53" s="562">
        <f t="shared" si="48"/>
        <v>0</v>
      </c>
      <c r="BP53" s="562">
        <f t="shared" si="49"/>
        <v>0</v>
      </c>
      <c r="BQ53" s="560">
        <f t="shared" si="24"/>
        <v>0</v>
      </c>
      <c r="BR53" s="561">
        <f t="shared" si="25"/>
        <v>0</v>
      </c>
      <c r="BS53" s="566">
        <f t="shared" si="26"/>
        <v>0</v>
      </c>
      <c r="BT53" s="560">
        <f t="shared" si="50"/>
        <v>0</v>
      </c>
      <c r="BU53" s="561">
        <f t="shared" si="51"/>
        <v>0</v>
      </c>
      <c r="BV53" s="566">
        <f t="shared" si="52"/>
        <v>0</v>
      </c>
      <c r="BW53" s="285"/>
      <c r="BX53" s="285"/>
      <c r="BY53" s="285"/>
    </row>
    <row r="54" spans="3:77" ht="12.75" customHeight="1">
      <c r="C54" s="173" t="str">
        <f ca="1">+IF(OFFSET(Processes!B35,$D$11,0)="*","*",OFFSET(Processes!D35,$D$11,0))</f>
        <v>INDCDSHBLPGE1</v>
      </c>
      <c r="D54" s="146" t="str">
        <f ca="1">+OFFSET(Processes!E35,$D$11,0)</f>
        <v>Chemical industry Heat Room Boiler - Liquified Petroleum Gas Existing 1</v>
      </c>
      <c r="E54" s="149" t="str">
        <f>+Processes!O35</f>
        <v>INDLPG</v>
      </c>
      <c r="F54" s="149" t="str">
        <f ca="1">+OFFSET(Processes!$M$12,$D$11,0) &amp; Processes!P35</f>
        <v>ICDSH</v>
      </c>
      <c r="G54" s="322">
        <f t="shared" si="66"/>
        <v>0</v>
      </c>
      <c r="H54" s="322">
        <f t="shared" si="66"/>
        <v>0</v>
      </c>
      <c r="I54" s="322">
        <f t="shared" si="66"/>
        <v>0</v>
      </c>
      <c r="J54" s="322">
        <f t="shared" si="67"/>
        <v>0</v>
      </c>
      <c r="K54" s="322">
        <f t="shared" si="67"/>
        <v>0</v>
      </c>
      <c r="L54" s="322">
        <f t="shared" si="67"/>
        <v>0</v>
      </c>
      <c r="M54" s="322" t="e">
        <f t="shared" si="68"/>
        <v>#REF!</v>
      </c>
      <c r="N54" s="322" t="e">
        <f t="shared" si="68"/>
        <v>#REF!</v>
      </c>
      <c r="O54" s="322" t="e">
        <f t="shared" si="68"/>
        <v>#REF!</v>
      </c>
      <c r="P54" s="322" t="e">
        <f t="shared" si="3"/>
        <v>#REF!</v>
      </c>
      <c r="Q54" s="322" t="e">
        <f t="shared" si="4"/>
        <v>#REF!</v>
      </c>
      <c r="R54" s="322" t="e">
        <f t="shared" si="5"/>
        <v>#REF!</v>
      </c>
      <c r="S54" s="322" t="e">
        <f t="shared" si="6"/>
        <v>#REF!</v>
      </c>
      <c r="T54" s="322" t="e">
        <f t="shared" si="7"/>
        <v>#REF!</v>
      </c>
      <c r="U54" s="322" t="e">
        <f t="shared" si="8"/>
        <v>#REF!</v>
      </c>
      <c r="V54" s="322">
        <v>5</v>
      </c>
      <c r="W54" s="343">
        <f>H136</f>
        <v>1</v>
      </c>
      <c r="X54" s="522">
        <f t="shared" si="69"/>
        <v>1</v>
      </c>
      <c r="Y54" s="522">
        <f t="shared" si="69"/>
        <v>1</v>
      </c>
      <c r="Z54" s="319">
        <f>3.6*8760/1000000</f>
        <v>3.1536000000000002E-2</v>
      </c>
      <c r="AA54" s="392">
        <f t="shared" si="70"/>
        <v>0.5</v>
      </c>
      <c r="AB54" s="331">
        <v>20</v>
      </c>
      <c r="AC54" s="319"/>
      <c r="AD54" s="319"/>
      <c r="AE54" s="331"/>
      <c r="AG54" s="236">
        <f t="shared" si="71"/>
        <v>0</v>
      </c>
      <c r="AH54" s="236">
        <f t="shared" si="72"/>
        <v>0</v>
      </c>
      <c r="AI54" s="236" t="e">
        <f t="shared" si="73"/>
        <v>#REF!</v>
      </c>
      <c r="AJ54" s="285"/>
      <c r="AK54" s="356"/>
      <c r="AL54" s="559" t="s">
        <v>53</v>
      </c>
      <c r="AM54" s="560">
        <f>H82/1000</f>
        <v>0</v>
      </c>
      <c r="AN54" s="561">
        <f t="shared" si="60"/>
        <v>0</v>
      </c>
      <c r="AO54" s="562">
        <f t="shared" si="64"/>
        <v>0</v>
      </c>
      <c r="AP54" s="562">
        <f t="shared" si="65"/>
        <v>0</v>
      </c>
      <c r="AQ54" s="582">
        <f t="shared" si="13"/>
        <v>0</v>
      </c>
      <c r="AR54" s="562">
        <f t="shared" si="14"/>
        <v>0</v>
      </c>
      <c r="AS54" s="563">
        <f t="shared" si="15"/>
        <v>0</v>
      </c>
      <c r="AT54" s="560">
        <f t="shared" si="74"/>
        <v>0</v>
      </c>
      <c r="AU54" s="561">
        <f t="shared" si="74"/>
        <v>0</v>
      </c>
      <c r="AV54" s="566">
        <f t="shared" si="74"/>
        <v>0</v>
      </c>
      <c r="AW54" s="285"/>
      <c r="AX54" s="356"/>
      <c r="AY54" s="559" t="s">
        <v>53</v>
      </c>
      <c r="AZ54" s="560">
        <f>H102/1000</f>
        <v>0</v>
      </c>
      <c r="BA54" s="561">
        <f>AZ54*$AN$23</f>
        <v>0</v>
      </c>
      <c r="BB54" s="562">
        <f t="shared" si="43"/>
        <v>0</v>
      </c>
      <c r="BC54" s="562">
        <f t="shared" si="44"/>
        <v>0</v>
      </c>
      <c r="BD54" s="560">
        <f t="shared" si="18"/>
        <v>0</v>
      </c>
      <c r="BE54" s="561">
        <f t="shared" si="19"/>
        <v>0</v>
      </c>
      <c r="BF54" s="566">
        <f t="shared" si="20"/>
        <v>0</v>
      </c>
      <c r="BG54" s="560">
        <f t="shared" si="45"/>
        <v>0</v>
      </c>
      <c r="BH54" s="561">
        <f t="shared" si="46"/>
        <v>0</v>
      </c>
      <c r="BI54" s="566">
        <f t="shared" si="47"/>
        <v>0</v>
      </c>
      <c r="BJ54" s="285"/>
      <c r="BK54" s="356"/>
      <c r="BL54" s="559" t="s">
        <v>53</v>
      </c>
      <c r="BM54" s="560" t="e">
        <f>H122/1000</f>
        <v>#REF!</v>
      </c>
      <c r="BN54" s="561" t="e">
        <f>BM54*$AN$23</f>
        <v>#REF!</v>
      </c>
      <c r="BO54" s="562" t="e">
        <f t="shared" si="48"/>
        <v>#REF!</v>
      </c>
      <c r="BP54" s="562" t="e">
        <f t="shared" si="49"/>
        <v>#REF!</v>
      </c>
      <c r="BQ54" s="560">
        <f t="shared" si="24"/>
        <v>0</v>
      </c>
      <c r="BR54" s="561">
        <f t="shared" si="25"/>
        <v>0</v>
      </c>
      <c r="BS54" s="566">
        <f t="shared" si="26"/>
        <v>0</v>
      </c>
      <c r="BT54" s="560">
        <f t="shared" si="50"/>
        <v>0</v>
      </c>
      <c r="BU54" s="561">
        <f t="shared" si="51"/>
        <v>0</v>
      </c>
      <c r="BV54" s="566">
        <f t="shared" si="52"/>
        <v>0</v>
      </c>
      <c r="BW54" s="285"/>
      <c r="BX54" s="285"/>
      <c r="BY54" s="285"/>
    </row>
    <row r="55" spans="3:77" ht="12.75" customHeight="1">
      <c r="C55" s="173" t="str">
        <f ca="1">+IF(OFFSET(Processes!B36,$D$11,0)="*","*",OFFSET(Processes!D36,$D$11,0))</f>
        <v>INDCDSHBWSTE1</v>
      </c>
      <c r="D55" s="146" t="str">
        <f ca="1">+OFFSET(Processes!E36,$D$11,0)</f>
        <v>Chemical industry Heat Room Boiler - Waste Existing 1</v>
      </c>
      <c r="E55" s="149" t="str">
        <f>+Processes!O36</f>
        <v>INDWST</v>
      </c>
      <c r="F55" s="149" t="str">
        <f ca="1">+OFFSET(Processes!$M$12,$D$11,0) &amp; Processes!P36</f>
        <v>ICDSH</v>
      </c>
      <c r="G55" s="322">
        <f t="shared" si="66"/>
        <v>0</v>
      </c>
      <c r="H55" s="322">
        <f t="shared" si="66"/>
        <v>0</v>
      </c>
      <c r="I55" s="322">
        <f t="shared" si="66"/>
        <v>0</v>
      </c>
      <c r="J55" s="322">
        <f t="shared" si="67"/>
        <v>0</v>
      </c>
      <c r="K55" s="322">
        <f t="shared" si="67"/>
        <v>0</v>
      </c>
      <c r="L55" s="322">
        <f t="shared" si="67"/>
        <v>0</v>
      </c>
      <c r="M55" s="322">
        <f t="shared" si="68"/>
        <v>0</v>
      </c>
      <c r="N55" s="322">
        <f t="shared" si="68"/>
        <v>0</v>
      </c>
      <c r="O55" s="322">
        <f t="shared" si="68"/>
        <v>0</v>
      </c>
      <c r="P55" s="322">
        <f t="shared" si="3"/>
        <v>0</v>
      </c>
      <c r="Q55" s="322">
        <f t="shared" si="4"/>
        <v>0</v>
      </c>
      <c r="R55" s="322">
        <f t="shared" si="5"/>
        <v>0</v>
      </c>
      <c r="S55" s="322">
        <f t="shared" si="6"/>
        <v>0</v>
      </c>
      <c r="T55" s="322">
        <f t="shared" si="7"/>
        <v>0</v>
      </c>
      <c r="U55" s="322">
        <f t="shared" si="8"/>
        <v>0</v>
      </c>
      <c r="V55" s="322">
        <v>5</v>
      </c>
      <c r="W55" s="343">
        <f>L136</f>
        <v>0.95</v>
      </c>
      <c r="X55" s="522">
        <f t="shared" si="69"/>
        <v>0.95</v>
      </c>
      <c r="Y55" s="522">
        <f t="shared" si="69"/>
        <v>0.95</v>
      </c>
      <c r="Z55" s="319">
        <f t="shared" ref="Z55:Z62" si="75">3.6*8760/1000000</f>
        <v>3.1536000000000002E-2</v>
      </c>
      <c r="AA55" s="392">
        <f t="shared" si="70"/>
        <v>0.5</v>
      </c>
      <c r="AB55" s="331">
        <v>20</v>
      </c>
      <c r="AC55" s="326"/>
      <c r="AD55" s="319"/>
      <c r="AE55" s="331"/>
      <c r="AG55" s="236">
        <f t="shared" si="71"/>
        <v>0</v>
      </c>
      <c r="AH55" s="236">
        <f t="shared" si="72"/>
        <v>0</v>
      </c>
      <c r="AI55" s="236">
        <f t="shared" si="73"/>
        <v>0</v>
      </c>
      <c r="AJ55" s="285"/>
      <c r="AK55" s="356"/>
      <c r="AL55" s="559" t="s">
        <v>102</v>
      </c>
      <c r="AM55" s="560">
        <f>$L82/1000</f>
        <v>0</v>
      </c>
      <c r="AN55" s="561">
        <f t="shared" si="60"/>
        <v>0</v>
      </c>
      <c r="AO55" s="562">
        <f t="shared" si="64"/>
        <v>0</v>
      </c>
      <c r="AP55" s="562">
        <f t="shared" si="65"/>
        <v>0</v>
      </c>
      <c r="AQ55" s="582">
        <f t="shared" si="13"/>
        <v>0</v>
      </c>
      <c r="AR55" s="562">
        <f t="shared" si="14"/>
        <v>0</v>
      </c>
      <c r="AS55" s="563">
        <f t="shared" si="15"/>
        <v>0</v>
      </c>
      <c r="AT55" s="560">
        <f t="shared" si="74"/>
        <v>0</v>
      </c>
      <c r="AU55" s="561">
        <f t="shared" si="74"/>
        <v>0</v>
      </c>
      <c r="AV55" s="566">
        <f t="shared" si="74"/>
        <v>0</v>
      </c>
      <c r="AW55" s="285"/>
      <c r="AX55" s="356"/>
      <c r="AY55" s="559" t="s">
        <v>102</v>
      </c>
      <c r="AZ55" s="560">
        <f>$L102/1000</f>
        <v>0</v>
      </c>
      <c r="BA55" s="561">
        <f>AZ55*$AN$23</f>
        <v>0</v>
      </c>
      <c r="BB55" s="562">
        <f t="shared" si="43"/>
        <v>0</v>
      </c>
      <c r="BC55" s="562">
        <f t="shared" si="44"/>
        <v>0</v>
      </c>
      <c r="BD55" s="560">
        <f t="shared" si="18"/>
        <v>0</v>
      </c>
      <c r="BE55" s="561">
        <f t="shared" si="19"/>
        <v>0</v>
      </c>
      <c r="BF55" s="566">
        <f t="shared" si="20"/>
        <v>0</v>
      </c>
      <c r="BG55" s="560">
        <f t="shared" si="45"/>
        <v>0</v>
      </c>
      <c r="BH55" s="561">
        <f t="shared" si="46"/>
        <v>0</v>
      </c>
      <c r="BI55" s="566">
        <f t="shared" si="47"/>
        <v>0</v>
      </c>
      <c r="BJ55" s="285"/>
      <c r="BK55" s="356"/>
      <c r="BL55" s="559" t="s">
        <v>102</v>
      </c>
      <c r="BM55" s="560">
        <f>$L122/1000</f>
        <v>0</v>
      </c>
      <c r="BN55" s="561">
        <f>BM55*$AN$23</f>
        <v>0</v>
      </c>
      <c r="BO55" s="562">
        <f t="shared" si="48"/>
        <v>0</v>
      </c>
      <c r="BP55" s="562">
        <f t="shared" si="49"/>
        <v>0</v>
      </c>
      <c r="BQ55" s="560">
        <f t="shared" si="24"/>
        <v>0</v>
      </c>
      <c r="BR55" s="561">
        <f t="shared" si="25"/>
        <v>0</v>
      </c>
      <c r="BS55" s="566">
        <f t="shared" si="26"/>
        <v>0</v>
      </c>
      <c r="BT55" s="560">
        <f t="shared" si="50"/>
        <v>0</v>
      </c>
      <c r="BU55" s="561">
        <f t="shared" si="51"/>
        <v>0</v>
      </c>
      <c r="BV55" s="566">
        <f t="shared" si="52"/>
        <v>0</v>
      </c>
      <c r="BW55" s="285"/>
      <c r="BX55" s="285"/>
      <c r="BY55" s="285"/>
    </row>
    <row r="56" spans="3:77" ht="12.75" customHeight="1">
      <c r="C56" s="173" t="str">
        <f ca="1">+IF(OFFSET(Processes!B37,$D$11,0)="*","*",OFFSET(Processes!D37,$D$11,0))</f>
        <v>INDCDSHBHETE1</v>
      </c>
      <c r="D56" s="146" t="str">
        <f ca="1">+OFFSET(Processes!E37,$D$11,0)</f>
        <v>Chemical industry Heat Room Boiler - Dist. Heat Existing 1</v>
      </c>
      <c r="E56" s="149" t="str">
        <f>+Processes!O37</f>
        <v>INDHCE</v>
      </c>
      <c r="F56" s="149" t="str">
        <f ca="1">+OFFSET(Processes!$M$12,$D$11,0) &amp; Processes!P37</f>
        <v>ICDSH</v>
      </c>
      <c r="G56" s="321">
        <f t="shared" si="66"/>
        <v>4824.8860000000004</v>
      </c>
      <c r="H56" s="321">
        <f t="shared" si="66"/>
        <v>0</v>
      </c>
      <c r="I56" s="321">
        <f t="shared" si="66"/>
        <v>0</v>
      </c>
      <c r="J56" s="321">
        <f t="shared" si="67"/>
        <v>5975.9409999999998</v>
      </c>
      <c r="K56" s="321">
        <f t="shared" si="67"/>
        <v>0</v>
      </c>
      <c r="L56" s="321">
        <f t="shared" si="67"/>
        <v>0</v>
      </c>
      <c r="M56" s="321">
        <f t="shared" si="68"/>
        <v>11667.963</v>
      </c>
      <c r="N56" s="321">
        <f t="shared" si="68"/>
        <v>0</v>
      </c>
      <c r="O56" s="321">
        <f t="shared" si="68"/>
        <v>0</v>
      </c>
      <c r="P56" s="321">
        <f>M56</f>
        <v>11667.963</v>
      </c>
      <c r="Q56" s="321">
        <f t="shared" si="4"/>
        <v>0</v>
      </c>
      <c r="R56" s="321">
        <f t="shared" si="5"/>
        <v>0</v>
      </c>
      <c r="S56" s="321">
        <f>P56</f>
        <v>11667.963</v>
      </c>
      <c r="T56" s="321">
        <f t="shared" ref="T56:U62" si="76">IF($AB56=20,0,N56/5)*IF(N56=0,0,1)</f>
        <v>0</v>
      </c>
      <c r="U56" s="321">
        <f t="shared" si="76"/>
        <v>0</v>
      </c>
      <c r="V56" s="321">
        <v>5</v>
      </c>
      <c r="W56" s="343">
        <f>$N$136</f>
        <v>0.96</v>
      </c>
      <c r="X56" s="522">
        <f>$W$56</f>
        <v>0.96</v>
      </c>
      <c r="Y56" s="522">
        <f>$W$56</f>
        <v>0.96</v>
      </c>
      <c r="Z56" s="319">
        <f t="shared" si="75"/>
        <v>3.1536000000000002E-2</v>
      </c>
      <c r="AA56" s="392">
        <f t="shared" si="70"/>
        <v>0.5</v>
      </c>
      <c r="AB56" s="331">
        <v>20</v>
      </c>
      <c r="AC56" s="319"/>
      <c r="AD56" s="319"/>
      <c r="AE56" s="329"/>
      <c r="AG56" s="236">
        <f t="shared" si="71"/>
        <v>75.475002428571429</v>
      </c>
      <c r="AH56" s="236">
        <f t="shared" si="72"/>
        <v>97.183000915841603</v>
      </c>
      <c r="AI56" s="236">
        <f t="shared" si="73"/>
        <v>189.74880423267328</v>
      </c>
      <c r="AJ56" s="285"/>
      <c r="AK56" s="356"/>
      <c r="AL56" s="559" t="s">
        <v>103</v>
      </c>
      <c r="AM56" s="560">
        <f>N82/1000</f>
        <v>75.474999999999994</v>
      </c>
      <c r="AN56" s="613">
        <f>AM56</f>
        <v>75.474999999999994</v>
      </c>
      <c r="AO56" s="614">
        <v>0</v>
      </c>
      <c r="AP56" s="614">
        <v>0</v>
      </c>
      <c r="AQ56" s="582">
        <f t="shared" si="13"/>
        <v>72.456002331428579</v>
      </c>
      <c r="AR56" s="562">
        <f t="shared" si="14"/>
        <v>0</v>
      </c>
      <c r="AS56" s="563">
        <f t="shared" si="15"/>
        <v>0</v>
      </c>
      <c r="AT56" s="560">
        <f t="shared" si="74"/>
        <v>75.475002428571443</v>
      </c>
      <c r="AU56" s="561">
        <f t="shared" si="74"/>
        <v>0</v>
      </c>
      <c r="AV56" s="566">
        <f t="shared" si="74"/>
        <v>0</v>
      </c>
      <c r="AW56" s="285"/>
      <c r="AX56" s="356"/>
      <c r="AY56" s="559" t="s">
        <v>103</v>
      </c>
      <c r="AZ56" s="560">
        <f>N102/1000</f>
        <v>97.183000000000007</v>
      </c>
      <c r="BA56" s="613">
        <f>AZ56</f>
        <v>97.183000000000007</v>
      </c>
      <c r="BB56" s="614">
        <v>0</v>
      </c>
      <c r="BC56" s="614">
        <v>0</v>
      </c>
      <c r="BD56" s="560">
        <f t="shared" si="18"/>
        <v>93.295680879207922</v>
      </c>
      <c r="BE56" s="561">
        <f t="shared" si="19"/>
        <v>0</v>
      </c>
      <c r="BF56" s="566">
        <f t="shared" si="20"/>
        <v>0</v>
      </c>
      <c r="BG56" s="560">
        <f t="shared" si="45"/>
        <v>97.183000915841589</v>
      </c>
      <c r="BH56" s="561">
        <f t="shared" si="46"/>
        <v>0</v>
      </c>
      <c r="BI56" s="566">
        <f t="shared" si="47"/>
        <v>0</v>
      </c>
      <c r="BJ56" s="285"/>
      <c r="BK56" s="356"/>
      <c r="BL56" s="559" t="s">
        <v>103</v>
      </c>
      <c r="BM56" s="560">
        <f>N122/1000</f>
        <v>189.74879999999999</v>
      </c>
      <c r="BN56" s="613">
        <f>BM56</f>
        <v>189.74879999999999</v>
      </c>
      <c r="BO56" s="614">
        <v>0</v>
      </c>
      <c r="BP56" s="614">
        <v>0</v>
      </c>
      <c r="BQ56" s="560">
        <f t="shared" si="24"/>
        <v>182.15885206336634</v>
      </c>
      <c r="BR56" s="561">
        <f t="shared" si="25"/>
        <v>0</v>
      </c>
      <c r="BS56" s="566">
        <f t="shared" si="26"/>
        <v>0</v>
      </c>
      <c r="BT56" s="560">
        <f t="shared" si="50"/>
        <v>189.74880423267328</v>
      </c>
      <c r="BU56" s="561">
        <f t="shared" si="51"/>
        <v>0</v>
      </c>
      <c r="BV56" s="566">
        <f t="shared" si="52"/>
        <v>0</v>
      </c>
      <c r="BW56" s="285"/>
      <c r="BX56" s="285"/>
      <c r="BY56" s="285"/>
    </row>
    <row r="57" spans="3:77" ht="12.75" customHeight="1">
      <c r="C57" s="173" t="str">
        <f ca="1">+IF(OFFSET(Processes!B38,$D$11,0)="*","*",OFFSET(Processes!D38,$D$11,0))</f>
        <v>INDCDSHBHETE2</v>
      </c>
      <c r="D57" s="146" t="str">
        <f ca="1">+OFFSET(Processes!E38,$D$11,0)</f>
        <v>Chemical industry Heat Room Boiler - Dist. Heat Existing 2</v>
      </c>
      <c r="E57" s="149" t="str">
        <f>+Processes!O38</f>
        <v>INDHDE</v>
      </c>
      <c r="F57" s="149" t="str">
        <f ca="1">+OFFSET(Processes!$M$12,$D$11,0) &amp; Processes!P38</f>
        <v>ICDSH</v>
      </c>
      <c r="G57" s="321"/>
      <c r="H57" s="321"/>
      <c r="I57" s="321"/>
      <c r="J57" s="321"/>
      <c r="K57" s="321"/>
      <c r="L57" s="321"/>
      <c r="M57" s="321"/>
      <c r="N57" s="321"/>
      <c r="O57" s="321"/>
      <c r="P57" s="321">
        <f t="shared" si="3"/>
        <v>0</v>
      </c>
      <c r="Q57" s="321">
        <f t="shared" si="4"/>
        <v>0</v>
      </c>
      <c r="R57" s="321">
        <f t="shared" si="5"/>
        <v>0</v>
      </c>
      <c r="S57" s="321">
        <f t="shared" ref="S57:S62" si="77">IF($AB57=20,0,M57/5)*IF(M57=0,0,1)</f>
        <v>0</v>
      </c>
      <c r="T57" s="321">
        <f t="shared" si="76"/>
        <v>0</v>
      </c>
      <c r="U57" s="321">
        <f t="shared" si="76"/>
        <v>0</v>
      </c>
      <c r="V57" s="321">
        <v>5</v>
      </c>
      <c r="W57" s="343">
        <f>$N$136</f>
        <v>0.96</v>
      </c>
      <c r="X57" s="522">
        <f>$W$56</f>
        <v>0.96</v>
      </c>
      <c r="Y57" s="522">
        <f>$W$56</f>
        <v>0.96</v>
      </c>
      <c r="Z57" s="319">
        <f t="shared" si="75"/>
        <v>3.1536000000000002E-2</v>
      </c>
      <c r="AA57" s="392">
        <f t="shared" si="70"/>
        <v>0.5</v>
      </c>
      <c r="AB57" s="331">
        <v>20</v>
      </c>
      <c r="AC57" s="319"/>
      <c r="AD57" s="319"/>
      <c r="AE57" s="329"/>
      <c r="AG57" s="236">
        <f t="shared" si="71"/>
        <v>0</v>
      </c>
      <c r="AH57" s="236">
        <f t="shared" si="72"/>
        <v>0</v>
      </c>
      <c r="AI57" s="236">
        <f t="shared" si="73"/>
        <v>0</v>
      </c>
      <c r="AJ57" s="285"/>
      <c r="AK57" s="356"/>
      <c r="AL57" s="559" t="s">
        <v>104</v>
      </c>
      <c r="AM57" s="560"/>
      <c r="AN57" s="613">
        <f>AM57</f>
        <v>0</v>
      </c>
      <c r="AO57" s="614">
        <v>0</v>
      </c>
      <c r="AP57" s="614">
        <v>0</v>
      </c>
      <c r="AQ57" s="582">
        <f t="shared" si="13"/>
        <v>0</v>
      </c>
      <c r="AR57" s="562">
        <f t="shared" si="14"/>
        <v>0</v>
      </c>
      <c r="AS57" s="563">
        <f t="shared" si="15"/>
        <v>0</v>
      </c>
      <c r="AT57" s="560"/>
      <c r="AU57" s="561"/>
      <c r="AV57" s="566"/>
      <c r="AW57" s="285"/>
      <c r="AX57" s="356"/>
      <c r="AY57" s="559" t="s">
        <v>104</v>
      </c>
      <c r="AZ57" s="560"/>
      <c r="BA57" s="613">
        <f>AZ57</f>
        <v>0</v>
      </c>
      <c r="BB57" s="614">
        <v>0</v>
      </c>
      <c r="BC57" s="614">
        <v>0</v>
      </c>
      <c r="BD57" s="560">
        <f t="shared" si="18"/>
        <v>0</v>
      </c>
      <c r="BE57" s="561">
        <f t="shared" si="19"/>
        <v>0</v>
      </c>
      <c r="BF57" s="566">
        <f t="shared" si="20"/>
        <v>0</v>
      </c>
      <c r="BG57" s="560"/>
      <c r="BH57" s="561"/>
      <c r="BI57" s="566"/>
      <c r="BJ57" s="285"/>
      <c r="BK57" s="356"/>
      <c r="BL57" s="559" t="s">
        <v>104</v>
      </c>
      <c r="BM57" s="560"/>
      <c r="BN57" s="613">
        <f>BM57</f>
        <v>0</v>
      </c>
      <c r="BO57" s="614">
        <v>0</v>
      </c>
      <c r="BP57" s="614">
        <v>0</v>
      </c>
      <c r="BQ57" s="560">
        <f t="shared" si="24"/>
        <v>0</v>
      </c>
      <c r="BR57" s="561">
        <f t="shared" si="25"/>
        <v>0</v>
      </c>
      <c r="BS57" s="566">
        <f t="shared" si="26"/>
        <v>0</v>
      </c>
      <c r="BT57" s="560"/>
      <c r="BU57" s="561"/>
      <c r="BV57" s="566"/>
      <c r="BW57" s="285"/>
      <c r="BX57" s="285"/>
      <c r="BY57" s="285"/>
    </row>
    <row r="58" spans="3:77" ht="12.75" customHeight="1">
      <c r="C58" s="173" t="str">
        <f ca="1">+IF(OFFSET(Processes!B39,$D$11,0)="*","*",OFFSET(Processes!D39,$D$11,0))</f>
        <v>INDCDSHBELCE1</v>
      </c>
      <c r="D58" s="148" t="str">
        <f ca="1">+OFFSET(Processes!E39,$D$11,0)</f>
        <v>Chemical industry Heat Room Boiler - Electricity Existing 1</v>
      </c>
      <c r="E58" s="172" t="str">
        <f>+Processes!O39</f>
        <v>INDELC</v>
      </c>
      <c r="F58" s="174" t="str">
        <f ca="1">+OFFSET(Processes!$M$12,$D$11,0) &amp; Processes!P39</f>
        <v>ICDSH</v>
      </c>
      <c r="G58" s="324">
        <f t="shared" ref="G58:I62" si="78">ROUNDUP(AN58/($Z58*$AA58)*G$21*W58,3)</f>
        <v>119.193</v>
      </c>
      <c r="H58" s="324">
        <f t="shared" si="78"/>
        <v>0</v>
      </c>
      <c r="I58" s="324">
        <f t="shared" si="78"/>
        <v>0</v>
      </c>
      <c r="J58" s="324">
        <f t="shared" ref="J58:L62" si="79">ROUNDUP(BA58/($Z58*$AA58)*J$21*W58,3)</f>
        <v>117.123</v>
      </c>
      <c r="K58" s="324">
        <f t="shared" si="79"/>
        <v>0</v>
      </c>
      <c r="L58" s="324">
        <f t="shared" si="79"/>
        <v>0</v>
      </c>
      <c r="M58" s="324">
        <f t="shared" ref="M58:O62" si="80">ROUNDUP(BN58/($Z58*$AA58)*M$21*W58,3)</f>
        <v>5.3240000000000007</v>
      </c>
      <c r="N58" s="324">
        <f t="shared" si="80"/>
        <v>0</v>
      </c>
      <c r="O58" s="324">
        <f t="shared" si="80"/>
        <v>0</v>
      </c>
      <c r="P58" s="324">
        <f t="shared" si="3"/>
        <v>5.3240000000000007</v>
      </c>
      <c r="Q58" s="324">
        <f t="shared" si="4"/>
        <v>0</v>
      </c>
      <c r="R58" s="324">
        <f t="shared" si="5"/>
        <v>0</v>
      </c>
      <c r="S58" s="324">
        <f t="shared" si="77"/>
        <v>0</v>
      </c>
      <c r="T58" s="324">
        <f t="shared" si="76"/>
        <v>0</v>
      </c>
      <c r="U58" s="324">
        <f t="shared" si="76"/>
        <v>0</v>
      </c>
      <c r="V58" s="558">
        <v>5</v>
      </c>
      <c r="W58" s="345">
        <f>M136</f>
        <v>0.95</v>
      </c>
      <c r="X58" s="523">
        <f t="shared" si="69"/>
        <v>0.95</v>
      </c>
      <c r="Y58" s="523">
        <f t="shared" si="69"/>
        <v>0.95</v>
      </c>
      <c r="Z58" s="326">
        <f t="shared" si="75"/>
        <v>3.1536000000000002E-2</v>
      </c>
      <c r="AA58" s="392">
        <f t="shared" si="70"/>
        <v>0.5</v>
      </c>
      <c r="AB58" s="331">
        <v>20</v>
      </c>
      <c r="AC58" s="326"/>
      <c r="AD58" s="319"/>
      <c r="AE58" s="331"/>
      <c r="AG58" s="236">
        <f t="shared" si="71"/>
        <v>1.8841455879699249</v>
      </c>
      <c r="AH58" s="236">
        <f t="shared" si="72"/>
        <v>1.9247477477853052</v>
      </c>
      <c r="AI58" s="236">
        <f t="shared" si="73"/>
        <v>8.7492268890046923E-2</v>
      </c>
      <c r="AJ58" s="285"/>
      <c r="AK58" s="355"/>
      <c r="AL58" s="567" t="s">
        <v>61</v>
      </c>
      <c r="AM58" s="560">
        <f>M82/1000</f>
        <v>1.8841320000000001</v>
      </c>
      <c r="AN58" s="561">
        <f>AM58*$AN$23</f>
        <v>1.8841320000000001</v>
      </c>
      <c r="AO58" s="562">
        <f>AM58*$AO$23</f>
        <v>0</v>
      </c>
      <c r="AP58" s="562">
        <f>AM58*$AP$23</f>
        <v>0</v>
      </c>
      <c r="AQ58" s="582">
        <f t="shared" si="13"/>
        <v>1.7899383085714287</v>
      </c>
      <c r="AR58" s="562">
        <f t="shared" si="14"/>
        <v>0</v>
      </c>
      <c r="AS58" s="563">
        <f t="shared" si="15"/>
        <v>0</v>
      </c>
      <c r="AT58" s="560">
        <f t="shared" ref="AT58:AV62" si="81">IFERROR(AQ58/W58,0)</f>
        <v>1.8841455879699249</v>
      </c>
      <c r="AU58" s="561">
        <f t="shared" si="81"/>
        <v>0</v>
      </c>
      <c r="AV58" s="566">
        <f t="shared" si="81"/>
        <v>0</v>
      </c>
      <c r="AW58" s="285"/>
      <c r="AX58" s="355"/>
      <c r="AY58" s="567" t="s">
        <v>61</v>
      </c>
      <c r="AZ58" s="560">
        <f>M102/1000</f>
        <v>1.9247400000000001</v>
      </c>
      <c r="BA58" s="561">
        <f>AZ58*$AN$23</f>
        <v>1.9247400000000001</v>
      </c>
      <c r="BB58" s="562">
        <f>AZ58*$BB$23</f>
        <v>0</v>
      </c>
      <c r="BC58" s="562">
        <f>AZ58*$BC$23</f>
        <v>0</v>
      </c>
      <c r="BD58" s="560">
        <f t="shared" si="18"/>
        <v>1.8285103603960398</v>
      </c>
      <c r="BE58" s="561">
        <f t="shared" si="19"/>
        <v>0</v>
      </c>
      <c r="BF58" s="566">
        <f t="shared" si="20"/>
        <v>0</v>
      </c>
      <c r="BG58" s="560">
        <f t="shared" ref="BG58:BI62" si="82">IFERROR(BD58/W58,0)</f>
        <v>1.924747747785305</v>
      </c>
      <c r="BH58" s="561">
        <f t="shared" si="82"/>
        <v>0</v>
      </c>
      <c r="BI58" s="566">
        <f t="shared" si="82"/>
        <v>0</v>
      </c>
      <c r="BJ58" s="285"/>
      <c r="BK58" s="355"/>
      <c r="BL58" s="567" t="s">
        <v>61</v>
      </c>
      <c r="BM58" s="560">
        <f>M122/1000</f>
        <v>8.7480000000000002E-2</v>
      </c>
      <c r="BN58" s="561">
        <f>BM58*$AN$23</f>
        <v>8.7480000000000002E-2</v>
      </c>
      <c r="BO58" s="562">
        <f>BM58*$BB$23</f>
        <v>0</v>
      </c>
      <c r="BP58" s="562">
        <f>BM58*$BC$23</f>
        <v>0</v>
      </c>
      <c r="BQ58" s="560">
        <f t="shared" si="24"/>
        <v>8.3117655445544572E-2</v>
      </c>
      <c r="BR58" s="561">
        <f t="shared" si="25"/>
        <v>0</v>
      </c>
      <c r="BS58" s="566">
        <f t="shared" si="26"/>
        <v>0</v>
      </c>
      <c r="BT58" s="560">
        <f t="shared" ref="BT58:BV62" si="83">IFERROR(BQ58/W58,0)</f>
        <v>8.7492268890046923E-2</v>
      </c>
      <c r="BU58" s="561">
        <f t="shared" si="83"/>
        <v>0</v>
      </c>
      <c r="BV58" s="566">
        <f t="shared" si="83"/>
        <v>0</v>
      </c>
      <c r="BW58" s="285"/>
      <c r="BX58" s="285"/>
      <c r="BY58" s="285"/>
    </row>
    <row r="59" spans="3:77" ht="12.75" customHeight="1">
      <c r="C59" s="175" t="str">
        <f ca="1">+IF(OFFSET(Processes!B40,$D$11,0)="*","*",OFFSET(Processes!D40,$D$11,0))</f>
        <v>INDCDLAAELCE1</v>
      </c>
      <c r="D59" s="146" t="str">
        <f ca="1">+OFFSET(Processes!E40,$D$11,0)</f>
        <v>Chemical industry Electricity Light Appliance - Electricity Existing 1</v>
      </c>
      <c r="E59" s="176" t="str">
        <f>+Processes!O40</f>
        <v>INDELC</v>
      </c>
      <c r="F59" s="149" t="str">
        <f ca="1">+OFFSET(Processes!$M$12,$D$11,0) &amp; Processes!P40</f>
        <v>ICDLA</v>
      </c>
      <c r="G59" s="323">
        <f t="shared" si="78"/>
        <v>878.25799999999992</v>
      </c>
      <c r="H59" s="323">
        <f t="shared" si="78"/>
        <v>0</v>
      </c>
      <c r="I59" s="323">
        <f t="shared" si="78"/>
        <v>0</v>
      </c>
      <c r="J59" s="323">
        <f t="shared" si="79"/>
        <v>863.00900000000001</v>
      </c>
      <c r="K59" s="323">
        <f t="shared" si="79"/>
        <v>0</v>
      </c>
      <c r="L59" s="323">
        <f t="shared" si="79"/>
        <v>0</v>
      </c>
      <c r="M59" s="323">
        <f t="shared" si="80"/>
        <v>39.223999999999997</v>
      </c>
      <c r="N59" s="323">
        <f t="shared" si="80"/>
        <v>0</v>
      </c>
      <c r="O59" s="323">
        <f t="shared" si="80"/>
        <v>0</v>
      </c>
      <c r="P59" s="323">
        <f t="shared" si="3"/>
        <v>39.223999999999997</v>
      </c>
      <c r="Q59" s="323">
        <f t="shared" si="4"/>
        <v>0</v>
      </c>
      <c r="R59" s="323">
        <f t="shared" si="5"/>
        <v>0</v>
      </c>
      <c r="S59" s="323">
        <f t="shared" si="77"/>
        <v>0</v>
      </c>
      <c r="T59" s="323">
        <f t="shared" si="76"/>
        <v>0</v>
      </c>
      <c r="U59" s="323">
        <f t="shared" si="76"/>
        <v>0</v>
      </c>
      <c r="V59" s="323">
        <v>5</v>
      </c>
      <c r="W59" s="343">
        <v>1</v>
      </c>
      <c r="X59" s="522">
        <v>1</v>
      </c>
      <c r="Y59" s="522">
        <v>1</v>
      </c>
      <c r="Z59" s="327">
        <f t="shared" si="75"/>
        <v>3.1536000000000002E-2</v>
      </c>
      <c r="AA59" s="393">
        <f t="shared" si="70"/>
        <v>0.5</v>
      </c>
      <c r="AB59" s="332">
        <v>20</v>
      </c>
      <c r="AC59" s="327"/>
      <c r="AD59" s="327"/>
      <c r="AE59" s="332"/>
      <c r="AG59" s="236">
        <f t="shared" si="71"/>
        <v>13.18892585142857</v>
      </c>
      <c r="AH59" s="236">
        <f t="shared" si="72"/>
        <v>13.473193972277228</v>
      </c>
      <c r="AI59" s="236">
        <f t="shared" si="73"/>
        <v>0.61236042772277233</v>
      </c>
      <c r="AJ59" s="285"/>
      <c r="AK59" s="531" t="str">
        <f ca="1">F59</f>
        <v>ICDLA</v>
      </c>
      <c r="AL59" s="578" t="s">
        <v>61</v>
      </c>
      <c r="AM59" s="579">
        <f>M80/1000</f>
        <v>13.188924000000002</v>
      </c>
      <c r="AN59" s="580">
        <f>AM59*$AN$23</f>
        <v>13.188924000000002</v>
      </c>
      <c r="AO59" s="583">
        <f>AM59*$AO$23</f>
        <v>0</v>
      </c>
      <c r="AP59" s="583">
        <f>AM59*$AP$23</f>
        <v>0</v>
      </c>
      <c r="AQ59" s="584">
        <f t="shared" si="13"/>
        <v>13.18892585142857</v>
      </c>
      <c r="AR59" s="583">
        <f t="shared" si="14"/>
        <v>0</v>
      </c>
      <c r="AS59" s="585">
        <f t="shared" si="15"/>
        <v>0</v>
      </c>
      <c r="AT59" s="579">
        <f t="shared" si="81"/>
        <v>13.18892585142857</v>
      </c>
      <c r="AU59" s="580">
        <f t="shared" si="81"/>
        <v>0</v>
      </c>
      <c r="AV59" s="581">
        <f t="shared" si="81"/>
        <v>0</v>
      </c>
      <c r="AW59" s="285"/>
      <c r="AX59" s="531" t="str">
        <f t="shared" ca="1" si="17"/>
        <v>ICDLA</v>
      </c>
      <c r="AY59" s="578" t="s">
        <v>61</v>
      </c>
      <c r="AZ59" s="579">
        <f>M100/1000</f>
        <v>13.473180000000003</v>
      </c>
      <c r="BA59" s="580">
        <f>AZ59*$AN$23</f>
        <v>13.473180000000003</v>
      </c>
      <c r="BB59" s="583">
        <f>AZ59*$BB$23</f>
        <v>0</v>
      </c>
      <c r="BC59" s="583">
        <f>AZ59*$BC$23</f>
        <v>0</v>
      </c>
      <c r="BD59" s="579">
        <f t="shared" si="18"/>
        <v>13.473193972277228</v>
      </c>
      <c r="BE59" s="580">
        <f t="shared" si="19"/>
        <v>0</v>
      </c>
      <c r="BF59" s="581">
        <f t="shared" si="20"/>
        <v>0</v>
      </c>
      <c r="BG59" s="579">
        <f t="shared" si="82"/>
        <v>13.473193972277228</v>
      </c>
      <c r="BH59" s="580">
        <f t="shared" si="82"/>
        <v>0</v>
      </c>
      <c r="BI59" s="581">
        <f t="shared" si="82"/>
        <v>0</v>
      </c>
      <c r="BJ59" s="285"/>
      <c r="BK59" s="531" t="str">
        <f ca="1">AK59</f>
        <v>ICDLA</v>
      </c>
      <c r="BL59" s="578" t="s">
        <v>61</v>
      </c>
      <c r="BM59" s="579">
        <f>M120/1000</f>
        <v>0.61236000000000002</v>
      </c>
      <c r="BN59" s="580">
        <f>BM59*$AN$23</f>
        <v>0.61236000000000002</v>
      </c>
      <c r="BO59" s="583">
        <f>BM59*$BB$23</f>
        <v>0</v>
      </c>
      <c r="BP59" s="583">
        <f>BM59*$BC$23</f>
        <v>0</v>
      </c>
      <c r="BQ59" s="579">
        <f t="shared" si="24"/>
        <v>0.61236042772277233</v>
      </c>
      <c r="BR59" s="580">
        <f t="shared" si="25"/>
        <v>0</v>
      </c>
      <c r="BS59" s="581">
        <f t="shared" si="26"/>
        <v>0</v>
      </c>
      <c r="BT59" s="579">
        <f t="shared" si="83"/>
        <v>0.61236042772277233</v>
      </c>
      <c r="BU59" s="580">
        <f t="shared" si="83"/>
        <v>0</v>
      </c>
      <c r="BV59" s="581">
        <f t="shared" si="83"/>
        <v>0</v>
      </c>
      <c r="BW59" s="285"/>
      <c r="BX59" s="285"/>
      <c r="BY59" s="285"/>
    </row>
    <row r="60" spans="3:77" ht="12.75" customHeight="1">
      <c r="C60" s="148" t="str">
        <f ca="1">+IF(OFFSET(Processes!B41,$D$11,0)="*","*",OFFSET(Processes!D41,$D$11,0))</f>
        <v>INDCDEMMELCE1</v>
      </c>
      <c r="D60" s="148" t="str">
        <f ca="1">+OFFSET(Processes!E41,$D$11,0)</f>
        <v>Chemical industry Electricity Motors - Electricity Existing 1</v>
      </c>
      <c r="E60" s="174" t="str">
        <f>+Processes!O41</f>
        <v>INDELC</v>
      </c>
      <c r="F60" s="174" t="str">
        <f ca="1">+OFFSET(Processes!$M$12,$D$11,0) &amp; Processes!P41</f>
        <v>ICDEM</v>
      </c>
      <c r="G60" s="324">
        <f t="shared" si="78"/>
        <v>10162.699000000001</v>
      </c>
      <c r="H60" s="324">
        <f t="shared" si="78"/>
        <v>0</v>
      </c>
      <c r="I60" s="324">
        <f t="shared" si="78"/>
        <v>0</v>
      </c>
      <c r="J60" s="324">
        <f t="shared" si="79"/>
        <v>9986.237000000001</v>
      </c>
      <c r="K60" s="324">
        <f t="shared" si="79"/>
        <v>0</v>
      </c>
      <c r="L60" s="324">
        <f t="shared" si="79"/>
        <v>0</v>
      </c>
      <c r="M60" s="324">
        <f t="shared" si="80"/>
        <v>453.87799999999999</v>
      </c>
      <c r="N60" s="324">
        <f t="shared" si="80"/>
        <v>0</v>
      </c>
      <c r="O60" s="324">
        <f t="shared" si="80"/>
        <v>0</v>
      </c>
      <c r="P60" s="324">
        <f t="shared" si="3"/>
        <v>453.87799999999999</v>
      </c>
      <c r="Q60" s="324">
        <f t="shared" si="4"/>
        <v>0</v>
      </c>
      <c r="R60" s="324">
        <f t="shared" si="5"/>
        <v>0</v>
      </c>
      <c r="S60" s="324">
        <f t="shared" si="77"/>
        <v>0</v>
      </c>
      <c r="T60" s="324">
        <f t="shared" si="76"/>
        <v>0</v>
      </c>
      <c r="U60" s="324">
        <f t="shared" si="76"/>
        <v>0</v>
      </c>
      <c r="V60" s="558">
        <v>5</v>
      </c>
      <c r="W60" s="345">
        <v>1</v>
      </c>
      <c r="X60" s="523">
        <v>1</v>
      </c>
      <c r="Y60" s="523">
        <v>1</v>
      </c>
      <c r="Z60" s="320">
        <f t="shared" si="75"/>
        <v>3.1536000000000002E-2</v>
      </c>
      <c r="AA60" s="391">
        <f t="shared" si="70"/>
        <v>0.5</v>
      </c>
      <c r="AB60" s="330">
        <v>20</v>
      </c>
      <c r="AC60" s="320"/>
      <c r="AD60" s="320"/>
      <c r="AE60" s="330"/>
      <c r="AG60" s="236">
        <f t="shared" si="71"/>
        <v>152.61470269714286</v>
      </c>
      <c r="AH60" s="236">
        <f t="shared" si="72"/>
        <v>155.90394556039607</v>
      </c>
      <c r="AI60" s="236">
        <f t="shared" si="73"/>
        <v>7.0858894099009895</v>
      </c>
      <c r="AJ60" s="285"/>
      <c r="AK60" s="536" t="str">
        <f ca="1">F60</f>
        <v>ICDEM</v>
      </c>
      <c r="AL60" s="578" t="s">
        <v>61</v>
      </c>
      <c r="AM60" s="579">
        <f>M81/1000</f>
        <v>152.61469200000002</v>
      </c>
      <c r="AN60" s="580">
        <f>AM60*$AN$23</f>
        <v>152.61469200000002</v>
      </c>
      <c r="AO60" s="583">
        <f>AM60*$AO$23</f>
        <v>0</v>
      </c>
      <c r="AP60" s="583">
        <f>AM60*$AP$23</f>
        <v>0</v>
      </c>
      <c r="AQ60" s="584">
        <f t="shared" si="13"/>
        <v>152.61470269714286</v>
      </c>
      <c r="AR60" s="583">
        <f t="shared" si="14"/>
        <v>0</v>
      </c>
      <c r="AS60" s="585">
        <f t="shared" si="15"/>
        <v>0</v>
      </c>
      <c r="AT60" s="579">
        <f t="shared" si="81"/>
        <v>152.61470269714286</v>
      </c>
      <c r="AU60" s="580">
        <f t="shared" si="81"/>
        <v>0</v>
      </c>
      <c r="AV60" s="581">
        <f t="shared" si="81"/>
        <v>0</v>
      </c>
      <c r="AW60" s="285"/>
      <c r="AX60" s="536" t="str">
        <f t="shared" ca="1" si="17"/>
        <v>ICDEM</v>
      </c>
      <c r="AY60" s="578" t="s">
        <v>61</v>
      </c>
      <c r="AZ60" s="579">
        <f>M101/1000</f>
        <v>155.90394000000001</v>
      </c>
      <c r="BA60" s="580">
        <f>AZ60*$AN$23</f>
        <v>155.90394000000001</v>
      </c>
      <c r="BB60" s="583">
        <f>AZ60*$BB$23</f>
        <v>0</v>
      </c>
      <c r="BC60" s="583">
        <f>AZ60*$BC$23</f>
        <v>0</v>
      </c>
      <c r="BD60" s="579">
        <f t="shared" si="18"/>
        <v>155.90394556039607</v>
      </c>
      <c r="BE60" s="580">
        <f t="shared" si="19"/>
        <v>0</v>
      </c>
      <c r="BF60" s="581">
        <f t="shared" si="20"/>
        <v>0</v>
      </c>
      <c r="BG60" s="579">
        <f t="shared" si="82"/>
        <v>155.90394556039607</v>
      </c>
      <c r="BH60" s="580">
        <f t="shared" si="82"/>
        <v>0</v>
      </c>
      <c r="BI60" s="581">
        <f t="shared" si="82"/>
        <v>0</v>
      </c>
      <c r="BJ60" s="285"/>
      <c r="BK60" s="536" t="str">
        <f ca="1">AK60</f>
        <v>ICDEM</v>
      </c>
      <c r="BL60" s="578" t="s">
        <v>61</v>
      </c>
      <c r="BM60" s="579">
        <f>M121/1000</f>
        <v>7.0858800000000004</v>
      </c>
      <c r="BN60" s="580">
        <f>BM60*$AN$23</f>
        <v>7.0858800000000004</v>
      </c>
      <c r="BO60" s="583">
        <f>BM60*$BB$23</f>
        <v>0</v>
      </c>
      <c r="BP60" s="583">
        <f>BM60*$BC$23</f>
        <v>0</v>
      </c>
      <c r="BQ60" s="579">
        <f t="shared" si="24"/>
        <v>7.0858894099009895</v>
      </c>
      <c r="BR60" s="580">
        <f t="shared" si="25"/>
        <v>0</v>
      </c>
      <c r="BS60" s="581">
        <f t="shared" si="26"/>
        <v>0</v>
      </c>
      <c r="BT60" s="579">
        <f t="shared" si="83"/>
        <v>7.0858894099009895</v>
      </c>
      <c r="BU60" s="580">
        <f t="shared" si="83"/>
        <v>0</v>
      </c>
      <c r="BV60" s="581">
        <f t="shared" si="83"/>
        <v>0</v>
      </c>
      <c r="BW60" s="285"/>
      <c r="BX60" s="285"/>
      <c r="BY60" s="285"/>
    </row>
    <row r="61" spans="3:77" ht="12.75" customHeight="1">
      <c r="C61" s="173" t="str">
        <f ca="1">+IF(OFFSET(Processes!B42,$D$11,0)="*","*",OFFSET(Processes!D42,$D$11,0))</f>
        <v>INDCDTFTDSLE1</v>
      </c>
      <c r="D61" s="173" t="str">
        <f ca="1">+OFFSET(Processes!E42,$D$11,0)</f>
        <v>Chemical industry Tractors, Trucks, Fishing boats, Forest machines - Diesel Existing 1</v>
      </c>
      <c r="E61" s="172" t="str">
        <f>+Processes!O42</f>
        <v>INDDSB1,INDDSB2,INDDSL</v>
      </c>
      <c r="F61" s="173" t="str">
        <f ca="1">+OFFSET(Processes!$M$12,$D$11,0) &amp; Processes!P42</f>
        <v>ICDTF</v>
      </c>
      <c r="G61" s="323">
        <f t="shared" si="78"/>
        <v>194.23600000000002</v>
      </c>
      <c r="H61" s="323">
        <f t="shared" si="78"/>
        <v>0</v>
      </c>
      <c r="I61" s="323">
        <f t="shared" si="78"/>
        <v>0</v>
      </c>
      <c r="J61" s="323">
        <f t="shared" si="79"/>
        <v>52.105999999999995</v>
      </c>
      <c r="K61" s="323">
        <f t="shared" si="79"/>
        <v>0</v>
      </c>
      <c r="L61" s="323">
        <f t="shared" si="79"/>
        <v>0</v>
      </c>
      <c r="M61" s="323">
        <f t="shared" si="80"/>
        <v>101.73700000000001</v>
      </c>
      <c r="N61" s="323">
        <f t="shared" si="80"/>
        <v>0</v>
      </c>
      <c r="O61" s="323">
        <f t="shared" si="80"/>
        <v>0</v>
      </c>
      <c r="P61" s="323">
        <f t="shared" si="3"/>
        <v>101.73700000000001</v>
      </c>
      <c r="Q61" s="323">
        <f t="shared" si="4"/>
        <v>0</v>
      </c>
      <c r="R61" s="323">
        <f t="shared" si="5"/>
        <v>0</v>
      </c>
      <c r="S61" s="323">
        <f t="shared" si="77"/>
        <v>0</v>
      </c>
      <c r="T61" s="323">
        <f t="shared" si="76"/>
        <v>0</v>
      </c>
      <c r="U61" s="323">
        <f t="shared" si="76"/>
        <v>0</v>
      </c>
      <c r="V61" s="323">
        <v>5</v>
      </c>
      <c r="W61" s="343">
        <v>1</v>
      </c>
      <c r="X61" s="522">
        <f t="shared" ref="X61:Y62" si="84">W61</f>
        <v>1</v>
      </c>
      <c r="Y61" s="522">
        <f t="shared" si="84"/>
        <v>1</v>
      </c>
      <c r="Z61" s="327">
        <f t="shared" si="75"/>
        <v>3.1536000000000002E-2</v>
      </c>
      <c r="AA61" s="393">
        <v>0.5</v>
      </c>
      <c r="AB61" s="332">
        <v>20</v>
      </c>
      <c r="AC61" s="327"/>
      <c r="AD61" s="327"/>
      <c r="AE61" s="332"/>
      <c r="AG61" s="236">
        <f t="shared" si="71"/>
        <v>2.9168697600000004</v>
      </c>
      <c r="AH61" s="236">
        <f t="shared" si="72"/>
        <v>0.81347268118811877</v>
      </c>
      <c r="AI61" s="236">
        <f t="shared" si="73"/>
        <v>1.5883059564356439</v>
      </c>
      <c r="AJ61" s="285"/>
      <c r="AK61" s="536" t="str">
        <f ca="1">F61</f>
        <v>ICDTF</v>
      </c>
      <c r="AL61" s="578" t="s">
        <v>59</v>
      </c>
      <c r="AM61" s="579">
        <f>F79/1000</f>
        <v>2.9168600000000002</v>
      </c>
      <c r="AN61" s="580">
        <f>AM61*$AN$23</f>
        <v>2.9168600000000002</v>
      </c>
      <c r="AO61" s="583">
        <f>AM61*$AO$23</f>
        <v>0</v>
      </c>
      <c r="AP61" s="583">
        <f>AM61*$AP$23</f>
        <v>0</v>
      </c>
      <c r="AQ61" s="584">
        <f t="shared" si="13"/>
        <v>2.9168697600000004</v>
      </c>
      <c r="AR61" s="583">
        <f t="shared" si="14"/>
        <v>0</v>
      </c>
      <c r="AS61" s="585">
        <f t="shared" si="15"/>
        <v>0</v>
      </c>
      <c r="AT61" s="579">
        <f t="shared" si="81"/>
        <v>2.9168697600000004</v>
      </c>
      <c r="AU61" s="580">
        <f t="shared" si="81"/>
        <v>0</v>
      </c>
      <c r="AV61" s="581">
        <f t="shared" si="81"/>
        <v>0</v>
      </c>
      <c r="AW61" s="285"/>
      <c r="AX61" s="536" t="str">
        <f t="shared" ca="1" si="17"/>
        <v>ICDTF</v>
      </c>
      <c r="AY61" s="578" t="s">
        <v>59</v>
      </c>
      <c r="AZ61" s="579">
        <f>F99/1000</f>
        <v>0.81346600000000002</v>
      </c>
      <c r="BA61" s="580">
        <f>AZ61*$AN$23</f>
        <v>0.81346600000000002</v>
      </c>
      <c r="BB61" s="583">
        <f>AZ61*$BB$23</f>
        <v>0</v>
      </c>
      <c r="BC61" s="583">
        <f>AZ61*$BC$23</f>
        <v>0</v>
      </c>
      <c r="BD61" s="579">
        <f t="shared" si="18"/>
        <v>0.81347268118811877</v>
      </c>
      <c r="BE61" s="580">
        <f t="shared" si="19"/>
        <v>0</v>
      </c>
      <c r="BF61" s="581">
        <f t="shared" si="20"/>
        <v>0</v>
      </c>
      <c r="BG61" s="579">
        <f t="shared" si="82"/>
        <v>0.81347268118811877</v>
      </c>
      <c r="BH61" s="580">
        <f t="shared" si="82"/>
        <v>0</v>
      </c>
      <c r="BI61" s="581">
        <f t="shared" si="82"/>
        <v>0</v>
      </c>
      <c r="BJ61" s="285"/>
      <c r="BK61" s="536" t="str">
        <f ca="1">AK61</f>
        <v>ICDTF</v>
      </c>
      <c r="BL61" s="578" t="s">
        <v>59</v>
      </c>
      <c r="BM61" s="579">
        <f>F119/1000</f>
        <v>1.5882989999999999</v>
      </c>
      <c r="BN61" s="580">
        <f>BM61*$AN$23</f>
        <v>1.5882989999999999</v>
      </c>
      <c r="BO61" s="583">
        <f>BM61*$BB$23</f>
        <v>0</v>
      </c>
      <c r="BP61" s="583">
        <f>BM61*$BC$23</f>
        <v>0</v>
      </c>
      <c r="BQ61" s="579">
        <f t="shared" si="24"/>
        <v>1.5883059564356439</v>
      </c>
      <c r="BR61" s="580">
        <f t="shared" si="25"/>
        <v>0</v>
      </c>
      <c r="BS61" s="581">
        <f t="shared" si="26"/>
        <v>0</v>
      </c>
      <c r="BT61" s="579">
        <f t="shared" si="83"/>
        <v>1.5883059564356439</v>
      </c>
      <c r="BU61" s="580">
        <f t="shared" si="83"/>
        <v>0</v>
      </c>
      <c r="BV61" s="581">
        <f t="shared" si="83"/>
        <v>0</v>
      </c>
      <c r="BW61" s="285"/>
      <c r="BX61" s="285"/>
      <c r="BY61" s="285"/>
    </row>
    <row r="62" spans="3:77" ht="12.75" customHeight="1">
      <c r="C62" s="173" t="str">
        <f ca="1">+IF(OFFSET(Processes!B43,$D$11,0)="*","*",OFFSET(Processes!D43,$D$11,0))</f>
        <v>INDCDFLTLPGE1</v>
      </c>
      <c r="D62" s="173" t="str">
        <f ca="1">+OFFSET(Processes!E43,$D$11,0)</f>
        <v>Chemical industry Forklifts - LPG Existing 1</v>
      </c>
      <c r="E62" s="172" t="str">
        <f>+Processes!O43</f>
        <v>INDLPG,INDSNG1,INDSNG2</v>
      </c>
      <c r="F62" s="173" t="str">
        <f ca="1">+OFFSET(Processes!$M$12,$D$11,0) &amp; Processes!P43</f>
        <v>ICDFL</v>
      </c>
      <c r="G62" s="323">
        <f t="shared" si="78"/>
        <v>0</v>
      </c>
      <c r="H62" s="323">
        <f t="shared" si="78"/>
        <v>0</v>
      </c>
      <c r="I62" s="323">
        <f t="shared" si="78"/>
        <v>0</v>
      </c>
      <c r="J62" s="323">
        <f t="shared" si="79"/>
        <v>0</v>
      </c>
      <c r="K62" s="323">
        <f t="shared" si="79"/>
        <v>0</v>
      </c>
      <c r="L62" s="323">
        <f t="shared" si="79"/>
        <v>0</v>
      </c>
      <c r="M62" s="323" t="e">
        <f t="shared" si="80"/>
        <v>#REF!</v>
      </c>
      <c r="N62" s="323" t="e">
        <f t="shared" si="80"/>
        <v>#REF!</v>
      </c>
      <c r="O62" s="323" t="e">
        <f t="shared" si="80"/>
        <v>#REF!</v>
      </c>
      <c r="P62" s="323" t="e">
        <f t="shared" si="3"/>
        <v>#REF!</v>
      </c>
      <c r="Q62" s="323" t="e">
        <f t="shared" si="4"/>
        <v>#REF!</v>
      </c>
      <c r="R62" s="323" t="e">
        <f t="shared" si="5"/>
        <v>#REF!</v>
      </c>
      <c r="S62" s="323" t="e">
        <f t="shared" si="77"/>
        <v>#REF!</v>
      </c>
      <c r="T62" s="323" t="e">
        <f t="shared" si="76"/>
        <v>#REF!</v>
      </c>
      <c r="U62" s="323" t="e">
        <f t="shared" si="76"/>
        <v>#REF!</v>
      </c>
      <c r="V62" s="323">
        <v>5</v>
      </c>
      <c r="W62" s="343">
        <v>1</v>
      </c>
      <c r="X62" s="522">
        <f t="shared" si="84"/>
        <v>1</v>
      </c>
      <c r="Y62" s="522">
        <f t="shared" si="84"/>
        <v>1</v>
      </c>
      <c r="Z62" s="326">
        <f t="shared" si="75"/>
        <v>3.1536000000000002E-2</v>
      </c>
      <c r="AA62" s="392">
        <f>$AA$61</f>
        <v>0.5</v>
      </c>
      <c r="AB62" s="331">
        <v>20</v>
      </c>
      <c r="AC62" s="326"/>
      <c r="AD62" s="326"/>
      <c r="AE62" s="331"/>
      <c r="AG62" s="236">
        <f t="shared" si="71"/>
        <v>0</v>
      </c>
      <c r="AH62" s="236">
        <f t="shared" si="72"/>
        <v>0</v>
      </c>
      <c r="AI62" s="236" t="e">
        <f t="shared" si="73"/>
        <v>#REF!</v>
      </c>
      <c r="AJ62" s="285"/>
      <c r="AK62" s="536" t="str">
        <f ca="1">F62</f>
        <v>ICDFL</v>
      </c>
      <c r="AL62" s="532" t="s">
        <v>53</v>
      </c>
      <c r="AM62" s="533">
        <f>H79/1000</f>
        <v>0</v>
      </c>
      <c r="AN62" s="534">
        <f>AM62*$AN$23</f>
        <v>0</v>
      </c>
      <c r="AO62" s="535">
        <f>AM62*$AO$23</f>
        <v>0</v>
      </c>
      <c r="AP62" s="535">
        <f>AM62*$AP$23</f>
        <v>0</v>
      </c>
      <c r="AQ62" s="545">
        <f t="shared" si="13"/>
        <v>0</v>
      </c>
      <c r="AR62" s="535">
        <f t="shared" si="14"/>
        <v>0</v>
      </c>
      <c r="AS62" s="541">
        <f t="shared" si="15"/>
        <v>0</v>
      </c>
      <c r="AT62" s="546">
        <f t="shared" si="81"/>
        <v>0</v>
      </c>
      <c r="AU62" s="537">
        <f t="shared" si="81"/>
        <v>0</v>
      </c>
      <c r="AV62" s="538">
        <f t="shared" si="81"/>
        <v>0</v>
      </c>
      <c r="AW62" s="285"/>
      <c r="AX62" s="536" t="str">
        <f t="shared" ca="1" si="17"/>
        <v>ICDFL</v>
      </c>
      <c r="AY62" s="532" t="s">
        <v>53</v>
      </c>
      <c r="AZ62" s="533">
        <f>H99/1000</f>
        <v>0</v>
      </c>
      <c r="BA62" s="534">
        <f>AZ62*$AN$23</f>
        <v>0</v>
      </c>
      <c r="BB62" s="535">
        <f>AZ62*$BB$23</f>
        <v>0</v>
      </c>
      <c r="BC62" s="535">
        <f>AZ62*$BC$23</f>
        <v>0</v>
      </c>
      <c r="BD62" s="546">
        <f t="shared" si="18"/>
        <v>0</v>
      </c>
      <c r="BE62" s="537">
        <f t="shared" si="19"/>
        <v>0</v>
      </c>
      <c r="BF62" s="538">
        <f t="shared" si="20"/>
        <v>0</v>
      </c>
      <c r="BG62" s="546">
        <f t="shared" si="82"/>
        <v>0</v>
      </c>
      <c r="BH62" s="537">
        <f t="shared" si="82"/>
        <v>0</v>
      </c>
      <c r="BI62" s="538">
        <f t="shared" si="82"/>
        <v>0</v>
      </c>
      <c r="BJ62" s="285"/>
      <c r="BK62" s="536" t="str">
        <f ca="1">AK62</f>
        <v>ICDFL</v>
      </c>
      <c r="BL62" s="532" t="s">
        <v>53</v>
      </c>
      <c r="BM62" s="533" t="e">
        <f>H119/1000</f>
        <v>#REF!</v>
      </c>
      <c r="BN62" s="534" t="e">
        <f>BM62*$AN$23</f>
        <v>#REF!</v>
      </c>
      <c r="BO62" s="535" t="e">
        <f>BM62*$BB$23</f>
        <v>#REF!</v>
      </c>
      <c r="BP62" s="535" t="e">
        <f>BM62*$BC$23</f>
        <v>#REF!</v>
      </c>
      <c r="BQ62" s="546">
        <f t="shared" si="24"/>
        <v>0</v>
      </c>
      <c r="BR62" s="537">
        <f t="shared" si="25"/>
        <v>0</v>
      </c>
      <c r="BS62" s="538">
        <f t="shared" si="26"/>
        <v>0</v>
      </c>
      <c r="BT62" s="546">
        <f t="shared" si="83"/>
        <v>0</v>
      </c>
      <c r="BU62" s="537">
        <f t="shared" si="83"/>
        <v>0</v>
      </c>
      <c r="BV62" s="538">
        <f t="shared" si="83"/>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2"/>
      <c r="AF65" s="82"/>
      <c r="AG65" s="82"/>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F67" s="285"/>
    </row>
    <row r="68" spans="3:66" ht="12.75" customHeight="1">
      <c r="L68" s="288"/>
      <c r="O68" s="285"/>
      <c r="Q68" s="86"/>
      <c r="R68" s="25"/>
      <c r="S68" s="25"/>
      <c r="T68" s="34"/>
      <c r="U68" s="34"/>
      <c r="V68" s="285"/>
      <c r="W68" s="285"/>
      <c r="X68" s="285"/>
      <c r="Y68" s="285"/>
      <c r="Z68" s="285"/>
      <c r="AB68" s="25"/>
      <c r="AD68" s="285"/>
    </row>
    <row r="69" spans="3:66" ht="12.75" customHeight="1">
      <c r="T69" s="285"/>
      <c r="U69" s="285"/>
      <c r="V69" s="287"/>
      <c r="W69" s="285"/>
      <c r="X69" s="285"/>
      <c r="Y69" s="285"/>
      <c r="Z69" s="285"/>
      <c r="AA69" s="285"/>
      <c r="AB69" s="25"/>
      <c r="AE69" s="285"/>
    </row>
    <row r="70" spans="3:66" ht="12.75" customHeight="1">
      <c r="C70" s="259" t="s">
        <v>510</v>
      </c>
      <c r="E70" s="25"/>
      <c r="F70" s="25"/>
      <c r="G70" s="25"/>
      <c r="H70" s="25"/>
      <c r="I70" s="25"/>
      <c r="J70" s="25"/>
      <c r="K70" s="25"/>
      <c r="O70" s="86"/>
      <c r="T70" s="285"/>
      <c r="U70" s="285"/>
      <c r="V70" s="287"/>
      <c r="W70" s="285"/>
      <c r="X70" s="285"/>
      <c r="Y70" s="285"/>
      <c r="Z70" s="285"/>
      <c r="AA70" s="285"/>
      <c r="AB70" s="25"/>
      <c r="AE70" s="285"/>
    </row>
    <row r="71" spans="3:66" ht="12.75" customHeight="1">
      <c r="O71" s="86"/>
      <c r="T71" s="285"/>
      <c r="U71" s="285"/>
      <c r="V71" s="287"/>
      <c r="W71" s="285"/>
      <c r="X71" s="285"/>
      <c r="Y71" s="285"/>
      <c r="Z71" s="285"/>
      <c r="AA71" s="285"/>
      <c r="AB71" s="25"/>
      <c r="AE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66" ht="12.75" customHeight="1">
      <c r="C76" s="10" t="str">
        <f t="shared" ref="C76:N76" si="86">+D149</f>
        <v>Agg End-use</v>
      </c>
      <c r="D76" s="20" t="str">
        <f t="shared" si="86"/>
        <v>01 Coal</v>
      </c>
      <c r="E76" s="20" t="str">
        <f t="shared" si="86"/>
        <v>02 Fuel oil</v>
      </c>
      <c r="F76" s="20" t="str">
        <f t="shared" si="86"/>
        <v>03 Diesel</v>
      </c>
      <c r="G76" s="20" t="str">
        <f t="shared" si="86"/>
        <v>04 Gasoline</v>
      </c>
      <c r="H76" s="20" t="str">
        <f t="shared" si="86"/>
        <v>05 LPG</v>
      </c>
      <c r="I76" s="20" t="str">
        <f t="shared" si="86"/>
        <v>06 Natural gas</v>
      </c>
      <c r="J76" s="20" t="str">
        <f t="shared" si="86"/>
        <v>07 Biogas</v>
      </c>
      <c r="K76" s="20" t="str">
        <f t="shared" si="86"/>
        <v>08 Biomass</v>
      </c>
      <c r="L76" s="20" t="str">
        <f t="shared" si="86"/>
        <v>09 Waste</v>
      </c>
      <c r="M76" s="190" t="str">
        <f t="shared" si="86"/>
        <v>10 Electricity</v>
      </c>
      <c r="N76" s="190" t="str">
        <f t="shared" si="86"/>
        <v>11 District heating</v>
      </c>
      <c r="O76" s="86"/>
      <c r="T76" s="124" t="s">
        <v>152</v>
      </c>
      <c r="V76" s="125">
        <f>+'Energy matrix'!B3</f>
        <v>2010</v>
      </c>
    </row>
    <row r="77" spans="3:66" ht="12.75" customHeight="1">
      <c r="C77" s="13" t="str">
        <f>$D$150</f>
        <v>Process heat temperature</v>
      </c>
      <c r="D77" s="14">
        <f t="shared" ref="D77:N77" si="87">+INDEX($E150:$O150,1,D$75) * INDEX($V$78:$V$88,D$75,1)</f>
        <v>21580.32</v>
      </c>
      <c r="E77" s="14">
        <f t="shared" si="87"/>
        <v>45956.372000000003</v>
      </c>
      <c r="F77" s="14">
        <f t="shared" si="87"/>
        <v>0</v>
      </c>
      <c r="G77" s="14">
        <f t="shared" si="87"/>
        <v>0</v>
      </c>
      <c r="H77" s="14">
        <f t="shared" si="87"/>
        <v>0</v>
      </c>
      <c r="I77" s="14">
        <f t="shared" si="87"/>
        <v>201713.4063</v>
      </c>
      <c r="J77" s="14">
        <f t="shared" si="87"/>
        <v>4839</v>
      </c>
      <c r="K77" s="14">
        <f t="shared" si="87"/>
        <v>1701</v>
      </c>
      <c r="L77" s="14">
        <f t="shared" si="87"/>
        <v>6545</v>
      </c>
      <c r="M77" s="14">
        <f t="shared" si="87"/>
        <v>0</v>
      </c>
      <c r="N77" s="14">
        <f t="shared" si="87"/>
        <v>0</v>
      </c>
      <c r="O77" s="86"/>
      <c r="T77" s="48" t="s">
        <v>209</v>
      </c>
      <c r="U77" s="48"/>
      <c r="V77" s="126" t="str">
        <f>+INDEX('Energy matrix'!C4:N4,1,$D$2)</f>
        <v>Chemical and petrochemical</v>
      </c>
      <c r="W77" s="48"/>
    </row>
    <row r="78" spans="3:66" ht="12.75" customHeight="1">
      <c r="C78" s="13" t="str">
        <f>$D$151</f>
        <v>Cooling demand</v>
      </c>
      <c r="D78" s="14">
        <f t="shared" ref="D78:N78" si="88">+INDEX($E151:$O151,1,D$75) * INDEX($V$78:$V$88,D$75,1)</f>
        <v>0</v>
      </c>
      <c r="E78" s="14">
        <f t="shared" si="88"/>
        <v>0</v>
      </c>
      <c r="F78" s="14">
        <f t="shared" si="88"/>
        <v>0</v>
      </c>
      <c r="G78" s="14">
        <f t="shared" si="88"/>
        <v>0</v>
      </c>
      <c r="H78" s="14">
        <f t="shared" si="88"/>
        <v>0</v>
      </c>
      <c r="I78" s="14">
        <f t="shared" si="88"/>
        <v>0</v>
      </c>
      <c r="J78" s="14">
        <f t="shared" si="88"/>
        <v>0</v>
      </c>
      <c r="K78" s="14">
        <f t="shared" si="88"/>
        <v>0</v>
      </c>
      <c r="L78" s="14">
        <f t="shared" si="88"/>
        <v>0</v>
      </c>
      <c r="M78" s="14">
        <f t="shared" si="88"/>
        <v>20725.452000000001</v>
      </c>
      <c r="N78" s="14">
        <f t="shared" si="88"/>
        <v>0</v>
      </c>
      <c r="O78" s="86"/>
      <c r="T78" s="117" t="str">
        <f>+'Energy matrix'!B5</f>
        <v>Coal</v>
      </c>
      <c r="U78" s="117"/>
      <c r="V78" s="118">
        <f>+INDEX('Energy matrix'!C5:N5,1,$D$2)</f>
        <v>21580.32</v>
      </c>
      <c r="W78" s="117"/>
    </row>
    <row r="79" spans="3:66" ht="12.75" customHeight="1">
      <c r="C79" s="13" t="str">
        <f>$D$152</f>
        <v>Haullage</v>
      </c>
      <c r="D79" s="19">
        <f t="shared" ref="D79:N79" si="89">+INDEX($E152:$O152,1,D$75) * INDEX($V$78:$V$88,D$75,1)</f>
        <v>0</v>
      </c>
      <c r="E79" s="19">
        <f t="shared" si="89"/>
        <v>0</v>
      </c>
      <c r="F79" s="19">
        <f t="shared" si="89"/>
        <v>2916.86</v>
      </c>
      <c r="G79" s="19">
        <f t="shared" si="89"/>
        <v>0</v>
      </c>
      <c r="H79" s="19">
        <f t="shared" si="89"/>
        <v>0</v>
      </c>
      <c r="I79" s="19">
        <f t="shared" si="89"/>
        <v>0</v>
      </c>
      <c r="J79" s="19">
        <f t="shared" si="89"/>
        <v>0</v>
      </c>
      <c r="K79" s="19">
        <f t="shared" si="89"/>
        <v>0</v>
      </c>
      <c r="L79" s="19">
        <f t="shared" si="89"/>
        <v>0</v>
      </c>
      <c r="M79" s="19">
        <f t="shared" si="89"/>
        <v>0</v>
      </c>
      <c r="N79" s="19">
        <f t="shared" si="89"/>
        <v>0</v>
      </c>
      <c r="O79" s="86"/>
      <c r="T79" s="117" t="str">
        <f>+'Energy matrix'!B6</f>
        <v>Fuel Oil</v>
      </c>
      <c r="U79" s="117"/>
      <c r="V79" s="118">
        <f>+INDEX('Energy matrix'!C6:N6,1,$D$2)</f>
        <v>45956.372000000003</v>
      </c>
      <c r="W79" s="117"/>
    </row>
    <row r="80" spans="3:66" ht="12.75" customHeight="1">
      <c r="C80" s="13" t="str">
        <f>$D$153</f>
        <v>Light and electronics</v>
      </c>
      <c r="D80" s="14">
        <f t="shared" ref="D80:N80" si="90">+INDEX($E153:$O153,1,D$75) * INDEX($V$78:$V$88,D$75,1)</f>
        <v>0</v>
      </c>
      <c r="E80" s="14">
        <f t="shared" si="90"/>
        <v>0</v>
      </c>
      <c r="F80" s="14">
        <f t="shared" si="90"/>
        <v>0</v>
      </c>
      <c r="G80" s="14">
        <f t="shared" si="90"/>
        <v>0</v>
      </c>
      <c r="H80" s="14">
        <f t="shared" si="90"/>
        <v>0</v>
      </c>
      <c r="I80" s="14">
        <f t="shared" si="90"/>
        <v>0</v>
      </c>
      <c r="J80" s="14">
        <f t="shared" si="90"/>
        <v>0</v>
      </c>
      <c r="K80" s="14">
        <f t="shared" si="90"/>
        <v>0</v>
      </c>
      <c r="L80" s="14">
        <f t="shared" si="90"/>
        <v>0</v>
      </c>
      <c r="M80" s="14">
        <f t="shared" si="90"/>
        <v>13188.924000000003</v>
      </c>
      <c r="N80" s="14">
        <f t="shared" si="90"/>
        <v>0</v>
      </c>
      <c r="O80" s="86"/>
      <c r="T80" s="117" t="str">
        <f>+'Energy matrix'!B7</f>
        <v>Diesel</v>
      </c>
      <c r="U80" s="117"/>
      <c r="V80" s="118">
        <f>+INDEX('Energy matrix'!C7:N7,1,$D$2)</f>
        <v>2916.86</v>
      </c>
      <c r="W80" s="117"/>
    </row>
    <row r="81" spans="3:24" ht="12.75" customHeight="1">
      <c r="C81" s="13" t="str">
        <f>$D$154</f>
        <v>Electric motors</v>
      </c>
      <c r="D81" s="14">
        <f t="shared" ref="D81:N81" si="91">+INDEX($E154:$O154,1,D$75) * INDEX($V$78:$V$88,D$75,1)</f>
        <v>0</v>
      </c>
      <c r="E81" s="14">
        <f t="shared" si="91"/>
        <v>0</v>
      </c>
      <c r="F81" s="14">
        <f t="shared" si="91"/>
        <v>0</v>
      </c>
      <c r="G81" s="14">
        <f t="shared" si="91"/>
        <v>0</v>
      </c>
      <c r="H81" s="14">
        <f t="shared" si="91"/>
        <v>0</v>
      </c>
      <c r="I81" s="14">
        <f t="shared" si="91"/>
        <v>0</v>
      </c>
      <c r="J81" s="14">
        <f t="shared" si="91"/>
        <v>0</v>
      </c>
      <c r="K81" s="14">
        <f t="shared" si="91"/>
        <v>0</v>
      </c>
      <c r="L81" s="14">
        <f t="shared" si="91"/>
        <v>0</v>
      </c>
      <c r="M81" s="14">
        <f t="shared" si="91"/>
        <v>152614.69200000001</v>
      </c>
      <c r="N81" s="14">
        <f t="shared" si="91"/>
        <v>0</v>
      </c>
      <c r="O81" s="86"/>
      <c r="T81" s="117" t="str">
        <f>+'Energy matrix'!B8</f>
        <v>Gasoline</v>
      </c>
      <c r="U81" s="117"/>
      <c r="V81" s="118">
        <f>+INDEX('Energy matrix'!C8:N8,1,$D$2)</f>
        <v>0</v>
      </c>
      <c r="W81" s="117"/>
    </row>
    <row r="82" spans="3:24" ht="12.75" customHeight="1">
      <c r="C82" s="13" t="str">
        <f>$D$155</f>
        <v>Spatial heating</v>
      </c>
      <c r="D82" s="14">
        <f t="shared" ref="D82:N82" si="92">+INDEX($E155:$O155,1,D$75) * INDEX($V$78:$V$88,D$75,1)</f>
        <v>0</v>
      </c>
      <c r="E82" s="14">
        <f t="shared" si="92"/>
        <v>0</v>
      </c>
      <c r="F82" s="14">
        <f t="shared" si="92"/>
        <v>0</v>
      </c>
      <c r="G82" s="14">
        <f t="shared" si="92"/>
        <v>0</v>
      </c>
      <c r="H82" s="14">
        <f t="shared" si="92"/>
        <v>0</v>
      </c>
      <c r="I82" s="14">
        <f t="shared" si="92"/>
        <v>22412.600700000003</v>
      </c>
      <c r="J82" s="14">
        <f t="shared" si="92"/>
        <v>0</v>
      </c>
      <c r="K82" s="14">
        <f t="shared" si="92"/>
        <v>0</v>
      </c>
      <c r="L82" s="14">
        <f t="shared" si="92"/>
        <v>0</v>
      </c>
      <c r="M82" s="14">
        <f t="shared" si="92"/>
        <v>1884.1320000000001</v>
      </c>
      <c r="N82" s="14">
        <f t="shared" si="92"/>
        <v>75475</v>
      </c>
      <c r="O82" s="86"/>
      <c r="T82" s="117" t="str">
        <f>+'Energy matrix'!B9</f>
        <v>LPG</v>
      </c>
      <c r="U82" s="117"/>
      <c r="V82" s="118">
        <f>+INDEX('Energy matrix'!C9:N9,1,$D$2)</f>
        <v>0</v>
      </c>
      <c r="W82" s="117"/>
    </row>
    <row r="83" spans="3:24" ht="12.75" customHeight="1">
      <c r="C83" s="17" t="s">
        <v>57</v>
      </c>
      <c r="D83" s="18">
        <f t="shared" ref="D83:N83" si="93">SUM(D77:D82)</f>
        <v>21580.32</v>
      </c>
      <c r="E83" s="18">
        <f t="shared" si="93"/>
        <v>45956.372000000003</v>
      </c>
      <c r="F83" s="18">
        <f t="shared" si="93"/>
        <v>2916.86</v>
      </c>
      <c r="G83" s="18">
        <f t="shared" si="93"/>
        <v>0</v>
      </c>
      <c r="H83" s="18">
        <f t="shared" si="93"/>
        <v>0</v>
      </c>
      <c r="I83" s="18">
        <f t="shared" si="93"/>
        <v>224126.00700000001</v>
      </c>
      <c r="J83" s="18">
        <f t="shared" si="93"/>
        <v>4839</v>
      </c>
      <c r="K83" s="18">
        <f t="shared" si="93"/>
        <v>1701</v>
      </c>
      <c r="L83" s="18">
        <f t="shared" si="93"/>
        <v>6545</v>
      </c>
      <c r="M83" s="18">
        <f t="shared" si="93"/>
        <v>188413.20000000004</v>
      </c>
      <c r="N83" s="18">
        <f t="shared" si="93"/>
        <v>75475</v>
      </c>
      <c r="O83" s="86"/>
      <c r="T83" s="117" t="str">
        <f>+'Energy matrix'!B11</f>
        <v>Natural gas</v>
      </c>
      <c r="U83" s="117"/>
      <c r="V83" s="118">
        <f>+INDEX('Energy matrix'!C11:N11,1,$D$2)</f>
        <v>224126.00700000001</v>
      </c>
      <c r="W83" s="117"/>
    </row>
    <row r="84" spans="3:24" ht="12.75" customHeight="1">
      <c r="E84" s="25"/>
      <c r="F84" s="25"/>
      <c r="G84" s="25"/>
      <c r="H84" s="25"/>
      <c r="I84" s="25"/>
      <c r="J84" s="25"/>
      <c r="K84" s="25"/>
      <c r="O84" s="86"/>
      <c r="T84" s="117" t="str">
        <f>+'Energy matrix'!B12</f>
        <v>Biogas</v>
      </c>
      <c r="U84" s="117"/>
      <c r="V84" s="118">
        <f>+INDEX('Energy matrix'!C12:N12,1,$D$2)</f>
        <v>4839</v>
      </c>
      <c r="W84" s="117"/>
    </row>
    <row r="85" spans="3:24" ht="12.75" customHeight="1">
      <c r="E85" s="25"/>
      <c r="F85" s="25"/>
      <c r="G85" s="25"/>
      <c r="H85" s="25"/>
      <c r="I85" s="25"/>
      <c r="J85" s="25"/>
      <c r="K85" s="25"/>
      <c r="O85" s="86"/>
      <c r="T85" s="117" t="str">
        <f>+'Energy matrix'!B17</f>
        <v>Biomass</v>
      </c>
      <c r="U85" s="117"/>
      <c r="V85" s="118">
        <f>+INDEX('Energy matrix'!C17:N17,1,$D$2)</f>
        <v>1701</v>
      </c>
      <c r="W85" s="117"/>
    </row>
    <row r="86" spans="3:24" ht="12.75" customHeight="1">
      <c r="O86" s="86"/>
      <c r="T86" s="117" t="str">
        <f>+'Energy matrix'!B18</f>
        <v>Waste</v>
      </c>
      <c r="U86" s="117"/>
      <c r="V86" s="118">
        <f>+INDEX('Energy matrix'!C18:N18,1,$D$2)</f>
        <v>6545</v>
      </c>
      <c r="W86" s="117"/>
    </row>
    <row r="87" spans="3:24" ht="12.75" customHeight="1">
      <c r="O87" s="86"/>
      <c r="T87" s="117" t="str">
        <f>+'Energy matrix'!B19</f>
        <v>Electricity</v>
      </c>
      <c r="U87" s="117"/>
      <c r="V87" s="118">
        <f>+INDEX('Energy matrix'!C19:N19,1,$D$2)</f>
        <v>188413.2</v>
      </c>
      <c r="W87" s="117"/>
    </row>
    <row r="88" spans="3:24" ht="12.75" customHeight="1">
      <c r="O88" s="86"/>
      <c r="T88" s="122" t="str">
        <f>+'Energy matrix'!B20</f>
        <v>District Heating</v>
      </c>
      <c r="U88" s="122"/>
      <c r="V88" s="123">
        <f>+INDEX('Energy matrix'!C20:N20,1,$D$2)</f>
        <v>75475</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571552.75900000008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94">+E95+1</f>
        <v>3</v>
      </c>
      <c r="G95" s="89">
        <f t="shared" ref="G95" si="95">+F95+1</f>
        <v>4</v>
      </c>
      <c r="H95" s="89">
        <f t="shared" ref="H95" si="96">+G95+1</f>
        <v>5</v>
      </c>
      <c r="I95" s="89">
        <f t="shared" ref="I95" si="97">+H95+1</f>
        <v>6</v>
      </c>
      <c r="J95" s="89">
        <f t="shared" ref="J95" si="98">+I95+1</f>
        <v>7</v>
      </c>
      <c r="K95" s="89">
        <f t="shared" ref="K95" si="99">+J95+1</f>
        <v>8</v>
      </c>
      <c r="L95" s="89">
        <f t="shared" ref="L95" si="100">+K95+1</f>
        <v>9</v>
      </c>
      <c r="M95" s="89">
        <f t="shared" ref="M95" si="101">+L95+1</f>
        <v>10</v>
      </c>
      <c r="N95" s="89">
        <f t="shared" ref="N95" si="102">+M95+1</f>
        <v>11</v>
      </c>
      <c r="O95" s="86"/>
      <c r="R95" s="287"/>
      <c r="S95" s="287"/>
      <c r="T95" s="291"/>
      <c r="U95" s="291"/>
      <c r="W95" s="291"/>
    </row>
    <row r="96" spans="3:24" s="285" customFormat="1" ht="12.75" customHeight="1">
      <c r="C96" s="10" t="str">
        <f t="shared" ref="C96:N96" si="103">+D149</f>
        <v>Agg End-use</v>
      </c>
      <c r="D96" s="10" t="str">
        <f t="shared" si="103"/>
        <v>01 Coal</v>
      </c>
      <c r="E96" s="10" t="str">
        <f t="shared" si="103"/>
        <v>02 Fuel oil</v>
      </c>
      <c r="F96" s="10" t="str">
        <f t="shared" si="103"/>
        <v>03 Diesel</v>
      </c>
      <c r="G96" s="10" t="str">
        <f t="shared" si="103"/>
        <v>04 Gasoline</v>
      </c>
      <c r="H96" s="10" t="str">
        <f t="shared" si="103"/>
        <v>05 LPG</v>
      </c>
      <c r="I96" s="10" t="str">
        <f t="shared" si="103"/>
        <v>06 Natural gas</v>
      </c>
      <c r="J96" s="10" t="str">
        <f t="shared" si="103"/>
        <v>07 Biogas</v>
      </c>
      <c r="K96" s="10" t="str">
        <f t="shared" si="103"/>
        <v>08 Biomass</v>
      </c>
      <c r="L96" s="10" t="str">
        <f t="shared" si="103"/>
        <v>09 Waste</v>
      </c>
      <c r="M96" s="10" t="str">
        <f t="shared" si="103"/>
        <v>10 Electricity</v>
      </c>
      <c r="N96" s="10" t="str">
        <f t="shared" si="103"/>
        <v>11 District heating</v>
      </c>
      <c r="O96" s="86"/>
      <c r="R96" s="287"/>
      <c r="S96" s="287"/>
      <c r="T96" s="124" t="s">
        <v>152</v>
      </c>
      <c r="V96" s="125">
        <v>2012</v>
      </c>
    </row>
    <row r="97" spans="3:24" s="285" customFormat="1" ht="12.75" customHeight="1">
      <c r="C97" s="13" t="str">
        <f>$D$150</f>
        <v>Process heat temperature</v>
      </c>
      <c r="D97" s="14">
        <f t="shared" ref="D97:N97" si="104">+INDEX($E150:$O150,1,D$95) * INDEX($V$98:$V$108,D$95,1)</f>
        <v>41000.930999999997</v>
      </c>
      <c r="E97" s="14">
        <f t="shared" si="104"/>
        <v>53525.79</v>
      </c>
      <c r="F97" s="14">
        <f t="shared" si="104"/>
        <v>0</v>
      </c>
      <c r="G97" s="14">
        <f t="shared" si="104"/>
        <v>0</v>
      </c>
      <c r="H97" s="14">
        <f t="shared" si="104"/>
        <v>0</v>
      </c>
      <c r="I97" s="14">
        <f t="shared" si="104"/>
        <v>184304.16</v>
      </c>
      <c r="J97" s="14" t="e">
        <f t="shared" si="104"/>
        <v>#REF!</v>
      </c>
      <c r="K97" s="14">
        <f t="shared" si="104"/>
        <v>1409</v>
      </c>
      <c r="L97" s="14">
        <f t="shared" si="104"/>
        <v>8685</v>
      </c>
      <c r="M97" s="14">
        <f t="shared" si="104"/>
        <v>0</v>
      </c>
      <c r="N97" s="14">
        <f t="shared" si="104"/>
        <v>0</v>
      </c>
      <c r="O97" s="86"/>
      <c r="R97" s="287"/>
      <c r="S97" s="287"/>
      <c r="T97" s="48" t="s">
        <v>209</v>
      </c>
      <c r="U97" s="48"/>
      <c r="V97" s="126" t="str">
        <f>+INDEX('Energy matrix'!C28:N28,1,$D$2)</f>
        <v>Chemical and petrochemical</v>
      </c>
      <c r="W97" s="48"/>
    </row>
    <row r="98" spans="3:24" s="285" customFormat="1" ht="12.75" customHeight="1">
      <c r="C98" s="13" t="str">
        <f>$D$151</f>
        <v>Cooling demand</v>
      </c>
      <c r="D98" s="14">
        <f t="shared" ref="D98:N98" si="105">+INDEX($E151:$O151,1,D$95) * INDEX($V$98:$V$108,D$95,1)</f>
        <v>0</v>
      </c>
      <c r="E98" s="14">
        <f t="shared" si="105"/>
        <v>0</v>
      </c>
      <c r="F98" s="14">
        <f t="shared" si="105"/>
        <v>0</v>
      </c>
      <c r="G98" s="14">
        <f t="shared" si="105"/>
        <v>0</v>
      </c>
      <c r="H98" s="14">
        <f t="shared" si="105"/>
        <v>0</v>
      </c>
      <c r="I98" s="14">
        <f t="shared" si="105"/>
        <v>0</v>
      </c>
      <c r="J98" s="14" t="e">
        <f t="shared" si="105"/>
        <v>#REF!</v>
      </c>
      <c r="K98" s="14">
        <f t="shared" si="105"/>
        <v>0</v>
      </c>
      <c r="L98" s="14">
        <f t="shared" si="105"/>
        <v>0</v>
      </c>
      <c r="M98" s="14">
        <f t="shared" si="105"/>
        <v>21172.14</v>
      </c>
      <c r="N98" s="14">
        <f t="shared" si="105"/>
        <v>0</v>
      </c>
      <c r="O98" s="86"/>
      <c r="R98" s="287"/>
      <c r="S98" s="287"/>
      <c r="T98" s="117" t="str">
        <f>'Energy matrix'!B29</f>
        <v>Coal</v>
      </c>
      <c r="U98" s="117"/>
      <c r="V98" s="118">
        <f>+INDEX('Energy matrix'!C29:N29,1,$D$2)</f>
        <v>41000.930999999997</v>
      </c>
      <c r="W98" s="117"/>
    </row>
    <row r="99" spans="3:24" s="285" customFormat="1" ht="12.75" customHeight="1">
      <c r="C99" s="13" t="str">
        <f>$D$152</f>
        <v>Haullage</v>
      </c>
      <c r="D99" s="19">
        <f t="shared" ref="D99:N99" si="106">+INDEX($E152:$O152,1,D$95) * INDEX($V$98:$V$108,D$95,1)</f>
        <v>0</v>
      </c>
      <c r="E99" s="19">
        <f t="shared" si="106"/>
        <v>0</v>
      </c>
      <c r="F99" s="19">
        <f t="shared" si="106"/>
        <v>813.46600000000001</v>
      </c>
      <c r="G99" s="19">
        <f t="shared" si="106"/>
        <v>0</v>
      </c>
      <c r="H99" s="19">
        <f t="shared" si="106"/>
        <v>0</v>
      </c>
      <c r="I99" s="19">
        <f t="shared" si="106"/>
        <v>0</v>
      </c>
      <c r="J99" s="19" t="e">
        <f t="shared" si="106"/>
        <v>#REF!</v>
      </c>
      <c r="K99" s="19">
        <f t="shared" si="106"/>
        <v>0</v>
      </c>
      <c r="L99" s="19">
        <f t="shared" si="106"/>
        <v>0</v>
      </c>
      <c r="M99" s="19">
        <f t="shared" si="106"/>
        <v>0</v>
      </c>
      <c r="N99" s="19">
        <f t="shared" si="106"/>
        <v>0</v>
      </c>
      <c r="O99" s="86"/>
      <c r="R99" s="287"/>
      <c r="S99" s="287"/>
      <c r="T99" s="117" t="str">
        <f>'Energy matrix'!B30</f>
        <v>Fuel Oil</v>
      </c>
      <c r="U99" s="117"/>
      <c r="V99" s="118">
        <f>+INDEX('Energy matrix'!C30:N30,1,$D$2)</f>
        <v>53525.79</v>
      </c>
      <c r="W99" s="117"/>
    </row>
    <row r="100" spans="3:24" s="285" customFormat="1" ht="12.75" customHeight="1">
      <c r="C100" s="13" t="str">
        <f>$D$153</f>
        <v>Light and electronics</v>
      </c>
      <c r="D100" s="14">
        <f t="shared" ref="D100:N100" si="107">+INDEX($E153:$O153,1,D$95) * INDEX($V$98:$V$108,D$95,1)</f>
        <v>0</v>
      </c>
      <c r="E100" s="14">
        <f t="shared" si="107"/>
        <v>0</v>
      </c>
      <c r="F100" s="14">
        <f t="shared" si="107"/>
        <v>0</v>
      </c>
      <c r="G100" s="14">
        <f t="shared" si="107"/>
        <v>0</v>
      </c>
      <c r="H100" s="14">
        <f t="shared" si="107"/>
        <v>0</v>
      </c>
      <c r="I100" s="14">
        <f t="shared" si="107"/>
        <v>0</v>
      </c>
      <c r="J100" s="14" t="e">
        <f t="shared" si="107"/>
        <v>#REF!</v>
      </c>
      <c r="K100" s="14">
        <f t="shared" si="107"/>
        <v>0</v>
      </c>
      <c r="L100" s="14">
        <f t="shared" si="107"/>
        <v>0</v>
      </c>
      <c r="M100" s="14">
        <f t="shared" si="107"/>
        <v>13473.180000000002</v>
      </c>
      <c r="N100" s="14">
        <f t="shared" si="107"/>
        <v>0</v>
      </c>
      <c r="O100" s="86"/>
      <c r="R100" s="287"/>
      <c r="S100" s="287"/>
      <c r="T100" s="117" t="str">
        <f>'Energy matrix'!B31</f>
        <v>Diesel</v>
      </c>
      <c r="U100" s="117"/>
      <c r="V100" s="118">
        <f>+INDEX('Energy matrix'!C31:N31,1,$D$2)</f>
        <v>813.46600000000001</v>
      </c>
      <c r="W100" s="117"/>
    </row>
    <row r="101" spans="3:24" s="285" customFormat="1" ht="12.75" customHeight="1">
      <c r="C101" s="13" t="str">
        <f>$D$154</f>
        <v>Electric motors</v>
      </c>
      <c r="D101" s="14">
        <f t="shared" ref="D101:N101" si="108">+INDEX($E154:$O154,1,D$95) * INDEX($V$98:$V$108,D$95,1)</f>
        <v>0</v>
      </c>
      <c r="E101" s="14">
        <f t="shared" si="108"/>
        <v>0</v>
      </c>
      <c r="F101" s="14">
        <f t="shared" si="108"/>
        <v>0</v>
      </c>
      <c r="G101" s="14">
        <f t="shared" si="108"/>
        <v>0</v>
      </c>
      <c r="H101" s="14">
        <f t="shared" si="108"/>
        <v>0</v>
      </c>
      <c r="I101" s="14">
        <f t="shared" si="108"/>
        <v>0</v>
      </c>
      <c r="J101" s="14" t="e">
        <f t="shared" si="108"/>
        <v>#REF!</v>
      </c>
      <c r="K101" s="14">
        <f t="shared" si="108"/>
        <v>0</v>
      </c>
      <c r="L101" s="14">
        <f t="shared" si="108"/>
        <v>0</v>
      </c>
      <c r="M101" s="14">
        <f t="shared" si="108"/>
        <v>155903.94</v>
      </c>
      <c r="N101" s="14">
        <f t="shared" si="108"/>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09">+INDEX($E155:$O155,1,D$95) * INDEX($V$98:$V$108,D$95,1)</f>
        <v>0</v>
      </c>
      <c r="E102" s="14">
        <f t="shared" si="109"/>
        <v>0</v>
      </c>
      <c r="F102" s="14">
        <f t="shared" si="109"/>
        <v>0</v>
      </c>
      <c r="G102" s="14">
        <f t="shared" si="109"/>
        <v>0</v>
      </c>
      <c r="H102" s="14">
        <f t="shared" si="109"/>
        <v>0</v>
      </c>
      <c r="I102" s="14">
        <f t="shared" si="109"/>
        <v>20478.240000000002</v>
      </c>
      <c r="J102" s="14" t="e">
        <f t="shared" si="109"/>
        <v>#REF!</v>
      </c>
      <c r="K102" s="14">
        <f t="shared" si="109"/>
        <v>0</v>
      </c>
      <c r="L102" s="14">
        <f t="shared" si="109"/>
        <v>0</v>
      </c>
      <c r="M102" s="14">
        <f t="shared" si="109"/>
        <v>1924.74</v>
      </c>
      <c r="N102" s="14">
        <f t="shared" si="109"/>
        <v>97183</v>
      </c>
      <c r="O102" s="86"/>
      <c r="R102" s="287"/>
      <c r="S102" s="287"/>
      <c r="T102" s="117" t="str">
        <f>'Energy matrix'!B33</f>
        <v>LPG</v>
      </c>
      <c r="U102" s="117"/>
      <c r="V102" s="118">
        <f>+INDEX('Energy matrix'!C33:N33,1,$D$2)</f>
        <v>0</v>
      </c>
      <c r="W102" s="117"/>
    </row>
    <row r="103" spans="3:24" s="285" customFormat="1" ht="12.75" customHeight="1">
      <c r="C103" s="17" t="s">
        <v>57</v>
      </c>
      <c r="D103" s="18">
        <f t="shared" ref="D103:N103" si="110">SUM(D97:D102)</f>
        <v>41000.930999999997</v>
      </c>
      <c r="E103" s="18">
        <f t="shared" si="110"/>
        <v>53525.79</v>
      </c>
      <c r="F103" s="18">
        <f t="shared" si="110"/>
        <v>813.46600000000001</v>
      </c>
      <c r="G103" s="18">
        <f t="shared" si="110"/>
        <v>0</v>
      </c>
      <c r="H103" s="18">
        <f t="shared" si="110"/>
        <v>0</v>
      </c>
      <c r="I103" s="18">
        <f t="shared" si="110"/>
        <v>204782.4</v>
      </c>
      <c r="J103" s="18" t="e">
        <f t="shared" si="110"/>
        <v>#REF!</v>
      </c>
      <c r="K103" s="18">
        <f t="shared" si="110"/>
        <v>1409</v>
      </c>
      <c r="L103" s="18">
        <f t="shared" si="110"/>
        <v>8685</v>
      </c>
      <c r="M103" s="18">
        <f t="shared" si="110"/>
        <v>192474</v>
      </c>
      <c r="N103" s="18">
        <f t="shared" si="110"/>
        <v>97183</v>
      </c>
      <c r="O103" s="86"/>
      <c r="R103" s="287"/>
      <c r="S103" s="287"/>
      <c r="T103" s="117" t="str">
        <f>'Energy matrix'!B35</f>
        <v>Natural gas</v>
      </c>
      <c r="U103" s="117"/>
      <c r="V103" s="118">
        <f>+INDEX('Energy matrix'!C35:N35,1,$D$2)</f>
        <v>204782.4</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1409</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8685</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192474</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97183</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1">+E115+1</f>
        <v>3</v>
      </c>
      <c r="G115" s="89">
        <f t="shared" ref="G115" si="112">+F115+1</f>
        <v>4</v>
      </c>
      <c r="H115" s="89">
        <f t="shared" ref="H115" si="113">+G115+1</f>
        <v>5</v>
      </c>
      <c r="I115" s="89">
        <f t="shared" ref="I115" si="114">+H115+1</f>
        <v>6</v>
      </c>
      <c r="J115" s="89">
        <f t="shared" ref="J115" si="115">+I115+1</f>
        <v>7</v>
      </c>
      <c r="K115" s="89">
        <f t="shared" ref="K115" si="116">+J115+1</f>
        <v>8</v>
      </c>
      <c r="L115" s="89">
        <f t="shared" ref="L115" si="117">+K115+1</f>
        <v>9</v>
      </c>
      <c r="M115" s="89">
        <f t="shared" ref="M115" si="118">+L115+1</f>
        <v>10</v>
      </c>
      <c r="N115" s="89">
        <f t="shared" ref="N115" si="119">+M115+1</f>
        <v>11</v>
      </c>
      <c r="O115" s="86"/>
      <c r="T115" s="46"/>
      <c r="U115" s="46"/>
      <c r="W115" s="46"/>
    </row>
    <row r="116" spans="3:31" ht="12.75" customHeight="1">
      <c r="C116" s="10" t="str">
        <f>+C76</f>
        <v>Agg End-use</v>
      </c>
      <c r="D116" s="10" t="str">
        <f t="shared" ref="D116:N116" si="120">+D76</f>
        <v>01 Coal</v>
      </c>
      <c r="E116" s="10" t="str">
        <f t="shared" si="120"/>
        <v>02 Fuel oil</v>
      </c>
      <c r="F116" s="10" t="str">
        <f t="shared" si="120"/>
        <v>03 Diesel</v>
      </c>
      <c r="G116" s="10" t="str">
        <f t="shared" si="120"/>
        <v>04 Gasoline</v>
      </c>
      <c r="H116" s="10" t="str">
        <f t="shared" si="120"/>
        <v>05 LPG</v>
      </c>
      <c r="I116" s="10" t="str">
        <f t="shared" si="120"/>
        <v>06 Natural gas</v>
      </c>
      <c r="J116" s="10" t="str">
        <f t="shared" si="120"/>
        <v>07 Biogas</v>
      </c>
      <c r="K116" s="10" t="str">
        <f t="shared" si="120"/>
        <v>08 Biomass</v>
      </c>
      <c r="L116" s="10" t="str">
        <f t="shared" si="120"/>
        <v>09 Waste</v>
      </c>
      <c r="M116" s="10" t="str">
        <f t="shared" si="120"/>
        <v>10 Electricity</v>
      </c>
      <c r="N116" s="10" t="str">
        <f t="shared" si="120"/>
        <v>11 District heating</v>
      </c>
      <c r="O116" s="86"/>
      <c r="T116" s="124" t="s">
        <v>152</v>
      </c>
      <c r="V116" s="125">
        <f>+'Energy matrix'!B51</f>
        <v>2019</v>
      </c>
    </row>
    <row r="117" spans="3:31" ht="12.75" customHeight="1">
      <c r="C117" s="13" t="str">
        <f>$D$150</f>
        <v>Process heat temperature</v>
      </c>
      <c r="D117" s="14">
        <f t="shared" ref="D117:N117" si="121">+INDEX($E150:$O150,1,D$115) * INDEX($V$118:$V$128,D$115,1)</f>
        <v>14652.936</v>
      </c>
      <c r="E117" s="14">
        <f t="shared" si="121"/>
        <v>21139.732</v>
      </c>
      <c r="F117" s="14">
        <f t="shared" si="121"/>
        <v>0</v>
      </c>
      <c r="G117" s="14">
        <f t="shared" si="121"/>
        <v>0</v>
      </c>
      <c r="H117" s="14" t="e">
        <f t="shared" si="121"/>
        <v>#REF!</v>
      </c>
      <c r="I117" s="14">
        <f t="shared" si="121"/>
        <v>1522.8</v>
      </c>
      <c r="J117" s="14">
        <f t="shared" si="121"/>
        <v>209784.61600000001</v>
      </c>
      <c r="K117" s="14">
        <f t="shared" si="121"/>
        <v>682</v>
      </c>
      <c r="L117" s="14">
        <f t="shared" si="121"/>
        <v>1113</v>
      </c>
      <c r="M117" s="14">
        <f t="shared" si="121"/>
        <v>0</v>
      </c>
      <c r="N117" s="14">
        <f t="shared" si="121"/>
        <v>0</v>
      </c>
      <c r="O117" s="86"/>
      <c r="T117" s="48" t="s">
        <v>209</v>
      </c>
      <c r="U117" s="48"/>
      <c r="V117" s="126" t="str">
        <f>+INDEX('Energy matrix'!C52:N52,1,$D$2)</f>
        <v>Chemical and petrochemical</v>
      </c>
      <c r="W117" s="48"/>
    </row>
    <row r="118" spans="3:31" ht="12.75" customHeight="1">
      <c r="C118" s="13" t="str">
        <f>$D$151</f>
        <v>Cooling demand</v>
      </c>
      <c r="D118" s="14">
        <f t="shared" ref="D118:N118" si="122">+INDEX($E151:$O151,1,D$115) * INDEX($V$118:$V$128,D$115,1)</f>
        <v>0</v>
      </c>
      <c r="E118" s="14">
        <f t="shared" si="122"/>
        <v>0</v>
      </c>
      <c r="F118" s="14">
        <f t="shared" si="122"/>
        <v>0</v>
      </c>
      <c r="G118" s="14">
        <f t="shared" si="122"/>
        <v>0</v>
      </c>
      <c r="H118" s="14" t="e">
        <f t="shared" si="122"/>
        <v>#REF!</v>
      </c>
      <c r="I118" s="14">
        <f t="shared" si="122"/>
        <v>0</v>
      </c>
      <c r="J118" s="14">
        <f t="shared" si="122"/>
        <v>0</v>
      </c>
      <c r="K118" s="14">
        <f t="shared" si="122"/>
        <v>0</v>
      </c>
      <c r="L118" s="14">
        <f t="shared" si="122"/>
        <v>0</v>
      </c>
      <c r="M118" s="14">
        <f t="shared" si="122"/>
        <v>962.28</v>
      </c>
      <c r="N118" s="14">
        <f t="shared" si="122"/>
        <v>0</v>
      </c>
      <c r="O118" s="86"/>
      <c r="T118" s="117" t="str">
        <f>'Energy matrix'!B53</f>
        <v>Coal</v>
      </c>
      <c r="U118" s="117"/>
      <c r="V118" s="118">
        <f>+INDEX('Energy matrix'!C53:N53,1,$D$2)</f>
        <v>14652.936</v>
      </c>
      <c r="W118" s="117"/>
    </row>
    <row r="119" spans="3:31" ht="12.75" customHeight="1">
      <c r="C119" s="13" t="str">
        <f>$D$152</f>
        <v>Haullage</v>
      </c>
      <c r="D119" s="19">
        <f t="shared" ref="D119:N119" si="123">+INDEX($E152:$O152,1,D$115) * INDEX($V$118:$V$128,D$115,1)</f>
        <v>0</v>
      </c>
      <c r="E119" s="19">
        <f t="shared" si="123"/>
        <v>0</v>
      </c>
      <c r="F119" s="19">
        <f t="shared" si="123"/>
        <v>1588.299</v>
      </c>
      <c r="G119" s="19">
        <f t="shared" si="123"/>
        <v>0</v>
      </c>
      <c r="H119" s="19" t="e">
        <f t="shared" si="123"/>
        <v>#REF!</v>
      </c>
      <c r="I119" s="19">
        <f t="shared" si="123"/>
        <v>0</v>
      </c>
      <c r="J119" s="19">
        <f t="shared" si="123"/>
        <v>0</v>
      </c>
      <c r="K119" s="19">
        <f t="shared" si="123"/>
        <v>0</v>
      </c>
      <c r="L119" s="19">
        <f t="shared" si="123"/>
        <v>0</v>
      </c>
      <c r="M119" s="19">
        <f t="shared" si="123"/>
        <v>0</v>
      </c>
      <c r="N119" s="19">
        <f t="shared" si="123"/>
        <v>0</v>
      </c>
      <c r="O119" s="86"/>
      <c r="T119" s="117" t="str">
        <f>'Energy matrix'!B54</f>
        <v>Fuel Oil</v>
      </c>
      <c r="U119" s="117"/>
      <c r="V119" s="118">
        <f>+INDEX('Energy matrix'!C54:N54,1,$D$2)</f>
        <v>21139.732</v>
      </c>
      <c r="W119" s="117"/>
    </row>
    <row r="120" spans="3:31" ht="12.75" customHeight="1">
      <c r="C120" s="13" t="str">
        <f>$D$153</f>
        <v>Light and electronics</v>
      </c>
      <c r="D120" s="14">
        <f t="shared" ref="D120:N120" si="124">+INDEX($E153:$O153,1,D$115) * INDEX($V$118:$V$128,D$115,1)</f>
        <v>0</v>
      </c>
      <c r="E120" s="14">
        <f t="shared" si="124"/>
        <v>0</v>
      </c>
      <c r="F120" s="14">
        <f t="shared" si="124"/>
        <v>0</v>
      </c>
      <c r="G120" s="14">
        <f t="shared" si="124"/>
        <v>0</v>
      </c>
      <c r="H120" s="14" t="e">
        <f t="shared" si="124"/>
        <v>#REF!</v>
      </c>
      <c r="I120" s="14">
        <f t="shared" si="124"/>
        <v>0</v>
      </c>
      <c r="J120" s="14">
        <f t="shared" si="124"/>
        <v>0</v>
      </c>
      <c r="K120" s="14">
        <f t="shared" si="124"/>
        <v>0</v>
      </c>
      <c r="L120" s="14">
        <f t="shared" si="124"/>
        <v>0</v>
      </c>
      <c r="M120" s="14">
        <f t="shared" si="124"/>
        <v>612.36</v>
      </c>
      <c r="N120" s="14">
        <f t="shared" si="124"/>
        <v>0</v>
      </c>
      <c r="O120" s="86"/>
      <c r="T120" s="117" t="str">
        <f>'Energy matrix'!B55</f>
        <v>Diesel</v>
      </c>
      <c r="U120" s="117"/>
      <c r="V120" s="118">
        <f>+INDEX('Energy matrix'!C55:N55,1,$D$2)</f>
        <v>1588.299</v>
      </c>
      <c r="W120" s="117"/>
    </row>
    <row r="121" spans="3:31" ht="12.75" customHeight="1">
      <c r="C121" s="13" t="str">
        <f>$D$154</f>
        <v>Electric motors</v>
      </c>
      <c r="D121" s="14">
        <f t="shared" ref="D121:N121" si="125">+INDEX($E154:$O154,1,D$115) * INDEX($V$118:$V$128,D$115,1)</f>
        <v>0</v>
      </c>
      <c r="E121" s="14">
        <f t="shared" si="125"/>
        <v>0</v>
      </c>
      <c r="F121" s="14">
        <f t="shared" si="125"/>
        <v>0</v>
      </c>
      <c r="G121" s="14">
        <f t="shared" si="125"/>
        <v>0</v>
      </c>
      <c r="H121" s="14" t="e">
        <f t="shared" si="125"/>
        <v>#REF!</v>
      </c>
      <c r="I121" s="14">
        <f t="shared" si="125"/>
        <v>0</v>
      </c>
      <c r="J121" s="14">
        <f t="shared" si="125"/>
        <v>0</v>
      </c>
      <c r="K121" s="14">
        <f t="shared" si="125"/>
        <v>0</v>
      </c>
      <c r="L121" s="14">
        <f t="shared" si="125"/>
        <v>0</v>
      </c>
      <c r="M121" s="14">
        <f t="shared" si="125"/>
        <v>7085.88</v>
      </c>
      <c r="N121" s="14">
        <f t="shared" si="125"/>
        <v>0</v>
      </c>
      <c r="O121" s="86"/>
      <c r="T121" s="117" t="str">
        <f>'Energy matrix'!B56</f>
        <v>Gasoline</v>
      </c>
      <c r="U121" s="117"/>
      <c r="V121" s="118">
        <f>+INDEX('Energy matrix'!C56:N56,1,$D$2)</f>
        <v>0</v>
      </c>
      <c r="W121" s="117"/>
    </row>
    <row r="122" spans="3:31" ht="12.75" customHeight="1">
      <c r="C122" s="13" t="str">
        <f>$D$155</f>
        <v>Spatial heating</v>
      </c>
      <c r="D122" s="14">
        <f t="shared" ref="D122:N122" si="126">+INDEX($E155:$O155,1,D$115) * INDEX($V$118:$V$128,D$115,1)</f>
        <v>0</v>
      </c>
      <c r="E122" s="14">
        <f t="shared" si="126"/>
        <v>0</v>
      </c>
      <c r="F122" s="14">
        <f t="shared" si="126"/>
        <v>0</v>
      </c>
      <c r="G122" s="14">
        <f t="shared" si="126"/>
        <v>0</v>
      </c>
      <c r="H122" s="14" t="e">
        <f t="shared" si="126"/>
        <v>#REF!</v>
      </c>
      <c r="I122" s="14">
        <f t="shared" si="126"/>
        <v>169.20000000000002</v>
      </c>
      <c r="J122" s="14">
        <f t="shared" si="126"/>
        <v>0</v>
      </c>
      <c r="K122" s="14">
        <f t="shared" si="126"/>
        <v>0</v>
      </c>
      <c r="L122" s="14">
        <f t="shared" si="126"/>
        <v>0</v>
      </c>
      <c r="M122" s="14">
        <f t="shared" si="126"/>
        <v>87.48</v>
      </c>
      <c r="N122" s="14">
        <f t="shared" si="126"/>
        <v>189748.8</v>
      </c>
      <c r="O122" s="86"/>
      <c r="T122" s="117" t="e">
        <f>'Energy matrix'!#REF!</f>
        <v>#REF!</v>
      </c>
      <c r="U122" s="117"/>
      <c r="V122" s="118" t="e">
        <f>+_xlfn.SINGLE(INDEX('Energy matrix'!#REF!,1,$D$2))</f>
        <v>#REF!</v>
      </c>
      <c r="W122" s="117"/>
    </row>
    <row r="123" spans="3:31" ht="12.75" customHeight="1">
      <c r="C123" s="17" t="s">
        <v>57</v>
      </c>
      <c r="D123" s="18">
        <f t="shared" ref="D123:N123" si="127">SUM(D117:D122)</f>
        <v>14652.936</v>
      </c>
      <c r="E123" s="18">
        <f t="shared" si="127"/>
        <v>21139.732</v>
      </c>
      <c r="F123" s="18">
        <f t="shared" si="127"/>
        <v>1588.299</v>
      </c>
      <c r="G123" s="18">
        <f t="shared" si="127"/>
        <v>0</v>
      </c>
      <c r="H123" s="18" t="e">
        <f t="shared" si="127"/>
        <v>#REF!</v>
      </c>
      <c r="I123" s="18">
        <f t="shared" si="127"/>
        <v>1692</v>
      </c>
      <c r="J123" s="18">
        <f t="shared" si="127"/>
        <v>209784.61600000001</v>
      </c>
      <c r="K123" s="18">
        <f t="shared" si="127"/>
        <v>682</v>
      </c>
      <c r="L123" s="18">
        <f t="shared" si="127"/>
        <v>1113</v>
      </c>
      <c r="M123" s="18">
        <f t="shared" si="127"/>
        <v>8748</v>
      </c>
      <c r="N123" s="18">
        <f t="shared" si="127"/>
        <v>189748.8</v>
      </c>
      <c r="O123" s="86"/>
      <c r="T123" s="117" t="str">
        <f>'Energy matrix'!B58</f>
        <v>Manufactured Gases</v>
      </c>
      <c r="U123" s="117"/>
      <c r="V123" s="118">
        <f>+INDEX('Energy matrix'!C58:N58,1,$D$2)</f>
        <v>1692</v>
      </c>
      <c r="W123" s="117"/>
    </row>
    <row r="124" spans="3:31" ht="12.75" customHeight="1">
      <c r="E124" s="25"/>
      <c r="F124" s="25"/>
      <c r="G124" s="25"/>
      <c r="H124" s="25"/>
      <c r="I124" s="25"/>
      <c r="J124" s="25"/>
      <c r="K124" s="25"/>
      <c r="O124" s="86"/>
      <c r="T124" s="117" t="str">
        <f>'Energy matrix'!B59</f>
        <v>Natural gas</v>
      </c>
      <c r="U124" s="117"/>
      <c r="V124" s="118">
        <f>+INDEX('Energy matrix'!C59:N59,1,$D$2)</f>
        <v>209784.61600000001</v>
      </c>
      <c r="W124" s="117"/>
    </row>
    <row r="125" spans="3:31" ht="12.75" customHeight="1">
      <c r="E125" s="25"/>
      <c r="F125" s="25"/>
      <c r="G125" s="25"/>
      <c r="H125" s="25"/>
      <c r="I125" s="25"/>
      <c r="J125" s="25"/>
      <c r="K125" s="25"/>
      <c r="O125" s="86"/>
      <c r="T125" s="117" t="str">
        <f>'Energy matrix'!B60</f>
        <v>Biogas</v>
      </c>
      <c r="U125" s="117"/>
      <c r="V125" s="118">
        <f>+INDEX('Energy matrix'!C60:N60,1,$D$2)</f>
        <v>682</v>
      </c>
      <c r="W125" s="117"/>
    </row>
    <row r="126" spans="3:31" ht="12.75" customHeight="1">
      <c r="O126" s="86"/>
      <c r="T126" s="117" t="str">
        <f>'Energy matrix'!B65</f>
        <v>Biomass</v>
      </c>
      <c r="U126" s="117"/>
      <c r="V126" s="118">
        <f>+INDEX('Energy matrix'!C65:N65,1,$D$2)</f>
        <v>1113</v>
      </c>
      <c r="W126" s="117"/>
    </row>
    <row r="127" spans="3:31" ht="12.75" customHeight="1">
      <c r="O127" s="86"/>
      <c r="T127" s="117" t="str">
        <f>'Energy matrix'!B66</f>
        <v>Waste</v>
      </c>
      <c r="U127" s="117"/>
      <c r="V127" s="118">
        <f>+INDEX('Energy matrix'!C66:N66,1,$D$2)</f>
        <v>8748</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189748.8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28">H136*0.98</f>
        <v>0.98</v>
      </c>
      <c r="I131" s="258">
        <f t="shared" si="128"/>
        <v>0.98</v>
      </c>
      <c r="J131" s="258">
        <f t="shared" si="128"/>
        <v>0.98</v>
      </c>
      <c r="K131" s="258">
        <f t="shared" si="128"/>
        <v>0.83299999999999996</v>
      </c>
      <c r="L131" s="258">
        <f t="shared" si="128"/>
        <v>0.93099999999999994</v>
      </c>
      <c r="M131" s="258">
        <f t="shared" si="128"/>
        <v>0.93099999999999994</v>
      </c>
      <c r="N131" s="258">
        <f t="shared" si="128"/>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29">H131*0.98</f>
        <v>0.96039999999999992</v>
      </c>
      <c r="I132" s="258">
        <f t="shared" si="129"/>
        <v>0.96039999999999992</v>
      </c>
      <c r="J132" s="258">
        <f t="shared" si="129"/>
        <v>0.96039999999999992</v>
      </c>
      <c r="K132" s="258">
        <f t="shared" si="129"/>
        <v>0.81633999999999995</v>
      </c>
      <c r="L132" s="258">
        <f t="shared" si="129"/>
        <v>0.91237999999999997</v>
      </c>
      <c r="M132" s="258">
        <f t="shared" si="129"/>
        <v>0.91237999999999997</v>
      </c>
      <c r="N132" s="258">
        <f t="shared" si="129"/>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Y149" s="285"/>
      <c r="AB149" s="25"/>
    </row>
    <row r="150" spans="3:28">
      <c r="C150" s="12" t="str">
        <f>D6</f>
        <v>02 Chemical and petrochemical</v>
      </c>
      <c r="D150" s="13" t="s">
        <v>534</v>
      </c>
      <c r="E150" s="22">
        <v>1</v>
      </c>
      <c r="F150" s="22">
        <v>1</v>
      </c>
      <c r="G150" s="22"/>
      <c r="H150" s="22">
        <v>0</v>
      </c>
      <c r="I150" s="22">
        <v>0.25</v>
      </c>
      <c r="J150" s="22">
        <v>0.9</v>
      </c>
      <c r="K150" s="22">
        <v>1</v>
      </c>
      <c r="L150" s="22">
        <v>1</v>
      </c>
      <c r="M150" s="22">
        <v>1</v>
      </c>
      <c r="N150" s="22">
        <v>0</v>
      </c>
      <c r="O150" s="22"/>
      <c r="P150" s="34"/>
      <c r="Q150" s="34"/>
      <c r="R150" s="25"/>
      <c r="S150" s="25"/>
      <c r="Y150" s="285"/>
      <c r="AB150" s="25"/>
    </row>
    <row r="151" spans="3:28">
      <c r="C151" s="15"/>
      <c r="D151" s="13" t="s">
        <v>535</v>
      </c>
      <c r="E151" s="22"/>
      <c r="F151" s="22"/>
      <c r="G151" s="22"/>
      <c r="H151" s="22">
        <v>0</v>
      </c>
      <c r="I151" s="22"/>
      <c r="J151" s="22"/>
      <c r="K151" s="22">
        <v>0</v>
      </c>
      <c r="L151" s="610"/>
      <c r="M151" s="22">
        <v>0</v>
      </c>
      <c r="N151" s="22">
        <v>0.11</v>
      </c>
      <c r="O151" s="22">
        <v>0</v>
      </c>
      <c r="P151" s="34"/>
      <c r="Q151" s="34"/>
      <c r="R151" s="25"/>
      <c r="S151" s="25"/>
      <c r="Y151" s="285"/>
      <c r="AB151" s="25"/>
    </row>
    <row r="152" spans="3:28">
      <c r="C152" s="15"/>
      <c r="D152" s="13" t="s">
        <v>536</v>
      </c>
      <c r="E152" s="22">
        <v>0</v>
      </c>
      <c r="F152" s="22"/>
      <c r="G152" s="22">
        <v>1</v>
      </c>
      <c r="H152" s="611">
        <v>1</v>
      </c>
      <c r="I152" s="22">
        <v>0.75</v>
      </c>
      <c r="J152" s="22">
        <v>0</v>
      </c>
      <c r="K152" s="22">
        <v>0</v>
      </c>
      <c r="L152" s="22"/>
      <c r="M152" s="22">
        <v>0</v>
      </c>
      <c r="N152" s="22">
        <v>0</v>
      </c>
      <c r="O152" s="22">
        <v>0</v>
      </c>
      <c r="P152" s="34"/>
      <c r="Q152" s="34"/>
      <c r="R152" s="25"/>
      <c r="S152" s="25"/>
      <c r="Y152" s="285"/>
      <c r="AB152" s="25"/>
    </row>
    <row r="153" spans="3:28">
      <c r="C153" s="15"/>
      <c r="D153" s="13" t="s">
        <v>537</v>
      </c>
      <c r="E153" s="22">
        <v>0</v>
      </c>
      <c r="F153" s="22">
        <v>0</v>
      </c>
      <c r="G153" s="22">
        <v>0</v>
      </c>
      <c r="H153" s="22">
        <v>0</v>
      </c>
      <c r="I153" s="22">
        <v>0</v>
      </c>
      <c r="J153" s="22">
        <v>0</v>
      </c>
      <c r="K153" s="22">
        <v>0</v>
      </c>
      <c r="L153" s="22">
        <v>0</v>
      </c>
      <c r="M153" s="22">
        <v>0</v>
      </c>
      <c r="N153" s="22">
        <v>7.0000000000000007E-2</v>
      </c>
      <c r="O153" s="22">
        <v>0</v>
      </c>
      <c r="P153" s="34"/>
      <c r="Q153" s="34"/>
      <c r="R153" s="25"/>
      <c r="S153" s="25"/>
      <c r="Y153" s="285"/>
      <c r="AB153" s="25"/>
    </row>
    <row r="154" spans="3:28">
      <c r="C154" s="15"/>
      <c r="D154" s="13" t="s">
        <v>538</v>
      </c>
      <c r="E154" s="22">
        <v>0</v>
      </c>
      <c r="F154" s="22">
        <v>0</v>
      </c>
      <c r="G154" s="22">
        <v>0</v>
      </c>
      <c r="H154" s="22">
        <v>0</v>
      </c>
      <c r="I154" s="22">
        <v>0</v>
      </c>
      <c r="J154" s="22">
        <v>0</v>
      </c>
      <c r="K154" s="22">
        <v>0</v>
      </c>
      <c r="L154" s="22">
        <v>0</v>
      </c>
      <c r="M154" s="22">
        <v>0</v>
      </c>
      <c r="N154" s="22">
        <v>0.81</v>
      </c>
      <c r="O154" s="22">
        <v>0</v>
      </c>
      <c r="P154" s="34"/>
      <c r="Q154" s="34"/>
      <c r="R154" s="25"/>
      <c r="S154" s="25"/>
      <c r="Y154" s="285"/>
      <c r="AB154" s="25"/>
    </row>
    <row r="155" spans="3:28">
      <c r="C155" s="16"/>
      <c r="D155" s="13" t="s">
        <v>539</v>
      </c>
      <c r="E155" s="22"/>
      <c r="F155" s="22"/>
      <c r="G155" s="22"/>
      <c r="H155" s="22"/>
      <c r="I155" s="22"/>
      <c r="J155" s="22">
        <v>0.1</v>
      </c>
      <c r="K155" s="22"/>
      <c r="L155" s="22"/>
      <c r="M155" s="22"/>
      <c r="N155" s="22">
        <v>0.01</v>
      </c>
      <c r="O155" s="22">
        <v>1</v>
      </c>
      <c r="P155" s="34"/>
      <c r="Q155" s="34"/>
      <c r="R155" s="25"/>
      <c r="S155" s="25"/>
      <c r="Y155" s="285"/>
      <c r="AB155" s="25"/>
    </row>
    <row r="156" spans="3:28">
      <c r="C156" s="17" t="str">
        <f>C150</f>
        <v>02 Chemical and petrochemical</v>
      </c>
      <c r="D156" s="17"/>
      <c r="E156" s="23">
        <f>SUM(E150:E155)</f>
        <v>1</v>
      </c>
      <c r="F156" s="23">
        <f t="shared" ref="F156:O156" si="130">SUM(F150:F155)</f>
        <v>1</v>
      </c>
      <c r="G156" s="23">
        <f t="shared" si="130"/>
        <v>1</v>
      </c>
      <c r="H156" s="23">
        <f t="shared" si="130"/>
        <v>1</v>
      </c>
      <c r="I156" s="23">
        <f t="shared" si="130"/>
        <v>1</v>
      </c>
      <c r="J156" s="23">
        <f t="shared" si="130"/>
        <v>1</v>
      </c>
      <c r="K156" s="23">
        <f t="shared" si="130"/>
        <v>1</v>
      </c>
      <c r="L156" s="23">
        <f t="shared" si="130"/>
        <v>1</v>
      </c>
      <c r="M156" s="23">
        <f t="shared" si="130"/>
        <v>1</v>
      </c>
      <c r="N156" s="23">
        <f>SUM(N150:N155)</f>
        <v>1</v>
      </c>
      <c r="O156" s="23">
        <f t="shared" si="130"/>
        <v>1</v>
      </c>
      <c r="P156" s="34"/>
      <c r="Q156" s="34"/>
      <c r="R156" s="25"/>
      <c r="S156" s="25"/>
      <c r="Y156" s="285"/>
      <c r="AB156" s="25"/>
    </row>
    <row r="163" spans="6:6">
      <c r="F163" s="63" t="s">
        <v>130</v>
      </c>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56"/>
  <sheetViews>
    <sheetView showGridLines="0" topLeftCell="Y17" zoomScale="70" zoomScaleNormal="70" workbookViewId="0">
      <selection activeCell="AQ27" sqref="AQ2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1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10.6640625" style="25" customWidth="1"/>
    <col min="44" max="44" width="8.5" style="25" customWidth="1"/>
    <col min="45" max="51" width="9.1640625" style="25"/>
    <col min="52" max="53" width="11.5" style="25" customWidth="1"/>
    <col min="54" max="54" width="9.1640625" style="25"/>
    <col min="55" max="55" width="10.33203125" style="25" bestFit="1" customWidth="1"/>
    <col min="56" max="16384" width="9.1640625" style="25"/>
  </cols>
  <sheetData>
    <row r="1" spans="3:29" ht="12.75" customHeight="1"/>
    <row r="2" spans="3:29" ht="12.75" customHeight="1">
      <c r="C2" s="62" t="s">
        <v>196</v>
      </c>
      <c r="D2" s="131">
        <v>4</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Glass &amp; Concrete industry</v>
      </c>
      <c r="E5" s="25"/>
      <c r="F5" s="197"/>
      <c r="G5" s="198"/>
    </row>
    <row r="6" spans="3:29" ht="12.75" customHeight="1">
      <c r="C6" s="62"/>
      <c r="D6" s="70" t="str">
        <f>+INDEX(Commodities!$Y$6:$Y$17,D2)</f>
        <v>04 Non-metallic minerals</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04 Non-metallic minerals</v>
      </c>
      <c r="E9" s="25"/>
    </row>
    <row r="10" spans="3:29" ht="12.75" customHeight="1">
      <c r="C10" s="62" t="s">
        <v>154</v>
      </c>
      <c r="D10" s="70">
        <f>+ROW(Processes!$M$44) - ROW(Processes!$M$7)</f>
        <v>37</v>
      </c>
      <c r="E10" s="25"/>
    </row>
    <row r="11" spans="3:29" ht="12.75" customHeight="1">
      <c r="C11" s="62" t="s">
        <v>194</v>
      </c>
      <c r="D11" s="70">
        <f>+$D$10*$D$2-$D$10</f>
        <v>111</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Non-metallic minerals</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51"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INDGDPHBNGAE1</v>
      </c>
      <c r="D26" s="146" t="str">
        <f ca="1">+OFFSET(Processes!E7,$D$11,0)</f>
        <v>Glass &amp; Concrete industry Heat Medium Temp. Boiler - Nat. Gas Existing 1</v>
      </c>
      <c r="E26" s="149" t="str">
        <f>+Processes!O7</f>
        <v>INDSNG1,INDSNG2,INDNGA</v>
      </c>
      <c r="F26" s="149" t="str">
        <f ca="1">+OFFSET(Processes!$M$12,$D$11,0) &amp; Processes!P7</f>
        <v>IGDPH</v>
      </c>
      <c r="G26" s="322">
        <f>ROUNDUP(AN26/($Z26*$AA26)*G$21*W26,3)</f>
        <v>6058.2610000000004</v>
      </c>
      <c r="H26" s="322">
        <f t="shared" ref="H26:I26" si="0">ROUNDUP(AO26/($Z26*$AA26)*H$21*X26,3)</f>
        <v>0</v>
      </c>
      <c r="I26" s="322">
        <f t="shared" si="0"/>
        <v>318.85599999999999</v>
      </c>
      <c r="J26" s="322">
        <f>ROUNDUP(BA26/($Z26*$AA26)*J$21*W26,3)</f>
        <v>6202.7190000000001</v>
      </c>
      <c r="K26" s="322">
        <f>ROUNDUP(BB26/($Z26*$AA26)*K$21*X26,3)</f>
        <v>0</v>
      </c>
      <c r="L26" s="322">
        <f>ROUNDUP(BC26/($Z26*$AA26)*L$21*Y26,3)</f>
        <v>326.459</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97.378804305898214</v>
      </c>
      <c r="AH26" s="236">
        <f t="shared" ref="AH26:AH41" si="9">((J26*Z26*AA26/W26)+(K26*Z26*AA26/X26))/$J$21</f>
        <v>98.812359256415448</v>
      </c>
      <c r="AI26" s="236">
        <f t="shared" ref="AI26:AI41" si="10">((M26*AA26*Z26/W26)+(N26*Z26*AA26/X26))/$M$21</f>
        <v>0</v>
      </c>
      <c r="AJ26" s="285"/>
      <c r="AK26" s="530" t="str">
        <f ca="1">F26</f>
        <v>IGDPH</v>
      </c>
      <c r="AL26" s="350" t="s">
        <v>97</v>
      </c>
      <c r="AM26" s="313">
        <f>I77/1000</f>
        <v>102.503992</v>
      </c>
      <c r="AN26" s="310">
        <f>AM26*$AN$23</f>
        <v>97.378792399999995</v>
      </c>
      <c r="AO26" s="311">
        <f>AM26*$AO$23</f>
        <v>0</v>
      </c>
      <c r="AP26" s="311">
        <f>AM26*$AP$23</f>
        <v>5.1251996000000002</v>
      </c>
      <c r="AQ26" s="312">
        <f>IFERROR(G26*$Z26*$AA26/G$21,0)</f>
        <v>95.431228219780252</v>
      </c>
      <c r="AR26" s="311">
        <f>IFERROR(H26*$Z26*$AA26/H$21,0)</f>
        <v>0</v>
      </c>
      <c r="AS26" s="338">
        <f>IFERROR(I26*$Z26*$AA26/I$21,0)</f>
        <v>5.0226987092907107</v>
      </c>
      <c r="AT26" s="313">
        <f t="shared" ref="AT26:AV29" si="11">IFERROR(AQ26/W26,0)</f>
        <v>97.378804305898214</v>
      </c>
      <c r="AU26" s="310">
        <f t="shared" si="11"/>
        <v>0</v>
      </c>
      <c r="AV26" s="357">
        <f t="shared" si="11"/>
        <v>5.1252027645823581</v>
      </c>
      <c r="AW26" s="285"/>
      <c r="AX26" s="530" t="str">
        <f t="shared" ref="AX26:AX62" ca="1" si="12">AK26</f>
        <v>IGDPH</v>
      </c>
      <c r="AY26" s="350" t="s">
        <v>97</v>
      </c>
      <c r="AZ26" s="313">
        <f>I97/1000</f>
        <v>104.01300000000001</v>
      </c>
      <c r="BA26" s="310">
        <f>AZ26*$AN$23</f>
        <v>98.812349999999995</v>
      </c>
      <c r="BB26" s="311">
        <f>AZ26*$BB$23</f>
        <v>0</v>
      </c>
      <c r="BC26" s="311">
        <f>AZ26*$BC$23</f>
        <v>5.2006500000000004</v>
      </c>
      <c r="BD26" s="313">
        <f t="shared" ref="BD26" si="13">IFERROR(J26*$Z26*AA26/J$21,0)</f>
        <v>96.836112071287133</v>
      </c>
      <c r="BE26" s="310">
        <f t="shared" ref="BE26" si="14">IFERROR(K26*$Z26*AA26/K$21,0)</f>
        <v>0</v>
      </c>
      <c r="BF26" s="357">
        <f>IFERROR(L26*$Z26*AA26/L$21,0)</f>
        <v>5.0966391207920791</v>
      </c>
      <c r="BG26" s="313">
        <f t="shared" ref="BG26:BG35" si="15">IFERROR(BD26/W26,0)</f>
        <v>98.812359256415448</v>
      </c>
      <c r="BH26" s="310">
        <f t="shared" ref="BH26:BH35" si="16">IFERROR(BE26/X26,0)</f>
        <v>0</v>
      </c>
      <c r="BI26" s="357">
        <f t="shared" ref="BI26:BI35" si="17">IFERROR(BF26/Y26,0)</f>
        <v>5.2006521640735501</v>
      </c>
      <c r="BJ26" s="285"/>
      <c r="BK26" s="530" t="str">
        <f ca="1">AK26</f>
        <v>IGDPH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INDGDPHBCOAE1</v>
      </c>
      <c r="D27" s="146" t="str">
        <f ca="1">+OFFSET(Processes!E8,$D$11,0)</f>
        <v>Glass &amp; Concrete industry Heat Medium Temp. Boiler - Coal Existing 1</v>
      </c>
      <c r="E27" s="149" t="str">
        <f>+Processes!O8</f>
        <v>INDCOA</v>
      </c>
      <c r="F27" s="149" t="str">
        <f ca="1">+OFFSET(Processes!$M$12,$D$11,0) &amp; Processes!P8</f>
        <v>IGDPH</v>
      </c>
      <c r="G27" s="322">
        <f t="shared" ref="G27:G62" si="18">ROUNDUP(AN27/($Z27*$AA27)*G$21*W27,3)</f>
        <v>3175.3070000000002</v>
      </c>
      <c r="H27" s="322">
        <f t="shared" ref="H27:H62" si="19">ROUNDUP(AO27/($Z27*$AA27)*H$21*X27,3)</f>
        <v>0</v>
      </c>
      <c r="I27" s="322">
        <f t="shared" ref="I27:I61" si="20">ROUNDUP(AP27/($Z27*$AA27)*I$21*Y27,3)</f>
        <v>167.12200000000001</v>
      </c>
      <c r="J27" s="322">
        <f t="shared" ref="J27:J62" si="21">ROUNDUP(BA27/($Z27*$AA27)*J$21*W27,3)</f>
        <v>3274.0480000000002</v>
      </c>
      <c r="K27" s="322">
        <f t="shared" ref="K27:K62" si="22">ROUNDUP(BB27/($Z27*$AA27)*K$21*X27,3)</f>
        <v>0</v>
      </c>
      <c r="L27" s="322">
        <f t="shared" ref="L27:L62" si="23">ROUNDUP(BC27/($Z27*$AA27)*L$21*Y27,3)</f>
        <v>172.31900000000002</v>
      </c>
      <c r="M27" s="322">
        <f t="shared" ref="M27:M62" si="24">ROUNDUP(BN27/($Z27*$AA27)*M$21*W27,3)</f>
        <v>3052.172</v>
      </c>
      <c r="N27" s="322">
        <f t="shared" ref="N27:N62" si="25">ROUNDUP(BO27/($Z27*$AA27)*N$21*X27,3)</f>
        <v>0</v>
      </c>
      <c r="O27" s="322">
        <f t="shared" ref="O27:O62" si="26">ROUNDUP(BP27/($Z27*$AA27)*O$21*Y27,3)</f>
        <v>160.64099999999999</v>
      </c>
      <c r="P27" s="322">
        <f t="shared" si="1"/>
        <v>3052.172</v>
      </c>
      <c r="Q27" s="322">
        <f t="shared" si="2"/>
        <v>0</v>
      </c>
      <c r="R27" s="322">
        <f t="shared" si="3"/>
        <v>160.64099999999999</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53.725265900587075</v>
      </c>
      <c r="AH27" s="236">
        <f t="shared" si="9"/>
        <v>54.902307604938812</v>
      </c>
      <c r="AI27" s="236">
        <f t="shared" si="10"/>
        <v>51.181682738671299</v>
      </c>
      <c r="AJ27" s="285"/>
      <c r="AK27" s="290"/>
      <c r="AL27" s="291" t="s">
        <v>98</v>
      </c>
      <c r="AM27" s="307">
        <f>D77/1000</f>
        <v>56.552896000000004</v>
      </c>
      <c r="AN27" s="308">
        <f>AM27*$AN$23</f>
        <v>53.725251200000002</v>
      </c>
      <c r="AO27" s="309">
        <f t="shared" ref="AO27:AO29" si="27">AM27*$AO$23</f>
        <v>0</v>
      </c>
      <c r="AP27" s="309">
        <f>AM27*$AP$23</f>
        <v>2.8276448000000003</v>
      </c>
      <c r="AQ27" s="306">
        <f t="shared" ref="AQ27:AQ62" si="28">IFERROR(G27*$Z27*$AA27/G$21,0)</f>
        <v>50.018222553446563</v>
      </c>
      <c r="AR27" s="309">
        <f t="shared" ref="AR27:AR62" si="29">IFERROR(H27*$Z27*$AA27/H$21,0)</f>
        <v>0</v>
      </c>
      <c r="AS27" s="540">
        <f t="shared" ref="AS27:AS62" si="30">IFERROR(I27*$Z27*$AA27/I$21,0)</f>
        <v>2.6325471488511494</v>
      </c>
      <c r="AT27" s="307">
        <f t="shared" si="11"/>
        <v>53.725265900587075</v>
      </c>
      <c r="AU27" s="308">
        <f t="shared" si="11"/>
        <v>0</v>
      </c>
      <c r="AV27" s="353">
        <f t="shared" si="11"/>
        <v>2.8276553693352842</v>
      </c>
      <c r="AW27" s="285"/>
      <c r="AX27" s="290"/>
      <c r="AY27" s="291" t="s">
        <v>98</v>
      </c>
      <c r="AZ27" s="307">
        <f>D97/1000</f>
        <v>57.791899999999998</v>
      </c>
      <c r="BA27" s="308">
        <f>AZ27*$AN$23</f>
        <v>54.902304999999998</v>
      </c>
      <c r="BB27" s="309">
        <f t="shared" ref="BB27:BB29" si="31">AZ27*$BB$23</f>
        <v>0</v>
      </c>
      <c r="BC27" s="309">
        <f t="shared" ref="BC27:BC29" si="32">AZ27*$BC$23</f>
        <v>2.8895949999999999</v>
      </c>
      <c r="BD27" s="307">
        <f t="shared" ref="BD27:BD62" si="33">IFERROR(J27*$Z27*AA27/J$21,0)</f>
        <v>51.114048380198028</v>
      </c>
      <c r="BE27" s="308">
        <f t="shared" ref="BE27:BE62" si="34">IFERROR(K27*$Z27*AA27/K$21,0)</f>
        <v>0</v>
      </c>
      <c r="BF27" s="353">
        <f t="shared" ref="BF27:BF62" si="35">IFERROR(L27*$Z27*AA27/L$21,0)</f>
        <v>2.6902237544554461</v>
      </c>
      <c r="BG27" s="307">
        <f t="shared" si="15"/>
        <v>54.902307604938812</v>
      </c>
      <c r="BH27" s="308">
        <f t="shared" si="16"/>
        <v>0</v>
      </c>
      <c r="BI27" s="353">
        <f t="shared" si="17"/>
        <v>2.8896066105858713</v>
      </c>
      <c r="BJ27" s="285"/>
      <c r="BK27" s="290"/>
      <c r="BL27" s="291" t="s">
        <v>98</v>
      </c>
      <c r="BM27" s="307">
        <f>D117/1000</f>
        <v>53.875453</v>
      </c>
      <c r="BN27" s="308">
        <f>BM27*$AN$23</f>
        <v>51.181680350000001</v>
      </c>
      <c r="BO27" s="309">
        <f t="shared" ref="BO27:BO29" si="36">BM27*$BB$23</f>
        <v>0</v>
      </c>
      <c r="BP27" s="309">
        <f t="shared" ref="BP27:BP29" si="37">BM27*$BC$23</f>
        <v>2.6937726500000001</v>
      </c>
      <c r="BQ27" s="307">
        <f t="shared" ref="BQ27:BQ62" si="38">IFERROR(M27*$Z27*$AA27/M$21,0)</f>
        <v>47.650146629702974</v>
      </c>
      <c r="BR27" s="308">
        <f t="shared" ref="BR27:BR62" si="39">IFERROR(N27*$Z27*$AA27/N$21,0)</f>
        <v>0</v>
      </c>
      <c r="BS27" s="353">
        <f t="shared" ref="BS27:BS62" si="40">IFERROR(O27*$Z27*$AA27/O$21,0)</f>
        <v>2.5079082059405944</v>
      </c>
      <c r="BT27" s="307">
        <f t="shared" ref="BT27:BT35" si="41">IFERROR(BQ27/W27,0)</f>
        <v>51.181682738671299</v>
      </c>
      <c r="BU27" s="308">
        <f t="shared" ref="BU27:BU35" si="42">IFERROR(BR27/X27,0)</f>
        <v>0</v>
      </c>
      <c r="BV27" s="353">
        <f t="shared" ref="BV27:BV35" si="43">IFERROR(BS27/Y27,0)</f>
        <v>2.693778953749296</v>
      </c>
      <c r="BW27" s="285"/>
      <c r="BX27" s="236">
        <f>H23</f>
        <v>0</v>
      </c>
      <c r="BY27" s="285"/>
    </row>
    <row r="28" spans="3:77" ht="12.75" customHeight="1">
      <c r="C28" s="146" t="str">
        <f ca="1">+IF(OFFSET(Processes!B9,$D$11,0)="*","*",OFFSET(Processes!D9,$D$11,0))</f>
        <v>INDGDPHBDSLE1</v>
      </c>
      <c r="D28" s="146" t="str">
        <f ca="1">+OFFSET(Processes!E9,$D$11,0)</f>
        <v>Glass &amp; Concrete industry Heat Medium Temp. Boiler - Diesel Existing 1</v>
      </c>
      <c r="E28" s="149" t="str">
        <f>+Processes!O9</f>
        <v>INDDSB1,INDDSB2,INDDSL</v>
      </c>
      <c r="F28" s="149" t="str">
        <f ca="1">+OFFSET(Processes!$M$12,$D$11,0) &amp; Processes!P9</f>
        <v>IGDPH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INDGDPHBWPEE1</v>
      </c>
      <c r="D29" s="146" t="str">
        <f ca="1">+OFFSET(Processes!E10,$D$11,0)</f>
        <v>Glass &amp; Concrete industry Heat Medium Temp. Boiler - Wood Pellets Existing 1</v>
      </c>
      <c r="E29" s="149" t="str">
        <f>+Processes!O10</f>
        <v>INDWPE</v>
      </c>
      <c r="F29" s="149" t="str">
        <f ca="1">+OFFSET(Processes!$M$12,$D$11,0) &amp; Processes!P10</f>
        <v>IGDPH</v>
      </c>
      <c r="G29" s="321">
        <f t="shared" si="18"/>
        <v>303.48399999999998</v>
      </c>
      <c r="H29" s="321">
        <f t="shared" si="19"/>
        <v>0</v>
      </c>
      <c r="I29" s="321">
        <f t="shared" si="20"/>
        <v>15.972999999999999</v>
      </c>
      <c r="J29" s="321">
        <f t="shared" si="21"/>
        <v>293.33799999999997</v>
      </c>
      <c r="K29" s="321">
        <f t="shared" si="22"/>
        <v>0</v>
      </c>
      <c r="L29" s="321">
        <f t="shared" si="23"/>
        <v>15.439</v>
      </c>
      <c r="M29" s="321">
        <f t="shared" si="24"/>
        <v>0.60899999999999999</v>
      </c>
      <c r="N29" s="321">
        <f t="shared" si="25"/>
        <v>0</v>
      </c>
      <c r="O29" s="321">
        <f t="shared" si="26"/>
        <v>3.3000000000000002E-2</v>
      </c>
      <c r="P29" s="321">
        <f t="shared" si="1"/>
        <v>0.60899999999999999</v>
      </c>
      <c r="Q29" s="321">
        <f t="shared" si="2"/>
        <v>0</v>
      </c>
      <c r="R29" s="321">
        <f t="shared" si="3"/>
        <v>3.3000000000000002E-2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5.7389617729209581</v>
      </c>
      <c r="AH29" s="236">
        <f t="shared" si="9"/>
        <v>5.4976686722213639</v>
      </c>
      <c r="AI29" s="236">
        <f t="shared" si="10"/>
        <v>1.1413728263582662E-2</v>
      </c>
      <c r="AJ29" s="285"/>
      <c r="AK29" s="290"/>
      <c r="AL29" s="559" t="s">
        <v>99</v>
      </c>
      <c r="AM29" s="560">
        <f>K77/1000</f>
        <v>6.0410000000000004</v>
      </c>
      <c r="AN29" s="561">
        <f>AM29*$AN$23</f>
        <v>5.73895</v>
      </c>
      <c r="AO29" s="562">
        <f t="shared" si="27"/>
        <v>0</v>
      </c>
      <c r="AP29" s="562">
        <f>AM29*$AP$23</f>
        <v>0.30205000000000004</v>
      </c>
      <c r="AQ29" s="582">
        <f t="shared" si="28"/>
        <v>4.7805551568431577</v>
      </c>
      <c r="AR29" s="562">
        <f t="shared" si="29"/>
        <v>0</v>
      </c>
      <c r="AS29" s="563">
        <f t="shared" si="30"/>
        <v>0.25161065334665339</v>
      </c>
      <c r="AT29" s="560">
        <f t="shared" si="11"/>
        <v>5.7389617729209581</v>
      </c>
      <c r="AU29" s="561">
        <f t="shared" si="11"/>
        <v>0</v>
      </c>
      <c r="AV29" s="566">
        <f t="shared" si="11"/>
        <v>0.30205360545816734</v>
      </c>
      <c r="AW29" s="285"/>
      <c r="AX29" s="290"/>
      <c r="AY29" s="559" t="s">
        <v>99</v>
      </c>
      <c r="AZ29" s="560">
        <f>K97/1000</f>
        <v>5.7869999999999999</v>
      </c>
      <c r="BA29" s="561">
        <f>AZ29*$AN$23</f>
        <v>5.4976499999999993</v>
      </c>
      <c r="BB29" s="562">
        <f t="shared" si="31"/>
        <v>0</v>
      </c>
      <c r="BC29" s="562">
        <f t="shared" si="32"/>
        <v>0.28935</v>
      </c>
      <c r="BD29" s="560">
        <f t="shared" si="33"/>
        <v>4.579558003960396</v>
      </c>
      <c r="BE29" s="561">
        <f t="shared" si="34"/>
        <v>0</v>
      </c>
      <c r="BF29" s="566">
        <f t="shared" si="35"/>
        <v>0.24103183366336636</v>
      </c>
      <c r="BG29" s="560">
        <f t="shared" si="15"/>
        <v>5.4976686722213639</v>
      </c>
      <c r="BH29" s="561">
        <f t="shared" si="16"/>
        <v>0</v>
      </c>
      <c r="BI29" s="566">
        <f t="shared" si="17"/>
        <v>0.28935394197282877</v>
      </c>
      <c r="BJ29" s="285"/>
      <c r="BK29" s="290"/>
      <c r="BL29" s="559" t="s">
        <v>99</v>
      </c>
      <c r="BM29" s="560">
        <f>K117/1000</f>
        <v>1.2E-2</v>
      </c>
      <c r="BN29" s="561">
        <f>BM29*$AN$23</f>
        <v>1.14E-2</v>
      </c>
      <c r="BO29" s="562">
        <f t="shared" si="36"/>
        <v>0</v>
      </c>
      <c r="BP29" s="562">
        <f t="shared" si="37"/>
        <v>6.0000000000000006E-4</v>
      </c>
      <c r="BQ29" s="560">
        <f t="shared" si="38"/>
        <v>9.5076356435643567E-3</v>
      </c>
      <c r="BR29" s="561">
        <f t="shared" si="39"/>
        <v>0</v>
      </c>
      <c r="BS29" s="566">
        <f t="shared" si="40"/>
        <v>5.1519207920792086E-4</v>
      </c>
      <c r="BT29" s="560">
        <f t="shared" si="41"/>
        <v>1.1413728263582662E-2</v>
      </c>
      <c r="BU29" s="561">
        <f t="shared" si="42"/>
        <v>0</v>
      </c>
      <c r="BV29" s="566">
        <f t="shared" si="43"/>
        <v>6.1847788620398669E-4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INDGDPHBBGAE1</v>
      </c>
      <c r="D31" s="146" t="str">
        <f ca="1">+OFFSET(Processes!E12,$D$11,0)</f>
        <v>Glass &amp; Concrete industry Heat Medium Temp. Boiler - Biogas Existing 1</v>
      </c>
      <c r="E31" s="149" t="str">
        <f>+Processes!O12</f>
        <v>INDBGA</v>
      </c>
      <c r="F31" s="172" t="str">
        <f ca="1">+OFFSET(Processes!$M$12,$D$11,0) &amp; Processes!P12</f>
        <v>IGDPH</v>
      </c>
      <c r="G31" s="322">
        <f t="shared" si="18"/>
        <v>1.0049999999999999</v>
      </c>
      <c r="H31" s="322">
        <f t="shared" si="19"/>
        <v>0</v>
      </c>
      <c r="I31" s="322">
        <f t="shared" si="20"/>
        <v>5.2999999999999999E-2</v>
      </c>
      <c r="J31" s="322" t="e">
        <f t="shared" si="21"/>
        <v>#REF!</v>
      </c>
      <c r="K31" s="322" t="e">
        <f t="shared" si="22"/>
        <v>#REF!</v>
      </c>
      <c r="L31" s="322" t="e">
        <f t="shared" si="23"/>
        <v>#REF!</v>
      </c>
      <c r="M31" s="322">
        <f t="shared" si="24"/>
        <v>6265.933</v>
      </c>
      <c r="N31" s="322">
        <f t="shared" si="25"/>
        <v>0</v>
      </c>
      <c r="O31" s="322">
        <f t="shared" si="26"/>
        <v>329.786</v>
      </c>
      <c r="P31" s="322">
        <f t="shared" si="1"/>
        <v>6265.933</v>
      </c>
      <c r="Q31" s="322">
        <f t="shared" si="2"/>
        <v>0</v>
      </c>
      <c r="R31" s="322">
        <f t="shared" si="3"/>
        <v>329.786</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1.6154090807152032E-2</v>
      </c>
      <c r="AH31" s="236" t="e">
        <f t="shared" si="9"/>
        <v>#REF!</v>
      </c>
      <c r="AI31" s="236">
        <f t="shared" si="10"/>
        <v>99.81938931501314</v>
      </c>
      <c r="AJ31" s="285"/>
      <c r="AK31" s="290"/>
      <c r="AL31" s="559" t="s">
        <v>100</v>
      </c>
      <c r="AM31" s="560">
        <f>J77/1000</f>
        <v>1.7000000000000001E-2</v>
      </c>
      <c r="AN31" s="561">
        <f t="shared" ref="AN31:AN41" si="47">AM31*$AN$23</f>
        <v>1.6150000000000001E-2</v>
      </c>
      <c r="AO31" s="562">
        <f t="shared" ref="AO31:AO33" si="48">AM31*$AO$23</f>
        <v>0</v>
      </c>
      <c r="AP31" s="562">
        <f t="shared" ref="AP31:AP37" si="49">AM31*$AP$23</f>
        <v>8.5000000000000006E-4</v>
      </c>
      <c r="AQ31" s="582">
        <f t="shared" si="28"/>
        <v>1.5831008991008991E-2</v>
      </c>
      <c r="AR31" s="562">
        <f t="shared" si="29"/>
        <v>0</v>
      </c>
      <c r="AS31" s="563">
        <f>IFERROR(I31*$Z31*$AA31/I$21,0)</f>
        <v>8.3486913086913098E-4</v>
      </c>
      <c r="AT31" s="560">
        <f t="shared" ref="AT31:AV34" si="50">IFERROR(AQ31/W31,0)</f>
        <v>1.6154090807152032E-2</v>
      </c>
      <c r="AU31" s="561">
        <f t="shared" si="50"/>
        <v>0</v>
      </c>
      <c r="AV31" s="566">
        <f t="shared" si="50"/>
        <v>8.5190727639707249E-4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105.07303</v>
      </c>
      <c r="BN31" s="561">
        <f>BM31*$AN$23</f>
        <v>99.819378499999999</v>
      </c>
      <c r="BO31" s="562">
        <f>BM31*$BB$23</f>
        <v>0</v>
      </c>
      <c r="BP31" s="562">
        <f>BM31*$BC$23</f>
        <v>5.2536515000000001</v>
      </c>
      <c r="BQ31" s="560">
        <f t="shared" si="38"/>
        <v>97.823001528712879</v>
      </c>
      <c r="BR31" s="561">
        <f t="shared" si="39"/>
        <v>0</v>
      </c>
      <c r="BS31" s="566">
        <f t="shared" si="40"/>
        <v>5.1485798495049515</v>
      </c>
      <c r="BT31" s="560">
        <f t="shared" si="41"/>
        <v>99.81938931501314</v>
      </c>
      <c r="BU31" s="561">
        <f t="shared" si="42"/>
        <v>0</v>
      </c>
      <c r="BV31" s="566">
        <f t="shared" si="43"/>
        <v>5.2536529076581138</v>
      </c>
      <c r="BW31" s="285"/>
      <c r="BX31" s="285"/>
      <c r="BY31" s="285"/>
    </row>
    <row r="32" spans="3:77" ht="12.75" customHeight="1">
      <c r="C32" s="146" t="str">
        <f ca="1">+IF(OFFSET(Processes!B13,$D$11,0)="*","*",OFFSET(Processes!D13,$D$11,0))</f>
        <v>INDGDPHBHFOE1</v>
      </c>
      <c r="D32" s="146" t="str">
        <f ca="1">+OFFSET(Processes!E13,$D$11,0)</f>
        <v>Glass &amp; Concrete industry Heat Medium Temp. Boiler - Heavy Fuel Oil Existing 1</v>
      </c>
      <c r="E32" s="149" t="str">
        <f>+Processes!O13</f>
        <v>INDHFO</v>
      </c>
      <c r="F32" s="172" t="str">
        <f ca="1">+OFFSET(Processes!$M$12,$D$11,0) &amp; Processes!P13</f>
        <v>IGDPH</v>
      </c>
      <c r="G32" s="322">
        <f t="shared" si="18"/>
        <v>434.96499999999997</v>
      </c>
      <c r="H32" s="322">
        <f t="shared" si="19"/>
        <v>0</v>
      </c>
      <c r="I32" s="322">
        <f t="shared" si="20"/>
        <v>22.893000000000001</v>
      </c>
      <c r="J32" s="322">
        <f t="shared" si="21"/>
        <v>196.15800000000002</v>
      </c>
      <c r="K32" s="322">
        <f t="shared" si="22"/>
        <v>0</v>
      </c>
      <c r="L32" s="322">
        <f t="shared" si="23"/>
        <v>10.324999999999999</v>
      </c>
      <c r="M32" s="322">
        <f t="shared" si="24"/>
        <v>132.56100000000001</v>
      </c>
      <c r="N32" s="322">
        <f t="shared" si="25"/>
        <v>0</v>
      </c>
      <c r="O32" s="322">
        <f t="shared" si="26"/>
        <v>6.9770000000000003</v>
      </c>
      <c r="P32" s="322">
        <f t="shared" si="1"/>
        <v>132.56100000000001</v>
      </c>
      <c r="Q32" s="322">
        <f t="shared" si="2"/>
        <v>0</v>
      </c>
      <c r="R32" s="322">
        <f t="shared" si="3"/>
        <v>6.9770000000000003</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7.3594806053237862</v>
      </c>
      <c r="AH32" s="236">
        <f t="shared" si="9"/>
        <v>3.2893613212663917</v>
      </c>
      <c r="AI32" s="236">
        <f t="shared" si="10"/>
        <v>2.2229071774202129</v>
      </c>
      <c r="AJ32" s="285"/>
      <c r="AK32" s="290"/>
      <c r="AL32" s="559" t="s">
        <v>101</v>
      </c>
      <c r="AM32" s="560">
        <f>E77/1000</f>
        <v>7.7468159999999999</v>
      </c>
      <c r="AN32" s="561">
        <f t="shared" si="47"/>
        <v>7.3594751999999994</v>
      </c>
      <c r="AO32" s="562">
        <f>AM32*$AO$23</f>
        <v>0</v>
      </c>
      <c r="AP32" s="562">
        <f t="shared" si="49"/>
        <v>0.38734080000000004</v>
      </c>
      <c r="AQ32" s="582">
        <f t="shared" si="28"/>
        <v>6.8516764435564443</v>
      </c>
      <c r="AR32" s="562">
        <f t="shared" si="29"/>
        <v>0</v>
      </c>
      <c r="AS32" s="563">
        <f t="shared" si="30"/>
        <v>0.36061620779220788</v>
      </c>
      <c r="AT32" s="560">
        <f t="shared" si="50"/>
        <v>7.3594806053237862</v>
      </c>
      <c r="AU32" s="561">
        <f t="shared" si="50"/>
        <v>0</v>
      </c>
      <c r="AV32" s="566">
        <f t="shared" si="50"/>
        <v>0.38734286551257563</v>
      </c>
      <c r="AW32" s="285"/>
      <c r="AX32" s="290"/>
      <c r="AY32" s="559" t="s">
        <v>101</v>
      </c>
      <c r="AZ32" s="560">
        <f>E97/1000</f>
        <v>3.462475</v>
      </c>
      <c r="BA32" s="561">
        <f>AZ32*$AN$23</f>
        <v>3.2893512499999997</v>
      </c>
      <c r="BB32" s="562">
        <f t="shared" ref="BB32:BB34" si="51">AZ32*$BB$23</f>
        <v>0</v>
      </c>
      <c r="BC32" s="562">
        <f t="shared" ref="BC32:BC34" si="52">AZ32*$BC$23</f>
        <v>0.17312375000000002</v>
      </c>
      <c r="BD32" s="560">
        <f>IFERROR(J32*$Z32*AA32/J$21,0)</f>
        <v>3.0623953900990104</v>
      </c>
      <c r="BE32" s="561">
        <f t="shared" si="34"/>
        <v>0</v>
      </c>
      <c r="BF32" s="566">
        <f t="shared" si="35"/>
        <v>0.16119267326732672</v>
      </c>
      <c r="BG32" s="560">
        <f t="shared" si="15"/>
        <v>3.2893613212663917</v>
      </c>
      <c r="BH32" s="561">
        <f t="shared" si="16"/>
        <v>0</v>
      </c>
      <c r="BI32" s="566">
        <f t="shared" si="17"/>
        <v>0.17313928385319735</v>
      </c>
      <c r="BJ32" s="285"/>
      <c r="BK32" s="290"/>
      <c r="BL32" s="559" t="s">
        <v>101</v>
      </c>
      <c r="BM32" s="560">
        <f>E117/1000</f>
        <v>2.3398939999999997</v>
      </c>
      <c r="BN32" s="561">
        <f>BM32*$AN$23</f>
        <v>2.2228992999999995</v>
      </c>
      <c r="BO32" s="562">
        <f t="shared" ref="BO32:BO62" si="53">BM32*$BB$23</f>
        <v>0</v>
      </c>
      <c r="BP32" s="562">
        <f t="shared" ref="BP32:BP62" si="54">BM32*$BC$23</f>
        <v>0.11699469999999999</v>
      </c>
      <c r="BQ32" s="560">
        <f t="shared" si="38"/>
        <v>2.0695265821782178</v>
      </c>
      <c r="BR32" s="561">
        <f t="shared" si="39"/>
        <v>0</v>
      </c>
      <c r="BS32" s="566">
        <f t="shared" si="40"/>
        <v>0.10892409504950497</v>
      </c>
      <c r="BT32" s="560">
        <f t="shared" si="41"/>
        <v>2.2229071774202125</v>
      </c>
      <c r="BU32" s="561">
        <f t="shared" si="42"/>
        <v>0</v>
      </c>
      <c r="BV32" s="566">
        <f t="shared" si="43"/>
        <v>0.11699687975242209</v>
      </c>
      <c r="BW32" s="285"/>
      <c r="BX32" s="285"/>
      <c r="BY32" s="285"/>
    </row>
    <row r="33" spans="3:77" ht="12.75" customHeight="1">
      <c r="C33" s="146" t="str">
        <f ca="1">+IF(OFFSET(Processes!B14,$D$11,0)="*","*",OFFSET(Processes!D14,$D$11,0))</f>
        <v>INDGDPHBLPGE1</v>
      </c>
      <c r="D33" s="146" t="str">
        <f ca="1">+OFFSET(Processes!E14,$D$11,0)</f>
        <v>Glass &amp; Concrete industry Heat Medium Temp. Boiler - Liquified Petroleum Gas Existing 1</v>
      </c>
      <c r="E33" s="149" t="str">
        <f>+Processes!O14</f>
        <v>INDLPG</v>
      </c>
      <c r="F33" s="172" t="str">
        <f ca="1">+OFFSET(Processes!$M$12,$D$11,0) &amp; Processes!P14</f>
        <v>IGDPH</v>
      </c>
      <c r="G33" s="322">
        <f t="shared" si="18"/>
        <v>36.727999999999994</v>
      </c>
      <c r="H33" s="322">
        <f t="shared" si="19"/>
        <v>0</v>
      </c>
      <c r="I33" s="322">
        <f t="shared" si="20"/>
        <v>1.9339999999999999</v>
      </c>
      <c r="J33" s="322">
        <f t="shared" si="21"/>
        <v>13.526999999999999</v>
      </c>
      <c r="K33" s="322">
        <f t="shared" si="22"/>
        <v>0</v>
      </c>
      <c r="L33" s="322">
        <f t="shared" si="23"/>
        <v>0.71199999999999997</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0.5903556688209749</v>
      </c>
      <c r="AH33" s="236">
        <f t="shared" si="9"/>
        <v>0.21549175186906447</v>
      </c>
      <c r="AI33" s="236" t="e">
        <f t="shared" si="10"/>
        <v>#REF!</v>
      </c>
      <c r="AJ33" s="285"/>
      <c r="AK33" s="290"/>
      <c r="AL33" s="559" t="s">
        <v>53</v>
      </c>
      <c r="AM33" s="560">
        <f>H77/1000</f>
        <v>0.62141849999999998</v>
      </c>
      <c r="AN33" s="561">
        <f t="shared" si="47"/>
        <v>0.59034757500000001</v>
      </c>
      <c r="AO33" s="562">
        <f t="shared" si="48"/>
        <v>0</v>
      </c>
      <c r="AP33" s="562">
        <f t="shared" si="49"/>
        <v>3.1070924999999999E-2</v>
      </c>
      <c r="AQ33" s="582">
        <f t="shared" si="28"/>
        <v>0.57854855544455541</v>
      </c>
      <c r="AR33" s="562">
        <f t="shared" si="29"/>
        <v>0</v>
      </c>
      <c r="AS33" s="563">
        <f t="shared" si="30"/>
        <v>3.0464847152847155E-2</v>
      </c>
      <c r="AT33" s="560">
        <f t="shared" si="50"/>
        <v>0.5903556688209749</v>
      </c>
      <c r="AU33" s="561">
        <f t="shared" si="50"/>
        <v>0</v>
      </c>
      <c r="AV33" s="566">
        <f t="shared" si="50"/>
        <v>3.1086578727395058E-2</v>
      </c>
      <c r="AW33" s="285"/>
      <c r="AX33" s="290"/>
      <c r="AY33" s="559" t="s">
        <v>53</v>
      </c>
      <c r="AZ33" s="560">
        <f>H97/1000</f>
        <v>0.22683</v>
      </c>
      <c r="BA33" s="561">
        <f>AZ33*$AN$23</f>
        <v>0.2154885</v>
      </c>
      <c r="BB33" s="562">
        <f t="shared" si="51"/>
        <v>0</v>
      </c>
      <c r="BC33" s="562">
        <f t="shared" si="52"/>
        <v>1.1341500000000001E-2</v>
      </c>
      <c r="BD33" s="560">
        <f t="shared" si="33"/>
        <v>0.21118191683168316</v>
      </c>
      <c r="BE33" s="561">
        <f t="shared" si="34"/>
        <v>0</v>
      </c>
      <c r="BF33" s="566">
        <f t="shared" si="35"/>
        <v>1.1115659405940595E-2</v>
      </c>
      <c r="BG33" s="560">
        <f t="shared" si="15"/>
        <v>0.21549175186906447</v>
      </c>
      <c r="BH33" s="561">
        <f t="shared" si="16"/>
        <v>0</v>
      </c>
      <c r="BI33" s="566">
        <f t="shared" si="17"/>
        <v>1.1342509597898566E-2</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INDGDPHBWSTE1</v>
      </c>
      <c r="D34" s="146" t="str">
        <f ca="1">+OFFSET(Processes!E15,$D$11,0)</f>
        <v>Glass &amp; Concrete industry Heat Medium Temp. Boiler - Waste Existing 1</v>
      </c>
      <c r="E34" s="149" t="str">
        <f>+Processes!O15</f>
        <v>INDWST</v>
      </c>
      <c r="F34" s="172" t="str">
        <f ca="1">+OFFSET(Processes!$M$12,$D$11,0) &amp; Processes!P15</f>
        <v>IGDPH</v>
      </c>
      <c r="G34" s="322">
        <f t="shared" si="18"/>
        <v>1867.692</v>
      </c>
      <c r="H34" s="322">
        <f t="shared" si="19"/>
        <v>0</v>
      </c>
      <c r="I34" s="322">
        <f t="shared" si="20"/>
        <v>98.300000000000011</v>
      </c>
      <c r="J34" s="322">
        <f t="shared" si="21"/>
        <v>2517.0080000000003</v>
      </c>
      <c r="K34" s="322">
        <f t="shared" si="22"/>
        <v>0</v>
      </c>
      <c r="L34" s="322">
        <f t="shared" si="23"/>
        <v>132.47499999999999</v>
      </c>
      <c r="M34" s="322">
        <f t="shared" si="24"/>
        <v>376.79499999999996</v>
      </c>
      <c r="N34" s="322">
        <f t="shared" si="25"/>
        <v>0</v>
      </c>
      <c r="O34" s="322">
        <f t="shared" si="26"/>
        <v>19.832000000000001</v>
      </c>
      <c r="P34" s="322">
        <f t="shared" si="1"/>
        <v>376.79499999999996</v>
      </c>
      <c r="Q34" s="322">
        <f t="shared" si="2"/>
        <v>0</v>
      </c>
      <c r="R34" s="322">
        <f t="shared" si="3"/>
        <v>19.832000000000001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31.600802480011939</v>
      </c>
      <c r="AH34" s="236">
        <f t="shared" si="9"/>
        <v>42.207550854505442</v>
      </c>
      <c r="AI34" s="236">
        <f t="shared" si="10"/>
        <v>6.3184519573332194</v>
      </c>
      <c r="AJ34" s="285"/>
      <c r="AK34" s="290"/>
      <c r="AL34" s="559" t="s">
        <v>102</v>
      </c>
      <c r="AM34" s="560">
        <f>$L77/1000</f>
        <v>33.264000000000003</v>
      </c>
      <c r="AN34" s="561">
        <f t="shared" si="47"/>
        <v>31.6008</v>
      </c>
      <c r="AO34" s="562">
        <f t="shared" ref="AO34" si="55">AM34*$AO$23</f>
        <v>0</v>
      </c>
      <c r="AP34" s="562">
        <f t="shared" si="49"/>
        <v>1.6632000000000002</v>
      </c>
      <c r="AQ34" s="582">
        <f t="shared" si="28"/>
        <v>29.420347108891111</v>
      </c>
      <c r="AR34" s="562">
        <f t="shared" si="29"/>
        <v>0</v>
      </c>
      <c r="AS34" s="563">
        <f t="shared" si="30"/>
        <v>1.5484459540459545</v>
      </c>
      <c r="AT34" s="560">
        <f t="shared" si="50"/>
        <v>31.600802480011936</v>
      </c>
      <c r="AU34" s="561">
        <f t="shared" si="50"/>
        <v>0</v>
      </c>
      <c r="AV34" s="566">
        <f t="shared" si="50"/>
        <v>1.6632072546143444</v>
      </c>
      <c r="AW34" s="285"/>
      <c r="AX34" s="290"/>
      <c r="AY34" s="559" t="s">
        <v>102</v>
      </c>
      <c r="AZ34" s="560">
        <f>$L97/1000</f>
        <v>44.429000000000002</v>
      </c>
      <c r="BA34" s="561">
        <f>AZ34*$AN$23</f>
        <v>42.207549999999998</v>
      </c>
      <c r="BB34" s="562">
        <f t="shared" si="51"/>
        <v>0</v>
      </c>
      <c r="BC34" s="562">
        <f t="shared" si="52"/>
        <v>2.2214500000000004</v>
      </c>
      <c r="BD34" s="560">
        <f t="shared" si="33"/>
        <v>39.295229845544561</v>
      </c>
      <c r="BE34" s="561">
        <f t="shared" si="34"/>
        <v>0</v>
      </c>
      <c r="BF34" s="566">
        <f t="shared" si="35"/>
        <v>2.0681839603960399</v>
      </c>
      <c r="BG34" s="560">
        <f t="shared" si="15"/>
        <v>42.207550854505442</v>
      </c>
      <c r="BH34" s="561">
        <f t="shared" si="16"/>
        <v>0</v>
      </c>
      <c r="BI34" s="566">
        <f t="shared" si="17"/>
        <v>2.2214650487605154</v>
      </c>
      <c r="BJ34" s="285"/>
      <c r="BK34" s="290"/>
      <c r="BL34" s="559" t="s">
        <v>102</v>
      </c>
      <c r="BM34" s="560">
        <f>$L117/1000</f>
        <v>6.6509999999999998</v>
      </c>
      <c r="BN34" s="561">
        <f>BM34*$AN$23</f>
        <v>6.3184499999999995</v>
      </c>
      <c r="BO34" s="562">
        <f t="shared" si="53"/>
        <v>0</v>
      </c>
      <c r="BP34" s="562">
        <f t="shared" si="54"/>
        <v>0.33255000000000001</v>
      </c>
      <c r="BQ34" s="560">
        <f t="shared" si="38"/>
        <v>5.8824787722772278</v>
      </c>
      <c r="BR34" s="561">
        <f t="shared" si="39"/>
        <v>0</v>
      </c>
      <c r="BS34" s="566">
        <f t="shared" si="40"/>
        <v>0.30961482772277232</v>
      </c>
      <c r="BT34" s="560">
        <f t="shared" si="41"/>
        <v>6.3184519573332203</v>
      </c>
      <c r="BU34" s="561">
        <f t="shared" si="42"/>
        <v>0</v>
      </c>
      <c r="BV34" s="566">
        <f t="shared" si="43"/>
        <v>0.33256157650136664</v>
      </c>
      <c r="BW34" s="285"/>
      <c r="BX34" s="285"/>
      <c r="BY34" s="285"/>
    </row>
    <row r="35" spans="3:77" ht="12.75" customHeight="1">
      <c r="C35" s="173" t="str">
        <f ca="1">+IF(OFFSET(Processes!B16,$D$11,0)="*","*",OFFSET(Processes!D16,$D$11,0))</f>
        <v>INDGDPHBHETE1</v>
      </c>
      <c r="D35" s="146" t="str">
        <f ca="1">+OFFSET(Processes!E16,$D$11,0)</f>
        <v>Glass &amp; Concrete industry Heat Medium Temp. Boiler - Dist. Heat Existing 1</v>
      </c>
      <c r="E35" s="149" t="str">
        <f>+Processes!O16</f>
        <v>INDHCE</v>
      </c>
      <c r="F35" s="172" t="str">
        <f ca="1">+OFFSET(Processes!$M$12,$D$11,0) &amp; Processes!P16</f>
        <v>IGDPH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INDGDPHBHETE2</v>
      </c>
      <c r="D36" s="146" t="str">
        <f ca="1">+OFFSET(Processes!E17,$D$11,0)</f>
        <v>Glass &amp; Concrete industry Heat Medium Temp. Boiler - Dist. Heat Existing 2</v>
      </c>
      <c r="E36" s="149" t="str">
        <f>+Processes!O17</f>
        <v>INDHDE</v>
      </c>
      <c r="F36" s="172" t="str">
        <f ca="1">+OFFSET(Processes!$M$12,$D$11,0) &amp; Processes!P17</f>
        <v>IGDPH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INDGDPHBELCE1</v>
      </c>
      <c r="D37" s="148" t="str">
        <f ca="1">+OFFSET(Processes!E18,$D$11,0)</f>
        <v>Glass &amp; Concrete industry Heat Medium Temp. Boiler - Electricity Existing 1</v>
      </c>
      <c r="E37" s="174" t="str">
        <f>+Processes!O18</f>
        <v>INDELC</v>
      </c>
      <c r="F37" s="174" t="str">
        <f ca="1">+OFFSET(Processes!$M$12,$D$11,0) &amp; Processes!P18</f>
        <v>IGDPH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INDGDCOBNGAE1</v>
      </c>
      <c r="D38" s="173" t="str">
        <f ca="1">+OFFSET(Processes!E19,$D$11,0)</f>
        <v>Glass &amp; Concrete industry Heat High Temp. Boiler - Nat. Gas Existing 1</v>
      </c>
      <c r="E38" s="172" t="str">
        <f>+Processes!O19</f>
        <v>INDSNG1,INDSNG2,INDNGA</v>
      </c>
      <c r="F38" s="172" t="str">
        <f ca="1">+OFFSET(Processes!$M$12,$D$11,0) &amp; Processes!P19</f>
        <v>IGDCO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IGDCO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IGDCO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IGDCO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INDGDCOBCOAE1</v>
      </c>
      <c r="D39" s="173" t="str">
        <f ca="1">+OFFSET(Processes!E20,$D$11,0)</f>
        <v>Glass &amp; Concrete industry Heat High Temp. Boiler - Coal Existing 1</v>
      </c>
      <c r="E39" s="172" t="str">
        <f>+Processes!O20</f>
        <v>INDCOA</v>
      </c>
      <c r="F39" s="172" t="str">
        <f ca="1">+OFFSET(Processes!$M$12,$D$11,0) &amp; Processes!P20</f>
        <v>IGDCO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INDGDCOBDSLE1</v>
      </c>
      <c r="D40" s="173" t="str">
        <f ca="1">+OFFSET(Processes!E21,$D$11,0)</f>
        <v>Glass &amp; Concrete industry Heat High Temp. Boiler - Diesel Existing 1</v>
      </c>
      <c r="E40" s="172" t="str">
        <f>+Processes!O21</f>
        <v>INDDSB1,INDDSB2,INDDSL</v>
      </c>
      <c r="F40" s="172" t="str">
        <f ca="1">+OFFSET(Processes!$M$12,$D$11,0) &amp; Processes!P21</f>
        <v>IGDCO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INDGDCOBWPEE1</v>
      </c>
      <c r="D41" s="173" t="str">
        <f ca="1">+OFFSET(Processes!E22,$D$11,0)</f>
        <v>Glass &amp; Concrete industry Heat High Temp. Boiler - Wood Pellets Existing 1</v>
      </c>
      <c r="E41" s="172" t="str">
        <f>+Processes!O22</f>
        <v>INDWPE</v>
      </c>
      <c r="F41" s="172" t="str">
        <f ca="1">+OFFSET(Processes!$M$12,$D$11,0) &amp; Processes!P22</f>
        <v>IGDCO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INDGDCOBHFOE1</v>
      </c>
      <c r="D43" s="173" t="str">
        <f ca="1">+OFFSET(Processes!E24,$D$11,0)</f>
        <v>Glass &amp; Concrete industry Heat High Temp. Boiler - Heavy Fuel Oil Existing 1</v>
      </c>
      <c r="E43" s="172" t="str">
        <f>+Processes!O24</f>
        <v>INDHFO</v>
      </c>
      <c r="F43" s="172" t="str">
        <f ca="1">+OFFSET(Processes!$M$12,$D$11,0) &amp; Processes!P24</f>
        <v>IGDCO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INDGDCOBLPGE1</v>
      </c>
      <c r="D44" s="173" t="str">
        <f ca="1">+OFFSET(Processes!E25,$D$11,0)</f>
        <v>Glass &amp; Concrete industry Heat High Temp. Boiler - Liquified Petroleum Gas Existing 1</v>
      </c>
      <c r="E44" s="172" t="str">
        <f>+Processes!O25</f>
        <v>INDLPG</v>
      </c>
      <c r="F44" s="172" t="str">
        <f ca="1">+OFFSET(Processes!$M$12,$D$11,0) &amp; Processes!P25</f>
        <v>IGDCO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INDGDCOBWSTE1</v>
      </c>
      <c r="D45" s="173" t="str">
        <f ca="1">+OFFSET(Processes!E26,$D$11,0)</f>
        <v>Glass &amp; Concrete industry Heat High Temp. Boiler - Waste Existing 1</v>
      </c>
      <c r="E45" s="172" t="str">
        <f>+Processes!O26</f>
        <v>INDWST</v>
      </c>
      <c r="F45" s="172" t="str">
        <f ca="1">+OFFSET(Processes!$M$12,$D$11,0) &amp; Processes!P26</f>
        <v>IGDCO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INDGDCOBELCE1</v>
      </c>
      <c r="D46" s="148" t="str">
        <f ca="1">+OFFSET(Processes!E27,$D$11,0)</f>
        <v>Glass &amp; Concrete industry Heat High Temp. Boiler - Electricity Existing 1</v>
      </c>
      <c r="E46" s="174" t="str">
        <f>+Processes!O27</f>
        <v>INDELC</v>
      </c>
      <c r="F46" s="174" t="str">
        <f ca="1">+OFFSET(Processes!$M$12,$D$11,0) &amp; Processes!P27</f>
        <v>IGDCO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INDGDSHBNGAE1</v>
      </c>
      <c r="D47" s="146" t="str">
        <f ca="1">+OFFSET(Processes!E28,$D$11,0)</f>
        <v>Glass &amp; Concrete industry Heat Room Boiler - Nat. Gas Existing 1</v>
      </c>
      <c r="E47" s="149" t="str">
        <f>+Processes!O28</f>
        <v>INDSNG1,INDSNG2,INDNGA</v>
      </c>
      <c r="F47" s="149" t="str">
        <f ca="1">+OFFSET(Processes!$M$12,$D$11,0) &amp; Processes!P28</f>
        <v>IGDSH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IGDSH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IGDSH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IGDSH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INDGDSHBCOAE1</v>
      </c>
      <c r="D48" s="146" t="str">
        <f ca="1">+OFFSET(Processes!E29,$D$11,0)</f>
        <v>Glass &amp; Concrete industry Heat Room Boiler - Coal Existing 1</v>
      </c>
      <c r="E48" s="149" t="str">
        <f>+Processes!O29</f>
        <v>INDCOA</v>
      </c>
      <c r="F48" s="149" t="str">
        <f ca="1">+OFFSET(Processes!$M$12,$D$11,0) &amp; Processes!P29</f>
        <v>IGDSH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INDGDSHBDSLE1</v>
      </c>
      <c r="D49" s="146" t="str">
        <f ca="1">+OFFSET(Processes!E30,$D$11,0)</f>
        <v>Glass &amp; Concrete industry Heat Room Boiler - Diesel Existing 1</v>
      </c>
      <c r="E49" s="149" t="str">
        <f>+Processes!O30</f>
        <v>INDDSB1,INDDSB2,INDDSL</v>
      </c>
      <c r="F49" s="149" t="str">
        <f ca="1">+OFFSET(Processes!$M$12,$D$11,0) &amp; Processes!P30</f>
        <v>IGDSH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INDGDSHBWPEE1</v>
      </c>
      <c r="D50" s="146" t="str">
        <f ca="1">+OFFSET(Processes!E31,$D$11,0)</f>
        <v>Glass &amp; Concrete industry Heat Room Boiler - Wood Pellets Existing 1</v>
      </c>
      <c r="E50" s="149" t="str">
        <f>+Processes!O31</f>
        <v>INDWPE</v>
      </c>
      <c r="F50" s="149" t="str">
        <f ca="1">+OFFSET(Processes!$M$12,$D$11,0) &amp; Processes!P31</f>
        <v>IGDSH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INDGDSHBBGAE1</v>
      </c>
      <c r="D52" s="146" t="str">
        <f ca="1">+OFFSET(Processes!E33,$D$11,0)</f>
        <v>Glass &amp; Concrete industry Heat Room Boiler - Biogas Existing 1</v>
      </c>
      <c r="E52" s="149" t="str">
        <f>+Processes!O33</f>
        <v>INDBGA</v>
      </c>
      <c r="F52" s="149" t="str">
        <f ca="1">+OFFSET(Processes!$M$12,$D$11,0) &amp; Processes!P33</f>
        <v>IGDSH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INDGDSHBHFOE1</v>
      </c>
      <c r="D53" s="146" t="str">
        <f ca="1">+OFFSET(Processes!E34,$D$11,0)</f>
        <v>Glass &amp; Concrete industry Heat Room Boiler - Heavy Fuel Oil Existing 1</v>
      </c>
      <c r="E53" s="149" t="str">
        <f>+Processes!O34</f>
        <v>INDHFO</v>
      </c>
      <c r="F53" s="149" t="str">
        <f ca="1">+OFFSET(Processes!$M$12,$D$11,0) &amp; Processes!P34</f>
        <v>IGDSH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INDGDSHBLPGE1</v>
      </c>
      <c r="D54" s="146" t="str">
        <f ca="1">+OFFSET(Processes!E35,$D$11,0)</f>
        <v>Glass &amp; Concrete industry Heat Room Boiler - Liquified Petroleum Gas Existing 1</v>
      </c>
      <c r="E54" s="149" t="str">
        <f>+Processes!O35</f>
        <v>INDLPG</v>
      </c>
      <c r="F54" s="149" t="str">
        <f ca="1">+OFFSET(Processes!$M$12,$D$11,0) &amp; Processes!P35</f>
        <v>IGDSH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INDGDSHBWSTE1</v>
      </c>
      <c r="D55" s="146" t="str">
        <f ca="1">+OFFSET(Processes!E36,$D$11,0)</f>
        <v>Glass &amp; Concrete industry Heat Room Boiler - Waste Existing 1</v>
      </c>
      <c r="E55" s="149" t="str">
        <f>+Processes!O36</f>
        <v>INDWST</v>
      </c>
      <c r="F55" s="149" t="str">
        <f ca="1">+OFFSET(Processes!$M$12,$D$11,0) &amp; Processes!P36</f>
        <v>IGDSH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INDGDSHBHETE1</v>
      </c>
      <c r="D56" s="146" t="str">
        <f ca="1">+OFFSET(Processes!E37,$D$11,0)</f>
        <v>Glass &amp; Concrete industry Heat Room Boiler - Dist. Heat Existing 1</v>
      </c>
      <c r="E56" s="149" t="str">
        <f>+Processes!O37</f>
        <v>INDHCE</v>
      </c>
      <c r="F56" s="149" t="str">
        <f ca="1">+OFFSET(Processes!$M$12,$D$11,0) &amp; Processes!P37</f>
        <v>IGDSH</v>
      </c>
      <c r="G56" s="321">
        <f t="shared" si="18"/>
        <v>37.053999999999995</v>
      </c>
      <c r="H56" s="321">
        <f t="shared" si="19"/>
        <v>0</v>
      </c>
      <c r="I56" s="321">
        <f t="shared" si="20"/>
        <v>0</v>
      </c>
      <c r="J56" s="321">
        <f t="shared" si="21"/>
        <v>47.656999999999996</v>
      </c>
      <c r="K56" s="321">
        <f t="shared" si="22"/>
        <v>0</v>
      </c>
      <c r="L56" s="321">
        <f t="shared" si="23"/>
        <v>0</v>
      </c>
      <c r="M56" s="321">
        <f t="shared" si="24"/>
        <v>2765.3530000000001</v>
      </c>
      <c r="N56" s="321">
        <f t="shared" si="25"/>
        <v>0</v>
      </c>
      <c r="O56" s="321">
        <f t="shared" si="26"/>
        <v>0</v>
      </c>
      <c r="P56" s="321">
        <f t="shared" si="1"/>
        <v>2765.3530000000001</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0.60800394605394614</v>
      </c>
      <c r="AH56" s="236">
        <f t="shared" si="83"/>
        <v>0.77501606435643566</v>
      </c>
      <c r="AI56" s="236">
        <f t="shared" si="84"/>
        <v>44.971210915841588</v>
      </c>
      <c r="AJ56" s="285"/>
      <c r="AK56" s="356"/>
      <c r="AL56" s="559" t="s">
        <v>103</v>
      </c>
      <c r="AM56" s="560">
        <f>N82/1000</f>
        <v>0.60799999999999998</v>
      </c>
      <c r="AN56" s="613">
        <f>AM56</f>
        <v>0.60799999999999998</v>
      </c>
      <c r="AO56" s="614">
        <v>0</v>
      </c>
      <c r="AP56" s="614">
        <v>0</v>
      </c>
      <c r="AQ56" s="582">
        <f t="shared" si="28"/>
        <v>0.58368378821178823</v>
      </c>
      <c r="AR56" s="562">
        <f t="shared" si="29"/>
        <v>0</v>
      </c>
      <c r="AS56" s="563">
        <f t="shared" si="30"/>
        <v>0</v>
      </c>
      <c r="AT56" s="560">
        <f t="shared" si="85"/>
        <v>0.60800394605394614</v>
      </c>
      <c r="AU56" s="561">
        <f t="shared" si="85"/>
        <v>0</v>
      </c>
      <c r="AV56" s="566">
        <f t="shared" si="85"/>
        <v>0</v>
      </c>
      <c r="AW56" s="285"/>
      <c r="AX56" s="356"/>
      <c r="AY56" s="559" t="s">
        <v>103</v>
      </c>
      <c r="AZ56" s="560">
        <f>N102/1000</f>
        <v>0.77500000000000002</v>
      </c>
      <c r="BA56" s="613">
        <f>AZ56</f>
        <v>0.77500000000000002</v>
      </c>
      <c r="BB56" s="614">
        <v>0</v>
      </c>
      <c r="BC56" s="614">
        <v>0</v>
      </c>
      <c r="BD56" s="560">
        <f t="shared" si="33"/>
        <v>0.74401542178217828</v>
      </c>
      <c r="BE56" s="561">
        <f t="shared" si="34"/>
        <v>0</v>
      </c>
      <c r="BF56" s="566">
        <f t="shared" si="35"/>
        <v>0</v>
      </c>
      <c r="BG56" s="560">
        <f t="shared" si="62"/>
        <v>0.77501606435643577</v>
      </c>
      <c r="BH56" s="561">
        <f t="shared" si="63"/>
        <v>0</v>
      </c>
      <c r="BI56" s="566">
        <f t="shared" si="64"/>
        <v>0</v>
      </c>
      <c r="BJ56" s="285"/>
      <c r="BK56" s="356"/>
      <c r="BL56" s="559" t="s">
        <v>103</v>
      </c>
      <c r="BM56" s="560">
        <f>N122/1000</f>
        <v>44.971199999999996</v>
      </c>
      <c r="BN56" s="613">
        <f>BM56</f>
        <v>44.971199999999996</v>
      </c>
      <c r="BO56" s="614">
        <v>0</v>
      </c>
      <c r="BP56" s="614">
        <v>0</v>
      </c>
      <c r="BQ56" s="560">
        <f t="shared" si="38"/>
        <v>43.172362479207926</v>
      </c>
      <c r="BR56" s="561">
        <f t="shared" si="39"/>
        <v>0</v>
      </c>
      <c r="BS56" s="566">
        <f t="shared" si="40"/>
        <v>0</v>
      </c>
      <c r="BT56" s="560">
        <f t="shared" si="65"/>
        <v>44.971210915841588</v>
      </c>
      <c r="BU56" s="561">
        <f t="shared" si="66"/>
        <v>0</v>
      </c>
      <c r="BV56" s="566">
        <f t="shared" si="67"/>
        <v>0</v>
      </c>
      <c r="BW56" s="285"/>
      <c r="BX56" s="285"/>
      <c r="BY56" s="285"/>
    </row>
    <row r="57" spans="3:77" ht="12.75" customHeight="1">
      <c r="C57" s="173" t="str">
        <f ca="1">+IF(OFFSET(Processes!B38,$D$11,0)="*","*",OFFSET(Processes!D38,$D$11,0))</f>
        <v>INDGDSHBHETE2</v>
      </c>
      <c r="D57" s="146" t="str">
        <f ca="1">+OFFSET(Processes!E38,$D$11,0)</f>
        <v>Glass &amp; Concrete industry Heat Room Boiler - Dist. Heat Existing 2</v>
      </c>
      <c r="E57" s="149" t="str">
        <f>+Processes!O38</f>
        <v>INDHDE</v>
      </c>
      <c r="F57" s="149" t="str">
        <f ca="1">+OFFSET(Processes!$M$12,$D$11,0) &amp; Processes!P38</f>
        <v>IGDSH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INDGDSHBELCE1</v>
      </c>
      <c r="D58" s="148" t="str">
        <f ca="1">+OFFSET(Processes!E39,$D$11,0)</f>
        <v>Glass &amp; Concrete industry Heat Room Boiler - Electricity Existing 1</v>
      </c>
      <c r="E58" s="172" t="str">
        <f>+Processes!O39</f>
        <v>INDELC</v>
      </c>
      <c r="F58" s="174" t="str">
        <f ca="1">+OFFSET(Processes!$M$12,$D$11,0) &amp; Processes!P39</f>
        <v>IGDSH</v>
      </c>
      <c r="G58" s="324">
        <f t="shared" si="18"/>
        <v>8.5039999999999996</v>
      </c>
      <c r="H58" s="324">
        <f t="shared" si="19"/>
        <v>0</v>
      </c>
      <c r="I58" s="324">
        <f t="shared" si="20"/>
        <v>0.44800000000000001</v>
      </c>
      <c r="J58" s="324">
        <f t="shared" si="21"/>
        <v>8.6239999999999988</v>
      </c>
      <c r="K58" s="324">
        <f t="shared" si="22"/>
        <v>0</v>
      </c>
      <c r="L58" s="324">
        <f t="shared" si="23"/>
        <v>0.45400000000000001</v>
      </c>
      <c r="M58" s="324">
        <f t="shared" si="24"/>
        <v>10.461</v>
      </c>
      <c r="N58" s="324">
        <f t="shared" si="25"/>
        <v>0</v>
      </c>
      <c r="O58" s="324">
        <f t="shared" si="26"/>
        <v>0.55100000000000005</v>
      </c>
      <c r="P58" s="324">
        <f t="shared" si="1"/>
        <v>10.461</v>
      </c>
      <c r="Q58" s="324">
        <f t="shared" si="2"/>
        <v>0</v>
      </c>
      <c r="R58" s="324">
        <f t="shared" si="3"/>
        <v>0.55100000000000005</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0.14100748935275256</v>
      </c>
      <c r="AH58" s="236">
        <f t="shared" si="83"/>
        <v>0.14172301406982801</v>
      </c>
      <c r="AI58" s="236">
        <f t="shared" si="84"/>
        <v>0.17191146221990622</v>
      </c>
      <c r="AJ58" s="285"/>
      <c r="AK58" s="355"/>
      <c r="AL58" s="567" t="s">
        <v>61</v>
      </c>
      <c r="AM58" s="560">
        <f>M82/1000</f>
        <v>0.14842594167981987</v>
      </c>
      <c r="AN58" s="561">
        <f t="shared" si="77"/>
        <v>0.14100464459582887</v>
      </c>
      <c r="AO58" s="562">
        <f t="shared" si="78"/>
        <v>0</v>
      </c>
      <c r="AP58" s="562">
        <f t="shared" si="79"/>
        <v>7.4212970839909942E-3</v>
      </c>
      <c r="AQ58" s="582">
        <f t="shared" si="28"/>
        <v>0.13395711488511491</v>
      </c>
      <c r="AR58" s="562">
        <f t="shared" si="29"/>
        <v>0</v>
      </c>
      <c r="AS58" s="563">
        <f t="shared" si="30"/>
        <v>7.0570069930069937E-3</v>
      </c>
      <c r="AT58" s="560">
        <f t="shared" ref="AT58:AV62" si="87">IFERROR(AQ58/W58,0)</f>
        <v>0.14100748935275254</v>
      </c>
      <c r="AU58" s="561">
        <f t="shared" si="87"/>
        <v>0</v>
      </c>
      <c r="AV58" s="566">
        <f t="shared" si="87"/>
        <v>7.4284284136915723E-3</v>
      </c>
      <c r="AW58" s="285"/>
      <c r="AX58" s="355"/>
      <c r="AY58" s="567" t="s">
        <v>61</v>
      </c>
      <c r="AZ58" s="560">
        <f>M102/1000</f>
        <v>0.14917814115539196</v>
      </c>
      <c r="BA58" s="561">
        <f>AZ58*$AN$23</f>
        <v>0.14171923409762235</v>
      </c>
      <c r="BB58" s="562">
        <f t="shared" si="60"/>
        <v>0</v>
      </c>
      <c r="BC58" s="562">
        <f t="shared" si="61"/>
        <v>7.4589070577695989E-3</v>
      </c>
      <c r="BD58" s="560">
        <f t="shared" si="33"/>
        <v>0.13463686336633662</v>
      </c>
      <c r="BE58" s="561">
        <f t="shared" si="34"/>
        <v>0</v>
      </c>
      <c r="BF58" s="566">
        <f t="shared" si="35"/>
        <v>7.0877940594059408E-3</v>
      </c>
      <c r="BG58" s="560">
        <f t="shared" ref="BG58:BI62" si="88">IFERROR(BD58/W58,0)</f>
        <v>0.14172301406982804</v>
      </c>
      <c r="BH58" s="561">
        <f t="shared" si="88"/>
        <v>0</v>
      </c>
      <c r="BI58" s="566">
        <f t="shared" si="88"/>
        <v>7.4608358520062536E-3</v>
      </c>
      <c r="BJ58" s="285"/>
      <c r="BK58" s="355"/>
      <c r="BL58" s="567" t="s">
        <v>61</v>
      </c>
      <c r="BM58" s="560">
        <f>M122/1000</f>
        <v>0.18094576273483934</v>
      </c>
      <c r="BN58" s="561">
        <f>BM58*$AN$23</f>
        <v>0.17189847459809737</v>
      </c>
      <c r="BO58" s="562">
        <f t="shared" si="53"/>
        <v>0</v>
      </c>
      <c r="BP58" s="562">
        <f t="shared" si="54"/>
        <v>9.0472881367419673E-3</v>
      </c>
      <c r="BQ58" s="560">
        <f t="shared" si="38"/>
        <v>0.1633158891089109</v>
      </c>
      <c r="BR58" s="561">
        <f t="shared" si="39"/>
        <v>0</v>
      </c>
      <c r="BS58" s="566">
        <f t="shared" si="40"/>
        <v>8.6021465346534671E-3</v>
      </c>
      <c r="BT58" s="560">
        <f t="shared" ref="BT58:BV62" si="89">IFERROR(BQ58/W58,0)</f>
        <v>0.17191146221990622</v>
      </c>
      <c r="BU58" s="561">
        <f t="shared" si="89"/>
        <v>0</v>
      </c>
      <c r="BV58" s="566">
        <f t="shared" si="89"/>
        <v>9.0548910891089136E-3</v>
      </c>
      <c r="BW58" s="285"/>
      <c r="BX58" s="285"/>
      <c r="BY58" s="285"/>
    </row>
    <row r="59" spans="3:77" ht="12.75" customHeight="1">
      <c r="C59" s="175" t="str">
        <f ca="1">+IF(OFFSET(Processes!B40,$D$11,0)="*","*",OFFSET(Processes!D40,$D$11,0))</f>
        <v>INDGDLAAELCE1</v>
      </c>
      <c r="D59" s="146" t="str">
        <f ca="1">+OFFSET(Processes!E40,$D$11,0)</f>
        <v>Glass &amp; Concrete industry Electricity Light Appliance - Electricity Existing 1</v>
      </c>
      <c r="E59" s="176" t="str">
        <f>+Processes!O40</f>
        <v>INDELC</v>
      </c>
      <c r="F59" s="149" t="str">
        <f ca="1">+OFFSET(Processes!$M$12,$D$11,0) &amp; Processes!P40</f>
        <v>IGDLA</v>
      </c>
      <c r="G59" s="323">
        <f t="shared" si="18"/>
        <v>265.61499999999995</v>
      </c>
      <c r="H59" s="323">
        <f t="shared" si="19"/>
        <v>0</v>
      </c>
      <c r="I59" s="323">
        <f t="shared" si="20"/>
        <v>13.979999999999999</v>
      </c>
      <c r="J59" s="323">
        <f t="shared" si="21"/>
        <v>269.36199999999997</v>
      </c>
      <c r="K59" s="323">
        <f t="shared" si="22"/>
        <v>0</v>
      </c>
      <c r="L59" s="323">
        <f t="shared" si="23"/>
        <v>14.177</v>
      </c>
      <c r="M59" s="323">
        <f t="shared" si="24"/>
        <v>326.72199999999998</v>
      </c>
      <c r="N59" s="323">
        <f t="shared" si="25"/>
        <v>0</v>
      </c>
      <c r="O59" s="323">
        <f t="shared" si="26"/>
        <v>17.196000000000002</v>
      </c>
      <c r="P59" s="323">
        <f t="shared" si="1"/>
        <v>326.72199999999998</v>
      </c>
      <c r="Q59" s="323">
        <f t="shared" si="2"/>
        <v>0</v>
      </c>
      <c r="R59" s="323">
        <f t="shared" si="3"/>
        <v>17.196000000000002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4.1840332867132872</v>
      </c>
      <c r="AH59" s="236">
        <f t="shared" si="83"/>
        <v>4.2052475405940593</v>
      </c>
      <c r="AI59" s="236">
        <f t="shared" si="84"/>
        <v>5.1007450455445547</v>
      </c>
      <c r="AJ59" s="285"/>
      <c r="AK59" s="531" t="str">
        <f ca="1">F59</f>
        <v>IGDLA</v>
      </c>
      <c r="AL59" s="578" t="s">
        <v>61</v>
      </c>
      <c r="AM59" s="579">
        <f>M80/1000</f>
        <v>4.4042400000000006</v>
      </c>
      <c r="AN59" s="580">
        <f t="shared" si="77"/>
        <v>4.1840280000000005</v>
      </c>
      <c r="AO59" s="583">
        <f t="shared" si="78"/>
        <v>0</v>
      </c>
      <c r="AP59" s="583">
        <f t="shared" si="79"/>
        <v>0.22021200000000005</v>
      </c>
      <c r="AQ59" s="584">
        <f t="shared" si="28"/>
        <v>4.1840332867132872</v>
      </c>
      <c r="AR59" s="583">
        <f t="shared" si="29"/>
        <v>0</v>
      </c>
      <c r="AS59" s="585">
        <f t="shared" si="30"/>
        <v>0.2202164235764236</v>
      </c>
      <c r="AT59" s="579">
        <f t="shared" si="87"/>
        <v>4.1840332867132872</v>
      </c>
      <c r="AU59" s="580">
        <f t="shared" si="87"/>
        <v>0</v>
      </c>
      <c r="AV59" s="581">
        <f t="shared" si="87"/>
        <v>0.2202164235764236</v>
      </c>
      <c r="AW59" s="285"/>
      <c r="AX59" s="531" t="str">
        <f t="shared" ca="1" si="12"/>
        <v>IGDLA</v>
      </c>
      <c r="AY59" s="578" t="s">
        <v>61</v>
      </c>
      <c r="AZ59" s="579">
        <f>M100/1000</f>
        <v>4.4265600000000003</v>
      </c>
      <c r="BA59" s="580">
        <f>AZ59*$AN$23</f>
        <v>4.2052319999999996</v>
      </c>
      <c r="BB59" s="583">
        <f t="shared" si="60"/>
        <v>0</v>
      </c>
      <c r="BC59" s="583">
        <f t="shared" si="61"/>
        <v>0.22132800000000002</v>
      </c>
      <c r="BD59" s="579">
        <f t="shared" si="33"/>
        <v>4.2052475405940593</v>
      </c>
      <c r="BE59" s="580">
        <f t="shared" si="34"/>
        <v>0</v>
      </c>
      <c r="BF59" s="581">
        <f t="shared" si="35"/>
        <v>0.2213296396039604</v>
      </c>
      <c r="BG59" s="579">
        <f t="shared" si="88"/>
        <v>4.2052475405940593</v>
      </c>
      <c r="BH59" s="580">
        <f t="shared" si="88"/>
        <v>0</v>
      </c>
      <c r="BI59" s="581">
        <f t="shared" si="88"/>
        <v>0.2213296396039604</v>
      </c>
      <c r="BJ59" s="285"/>
      <c r="BK59" s="531" t="str">
        <f ca="1">AK59</f>
        <v>IGDLA</v>
      </c>
      <c r="BL59" s="578" t="s">
        <v>61</v>
      </c>
      <c r="BM59" s="579">
        <f>M120/1000</f>
        <v>5.3692000000000011</v>
      </c>
      <c r="BN59" s="580">
        <f>BM59*$AN$23</f>
        <v>5.1007400000000009</v>
      </c>
      <c r="BO59" s="583">
        <f t="shared" si="53"/>
        <v>0</v>
      </c>
      <c r="BP59" s="583">
        <f t="shared" si="54"/>
        <v>0.26846000000000009</v>
      </c>
      <c r="BQ59" s="579">
        <f t="shared" si="38"/>
        <v>5.1007450455445547</v>
      </c>
      <c r="BR59" s="580">
        <f t="shared" si="39"/>
        <v>0</v>
      </c>
      <c r="BS59" s="581">
        <f t="shared" si="40"/>
        <v>0.26846190891089117</v>
      </c>
      <c r="BT59" s="579">
        <f t="shared" si="89"/>
        <v>5.1007450455445547</v>
      </c>
      <c r="BU59" s="580">
        <f t="shared" si="89"/>
        <v>0</v>
      </c>
      <c r="BV59" s="581">
        <f t="shared" si="89"/>
        <v>0.26846190891089117</v>
      </c>
      <c r="BW59" s="285"/>
      <c r="BX59" s="285"/>
      <c r="BY59" s="285"/>
    </row>
    <row r="60" spans="3:77" ht="12.75" customHeight="1">
      <c r="C60" s="148" t="str">
        <f ca="1">+IF(OFFSET(Processes!B41,$D$11,0)="*","*",OFFSET(Processes!D41,$D$11,0))</f>
        <v>INDGDEMMELCE1</v>
      </c>
      <c r="D60" s="148" t="str">
        <f ca="1">+OFFSET(Processes!E41,$D$11,0)</f>
        <v>Glass &amp; Concrete industry Electricity Motors - Electricity Existing 1</v>
      </c>
      <c r="E60" s="174" t="str">
        <f>+Processes!O41</f>
        <v>INDELC</v>
      </c>
      <c r="F60" s="174" t="str">
        <f ca="1">+OFFSET(Processes!$M$12,$D$11,0) &amp; Processes!P41</f>
        <v>IGDEM</v>
      </c>
      <c r="G60" s="324">
        <f t="shared" si="18"/>
        <v>2390.5320000000002</v>
      </c>
      <c r="H60" s="324">
        <f t="shared" si="19"/>
        <v>0</v>
      </c>
      <c r="I60" s="324">
        <f t="shared" si="20"/>
        <v>125.818</v>
      </c>
      <c r="J60" s="324">
        <f t="shared" si="21"/>
        <v>2424.25</v>
      </c>
      <c r="K60" s="324">
        <f t="shared" si="22"/>
        <v>0</v>
      </c>
      <c r="L60" s="324">
        <f t="shared" si="23"/>
        <v>127.593</v>
      </c>
      <c r="M60" s="324">
        <f t="shared" si="24"/>
        <v>2940.4960000000001</v>
      </c>
      <c r="N60" s="324">
        <f t="shared" si="25"/>
        <v>0</v>
      </c>
      <c r="O60" s="324">
        <f t="shared" si="26"/>
        <v>154.76300000000001</v>
      </c>
      <c r="P60" s="324">
        <f t="shared" si="1"/>
        <v>2940.4960000000001</v>
      </c>
      <c r="Q60" s="324">
        <f t="shared" si="2"/>
        <v>0</v>
      </c>
      <c r="R60" s="324">
        <f t="shared" si="3"/>
        <v>154.76300000000001</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37.656252323676334</v>
      </c>
      <c r="AH60" s="236">
        <f t="shared" si="83"/>
        <v>37.84710297029703</v>
      </c>
      <c r="AI60" s="236">
        <f t="shared" si="84"/>
        <v>45.906674186138616</v>
      </c>
      <c r="AJ60" s="285"/>
      <c r="AK60" s="536" t="str">
        <f ca="1">F60</f>
        <v>IGDEM</v>
      </c>
      <c r="AL60" s="578" t="s">
        <v>61</v>
      </c>
      <c r="AM60" s="579">
        <f>M81/1000</f>
        <v>39.638160000000006</v>
      </c>
      <c r="AN60" s="580">
        <f t="shared" si="77"/>
        <v>37.656252000000002</v>
      </c>
      <c r="AO60" s="583">
        <f t="shared" si="78"/>
        <v>0</v>
      </c>
      <c r="AP60" s="583">
        <f t="shared" si="79"/>
        <v>1.9819080000000004</v>
      </c>
      <c r="AQ60" s="584">
        <f t="shared" si="28"/>
        <v>37.656252323676334</v>
      </c>
      <c r="AR60" s="583">
        <f t="shared" si="29"/>
        <v>0</v>
      </c>
      <c r="AS60" s="585">
        <f t="shared" si="30"/>
        <v>1.9819163076923079</v>
      </c>
      <c r="AT60" s="579">
        <f t="shared" si="87"/>
        <v>37.656252323676334</v>
      </c>
      <c r="AU60" s="580">
        <f t="shared" si="87"/>
        <v>0</v>
      </c>
      <c r="AV60" s="581">
        <f t="shared" si="87"/>
        <v>1.9819163076923079</v>
      </c>
      <c r="AW60" s="285"/>
      <c r="AX60" s="536" t="str">
        <f t="shared" ca="1" si="12"/>
        <v>IGDEM</v>
      </c>
      <c r="AY60" s="578" t="s">
        <v>61</v>
      </c>
      <c r="AZ60" s="579">
        <f>M101/1000</f>
        <v>39.839040000000004</v>
      </c>
      <c r="BA60" s="580">
        <f>AZ60*$AN$23</f>
        <v>37.847087999999999</v>
      </c>
      <c r="BB60" s="583">
        <f t="shared" si="60"/>
        <v>0</v>
      </c>
      <c r="BC60" s="583">
        <f t="shared" si="61"/>
        <v>1.9919520000000004</v>
      </c>
      <c r="BD60" s="579">
        <f t="shared" si="33"/>
        <v>37.84710297029703</v>
      </c>
      <c r="BE60" s="580">
        <f t="shared" si="34"/>
        <v>0</v>
      </c>
      <c r="BF60" s="581">
        <f t="shared" si="35"/>
        <v>1.9919667564356436</v>
      </c>
      <c r="BG60" s="579">
        <f t="shared" si="88"/>
        <v>37.84710297029703</v>
      </c>
      <c r="BH60" s="580">
        <f t="shared" si="88"/>
        <v>0</v>
      </c>
      <c r="BI60" s="581">
        <f t="shared" si="88"/>
        <v>1.9919667564356436</v>
      </c>
      <c r="BJ60" s="285"/>
      <c r="BK60" s="536" t="str">
        <f ca="1">AK60</f>
        <v>IGDEM</v>
      </c>
      <c r="BL60" s="578" t="s">
        <v>61</v>
      </c>
      <c r="BM60" s="579">
        <f>M121/1000</f>
        <v>48.322800000000001</v>
      </c>
      <c r="BN60" s="580">
        <f>BM60*$AN$23</f>
        <v>45.906659999999995</v>
      </c>
      <c r="BO60" s="583">
        <f t="shared" si="53"/>
        <v>0</v>
      </c>
      <c r="BP60" s="583">
        <f t="shared" si="54"/>
        <v>2.4161400000000004</v>
      </c>
      <c r="BQ60" s="579">
        <f t="shared" si="38"/>
        <v>45.906674186138616</v>
      </c>
      <c r="BR60" s="580">
        <f t="shared" si="39"/>
        <v>0</v>
      </c>
      <c r="BS60" s="581">
        <f t="shared" si="40"/>
        <v>2.4161415683168319</v>
      </c>
      <c r="BT60" s="579">
        <f t="shared" si="89"/>
        <v>45.906674186138616</v>
      </c>
      <c r="BU60" s="580">
        <f t="shared" si="89"/>
        <v>0</v>
      </c>
      <c r="BV60" s="581">
        <f t="shared" si="89"/>
        <v>2.4161415683168319</v>
      </c>
      <c r="BW60" s="285"/>
      <c r="BX60" s="285"/>
      <c r="BY60" s="285"/>
    </row>
    <row r="61" spans="3:77" ht="12.75" customHeight="1">
      <c r="C61" s="173" t="str">
        <f ca="1">+IF(OFFSET(Processes!B42,$D$11,0)="*","*",OFFSET(Processes!D42,$D$11,0))</f>
        <v>INDGDTFTDSLE1</v>
      </c>
      <c r="D61" s="173" t="str">
        <f ca="1">+OFFSET(Processes!E42,$D$11,0)</f>
        <v>Glass &amp; Concrete industry Tractors, Trucks, Fishing boats, Forest machines - Diesel Existing 1</v>
      </c>
      <c r="E61" s="172" t="str">
        <f>+Processes!O42</f>
        <v>INDDSB1,INDDSB2,INDDSL</v>
      </c>
      <c r="F61" s="173" t="str">
        <f ca="1">+OFFSET(Processes!$M$12,$D$11,0) &amp; Processes!P42</f>
        <v>IGDTF</v>
      </c>
      <c r="G61" s="323">
        <f t="shared" si="18"/>
        <v>747.62900000000002</v>
      </c>
      <c r="H61" s="323">
        <f t="shared" si="19"/>
        <v>0</v>
      </c>
      <c r="I61" s="323">
        <f t="shared" si="20"/>
        <v>39.348999999999997</v>
      </c>
      <c r="J61" s="323">
        <f t="shared" si="21"/>
        <v>203.21200000000002</v>
      </c>
      <c r="K61" s="323">
        <f t="shared" si="22"/>
        <v>0</v>
      </c>
      <c r="L61" s="323">
        <f t="shared" si="23"/>
        <v>10.696</v>
      </c>
      <c r="M61" s="323">
        <f t="shared" si="24"/>
        <v>193.3</v>
      </c>
      <c r="N61" s="323">
        <f t="shared" si="25"/>
        <v>0</v>
      </c>
      <c r="O61" s="323">
        <f t="shared" si="26"/>
        <v>10.173999999999999</v>
      </c>
      <c r="P61" s="323">
        <f t="shared" si="1"/>
        <v>193.3</v>
      </c>
      <c r="Q61" s="323">
        <f t="shared" si="2"/>
        <v>0</v>
      </c>
      <c r="R61" s="323">
        <f t="shared" si="3"/>
        <v>10.173999999999999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11.776837234765237</v>
      </c>
      <c r="AH61" s="236">
        <f t="shared" si="83"/>
        <v>3.1725216000000005</v>
      </c>
      <c r="AI61" s="236">
        <f t="shared" si="84"/>
        <v>3.0177766336633667</v>
      </c>
      <c r="AJ61" s="285"/>
      <c r="AK61" s="536" t="str">
        <f ca="1">F61</f>
        <v>IGDTF</v>
      </c>
      <c r="AL61" s="578" t="s">
        <v>59</v>
      </c>
      <c r="AM61" s="579">
        <f>F79/1000</f>
        <v>12.396655000000001</v>
      </c>
      <c r="AN61" s="580">
        <f t="shared" si="77"/>
        <v>11.77682225</v>
      </c>
      <c r="AO61" s="583">
        <f t="shared" si="78"/>
        <v>0</v>
      </c>
      <c r="AP61" s="583">
        <f t="shared" si="79"/>
        <v>0.61983275000000004</v>
      </c>
      <c r="AQ61" s="584">
        <f t="shared" si="28"/>
        <v>11.776837234765237</v>
      </c>
      <c r="AR61" s="583">
        <f t="shared" si="29"/>
        <v>0</v>
      </c>
      <c r="AS61" s="585">
        <f t="shared" si="30"/>
        <v>0.61983519680319688</v>
      </c>
      <c r="AT61" s="579">
        <f t="shared" si="87"/>
        <v>11.776837234765237</v>
      </c>
      <c r="AU61" s="580">
        <f t="shared" si="87"/>
        <v>0</v>
      </c>
      <c r="AV61" s="581">
        <f t="shared" si="87"/>
        <v>0.61983519680319688</v>
      </c>
      <c r="AW61" s="285"/>
      <c r="AX61" s="536" t="str">
        <f t="shared" ca="1" si="12"/>
        <v>IGDTF</v>
      </c>
      <c r="AY61" s="578" t="s">
        <v>59</v>
      </c>
      <c r="AZ61" s="579">
        <f>F99/1000</f>
        <v>3.3394920000000003</v>
      </c>
      <c r="BA61" s="580">
        <f>AZ61*$AN$23</f>
        <v>3.1725174000000003</v>
      </c>
      <c r="BB61" s="583">
        <f t="shared" si="60"/>
        <v>0</v>
      </c>
      <c r="BC61" s="583">
        <f t="shared" si="61"/>
        <v>0.16697460000000003</v>
      </c>
      <c r="BD61" s="579">
        <f t="shared" si="33"/>
        <v>3.1725216000000005</v>
      </c>
      <c r="BE61" s="580">
        <f t="shared" si="34"/>
        <v>0</v>
      </c>
      <c r="BF61" s="581">
        <f t="shared" si="35"/>
        <v>0.16698468118811882</v>
      </c>
      <c r="BG61" s="579">
        <f t="shared" si="88"/>
        <v>3.1725216000000005</v>
      </c>
      <c r="BH61" s="580">
        <f t="shared" si="88"/>
        <v>0</v>
      </c>
      <c r="BI61" s="581">
        <f t="shared" si="88"/>
        <v>0.16698468118811882</v>
      </c>
      <c r="BJ61" s="285"/>
      <c r="BK61" s="536" t="str">
        <f ca="1">AK61</f>
        <v>IGDTF</v>
      </c>
      <c r="BL61" s="578" t="s">
        <v>59</v>
      </c>
      <c r="BM61" s="579">
        <f>F119/1000</f>
        <v>3.1765979999999998</v>
      </c>
      <c r="BN61" s="580">
        <f>BM61*$AN$23</f>
        <v>3.0177680999999996</v>
      </c>
      <c r="BO61" s="583">
        <f t="shared" si="53"/>
        <v>0</v>
      </c>
      <c r="BP61" s="583">
        <f t="shared" si="54"/>
        <v>0.1588299</v>
      </c>
      <c r="BQ61" s="579">
        <f t="shared" si="38"/>
        <v>3.0177766336633667</v>
      </c>
      <c r="BR61" s="580">
        <f t="shared" si="39"/>
        <v>0</v>
      </c>
      <c r="BS61" s="581">
        <f t="shared" si="40"/>
        <v>0.15883527920792079</v>
      </c>
      <c r="BT61" s="579">
        <f t="shared" si="89"/>
        <v>3.0177766336633667</v>
      </c>
      <c r="BU61" s="580">
        <f t="shared" si="89"/>
        <v>0</v>
      </c>
      <c r="BV61" s="581">
        <f t="shared" si="89"/>
        <v>0.15883527920792079</v>
      </c>
      <c r="BW61" s="285"/>
      <c r="BX61" s="285"/>
      <c r="BY61" s="285"/>
    </row>
    <row r="62" spans="3:77" ht="12.75" customHeight="1">
      <c r="C62" s="173" t="str">
        <f ca="1">+IF(OFFSET(Processes!B43,$D$11,0)="*","*",OFFSET(Processes!D43,$D$11,0))</f>
        <v>INDGDFLTLPGE1</v>
      </c>
      <c r="D62" s="173" t="str">
        <f ca="1">+OFFSET(Processes!E43,$D$11,0)</f>
        <v>Glass &amp; Concrete industry Forklifts - LPG Existing 1</v>
      </c>
      <c r="E62" s="172" t="str">
        <f>+Processes!O43</f>
        <v>INDLPG,INDSNG1,INDSNG2</v>
      </c>
      <c r="F62" s="173" t="str">
        <f ca="1">+OFFSET(Processes!$M$12,$D$11,0) &amp; Processes!P43</f>
        <v>IGDFL</v>
      </c>
      <c r="G62" s="323">
        <f t="shared" si="18"/>
        <v>37.477999999999994</v>
      </c>
      <c r="H62" s="323">
        <f t="shared" si="19"/>
        <v>0</v>
      </c>
      <c r="I62" s="323">
        <f>ROUNDUP(AP62/($Z62*$AA62)*I$21*Y62,3)</f>
        <v>1.9729999999999999</v>
      </c>
      <c r="J62" s="323">
        <f t="shared" si="21"/>
        <v>13.802999999999999</v>
      </c>
      <c r="K62" s="323">
        <f t="shared" si="22"/>
        <v>0</v>
      </c>
      <c r="L62" s="323">
        <f t="shared" si="23"/>
        <v>0.72699999999999998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0.59036274125874122</v>
      </c>
      <c r="AH62" s="236">
        <f t="shared" si="83"/>
        <v>0.21549079603960394</v>
      </c>
      <c r="AI62" s="236" t="e">
        <f t="shared" si="84"/>
        <v>#REF!</v>
      </c>
      <c r="AJ62" s="285"/>
      <c r="AK62" s="536" t="str">
        <f ca="1">F62</f>
        <v>IGDFL</v>
      </c>
      <c r="AL62" s="532" t="s">
        <v>53</v>
      </c>
      <c r="AM62" s="533">
        <f>H79/1000</f>
        <v>0.62141849999999998</v>
      </c>
      <c r="AN62" s="534">
        <f t="shared" si="77"/>
        <v>0.59034757500000001</v>
      </c>
      <c r="AO62" s="535">
        <f t="shared" si="78"/>
        <v>0</v>
      </c>
      <c r="AP62" s="535">
        <f t="shared" si="79"/>
        <v>3.1070924999999999E-2</v>
      </c>
      <c r="AQ62" s="545">
        <f t="shared" si="28"/>
        <v>0.59036274125874122</v>
      </c>
      <c r="AR62" s="535">
        <f t="shared" si="29"/>
        <v>0</v>
      </c>
      <c r="AS62" s="541">
        <f t="shared" si="30"/>
        <v>3.1079184815184818E-2</v>
      </c>
      <c r="AT62" s="546">
        <f t="shared" si="87"/>
        <v>0.59036274125874122</v>
      </c>
      <c r="AU62" s="537">
        <f t="shared" si="87"/>
        <v>0</v>
      </c>
      <c r="AV62" s="538">
        <f t="shared" si="87"/>
        <v>3.1079184815184818E-2</v>
      </c>
      <c r="AW62" s="285"/>
      <c r="AX62" s="536" t="str">
        <f t="shared" ca="1" si="12"/>
        <v>IGDFL</v>
      </c>
      <c r="AY62" s="532" t="s">
        <v>53</v>
      </c>
      <c r="AZ62" s="533">
        <f>H99/1000</f>
        <v>0.22683</v>
      </c>
      <c r="BA62" s="534">
        <f>AZ62*$AN$23</f>
        <v>0.2154885</v>
      </c>
      <c r="BB62" s="535">
        <f t="shared" si="60"/>
        <v>0</v>
      </c>
      <c r="BC62" s="535">
        <f t="shared" si="61"/>
        <v>1.1341500000000001E-2</v>
      </c>
      <c r="BD62" s="546">
        <f t="shared" si="33"/>
        <v>0.21549079603960394</v>
      </c>
      <c r="BE62" s="537">
        <f t="shared" si="34"/>
        <v>0</v>
      </c>
      <c r="BF62" s="538">
        <f t="shared" si="35"/>
        <v>1.1349837623762377E-2</v>
      </c>
      <c r="BG62" s="546">
        <f t="shared" si="88"/>
        <v>0.21549079603960394</v>
      </c>
      <c r="BH62" s="537">
        <f t="shared" si="88"/>
        <v>0</v>
      </c>
      <c r="BI62" s="538">
        <f t="shared" si="88"/>
        <v>1.1349837623762377E-2</v>
      </c>
      <c r="BJ62" s="285"/>
      <c r="BK62" s="536" t="str">
        <f ca="1">AK62</f>
        <v>IGDFL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56552.896000000001</v>
      </c>
      <c r="E77" s="14">
        <f t="shared" si="93"/>
        <v>7746.8159999999998</v>
      </c>
      <c r="F77" s="14">
        <f t="shared" si="93"/>
        <v>0</v>
      </c>
      <c r="G77" s="14">
        <f t="shared" si="93"/>
        <v>0</v>
      </c>
      <c r="H77" s="14">
        <f t="shared" si="93"/>
        <v>621.41849999999999</v>
      </c>
      <c r="I77" s="14">
        <f t="shared" si="93"/>
        <v>102503.992</v>
      </c>
      <c r="J77" s="14">
        <f t="shared" si="93"/>
        <v>17</v>
      </c>
      <c r="K77" s="14">
        <f t="shared" si="93"/>
        <v>6041</v>
      </c>
      <c r="L77" s="14">
        <f t="shared" si="93"/>
        <v>33264</v>
      </c>
      <c r="M77" s="14">
        <f t="shared" si="93"/>
        <v>0</v>
      </c>
      <c r="N77" s="14">
        <f t="shared" si="93"/>
        <v>0</v>
      </c>
      <c r="O77" s="86"/>
      <c r="T77" s="48" t="s">
        <v>209</v>
      </c>
      <c r="U77" s="48"/>
      <c r="V77" s="126" t="str">
        <f>+INDEX('Energy matrix'!C4:N4,1,$D$2)</f>
        <v>Non-metallic minerals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56552.896000000001</v>
      </c>
      <c r="W78" s="117"/>
    </row>
    <row r="79" spans="3:66" ht="12.75" customHeight="1">
      <c r="C79" s="13" t="str">
        <f>$D$152</f>
        <v>Haullage</v>
      </c>
      <c r="D79" s="19">
        <f t="shared" ref="D79:N79" si="95">+INDEX($E152:$O152,1,D$75) * INDEX($V$78:$V$88,D$75,1)</f>
        <v>0</v>
      </c>
      <c r="E79" s="19">
        <f t="shared" si="95"/>
        <v>0</v>
      </c>
      <c r="F79" s="19">
        <f t="shared" si="95"/>
        <v>12396.655000000001</v>
      </c>
      <c r="G79" s="19">
        <f t="shared" si="95"/>
        <v>0</v>
      </c>
      <c r="H79" s="19">
        <f t="shared" si="95"/>
        <v>621.41849999999999</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7746.8159999999998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4404.2400000000007</v>
      </c>
      <c r="N80" s="14">
        <f t="shared" si="96"/>
        <v>0</v>
      </c>
      <c r="O80" s="86"/>
      <c r="T80" s="117" t="str">
        <f>+'Energy matrix'!B7</f>
        <v>Diesel</v>
      </c>
      <c r="U80" s="117"/>
      <c r="V80" s="118">
        <f>+INDEX('Energy matrix'!C7:N7,1,$D$2)</f>
        <v>12396.655000000001</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39638.160000000003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148.42594167981989</v>
      </c>
      <c r="N82" s="14">
        <f t="shared" si="98"/>
        <v>608</v>
      </c>
      <c r="O82" s="86"/>
      <c r="T82" s="117" t="str">
        <f>+'Energy matrix'!B9</f>
        <v>LPG</v>
      </c>
      <c r="U82" s="117"/>
      <c r="V82" s="118">
        <f>+INDEX('Energy matrix'!C9:N9,1,$D$2)</f>
        <v>1242.837</v>
      </c>
      <c r="W82" s="117"/>
    </row>
    <row r="83" spans="3:24" ht="12.75" customHeight="1">
      <c r="C83" s="17" t="s">
        <v>57</v>
      </c>
      <c r="D83" s="18">
        <f t="shared" ref="D83:N83" si="99">SUM(D77:D82)</f>
        <v>56552.896000000001</v>
      </c>
      <c r="E83" s="18">
        <f t="shared" si="99"/>
        <v>7746.8159999999998</v>
      </c>
      <c r="F83" s="18">
        <f t="shared" si="99"/>
        <v>12396.655000000001</v>
      </c>
      <c r="G83" s="18">
        <f t="shared" si="99"/>
        <v>0</v>
      </c>
      <c r="H83" s="18">
        <f t="shared" si="99"/>
        <v>1242.837</v>
      </c>
      <c r="I83" s="18">
        <f t="shared" si="99"/>
        <v>102503.992</v>
      </c>
      <c r="J83" s="18">
        <f t="shared" si="99"/>
        <v>17</v>
      </c>
      <c r="K83" s="18">
        <f t="shared" si="99"/>
        <v>6041</v>
      </c>
      <c r="L83" s="18">
        <f t="shared" si="99"/>
        <v>33264</v>
      </c>
      <c r="M83" s="18">
        <f t="shared" si="99"/>
        <v>44190.825941679825</v>
      </c>
      <c r="N83" s="18">
        <f t="shared" si="99"/>
        <v>608</v>
      </c>
      <c r="O83" s="86"/>
      <c r="T83" s="117" t="str">
        <f>+'Energy matrix'!B11</f>
        <v>Natural gas</v>
      </c>
      <c r="U83" s="117"/>
      <c r="V83" s="118">
        <f>+INDEX('Energy matrix'!C11:N11,1,$D$2)</f>
        <v>102503.992</v>
      </c>
      <c r="W83" s="117"/>
    </row>
    <row r="84" spans="3:24" ht="12.75" customHeight="1">
      <c r="E84" s="25"/>
      <c r="F84" s="25"/>
      <c r="G84" s="25"/>
      <c r="H84" s="25"/>
      <c r="I84" s="25"/>
      <c r="J84" s="25"/>
      <c r="K84" s="25"/>
      <c r="O84" s="86"/>
      <c r="T84" s="117" t="str">
        <f>+'Energy matrix'!B12</f>
        <v>Biogas</v>
      </c>
      <c r="U84" s="117"/>
      <c r="V84" s="118">
        <f>+INDEX('Energy matrix'!C12:N12,1,$D$2)</f>
        <v>17</v>
      </c>
      <c r="W84" s="117"/>
    </row>
    <row r="85" spans="3:24" ht="12.75" customHeight="1">
      <c r="E85" s="25"/>
      <c r="F85" s="25"/>
      <c r="G85" s="25"/>
      <c r="H85" s="25"/>
      <c r="I85" s="25"/>
      <c r="J85" s="25"/>
      <c r="K85" s="25"/>
      <c r="O85" s="86"/>
      <c r="T85" s="117" t="str">
        <f>+'Energy matrix'!B17</f>
        <v>Biomass</v>
      </c>
      <c r="U85" s="117"/>
      <c r="V85" s="118">
        <f>+INDEX('Energy matrix'!C17:N17,1,$D$2)</f>
        <v>6041</v>
      </c>
      <c r="W85" s="117"/>
    </row>
    <row r="86" spans="3:24" ht="12.75" customHeight="1">
      <c r="O86" s="86"/>
      <c r="T86" s="117" t="str">
        <f>+'Energy matrix'!B18</f>
        <v>Waste</v>
      </c>
      <c r="U86" s="117"/>
      <c r="V86" s="118">
        <f>+INDEX('Energy matrix'!C18:N18,1,$D$2)</f>
        <v>33264</v>
      </c>
      <c r="W86" s="117"/>
    </row>
    <row r="87" spans="3:24" ht="12.75" customHeight="1">
      <c r="O87" s="86"/>
      <c r="T87" s="117" t="str">
        <f>+'Energy matrix'!B19</f>
        <v>Electricity</v>
      </c>
      <c r="U87" s="117"/>
      <c r="V87" s="118">
        <f>+INDEX('Energy matrix'!C19:N19,1,$D$2)</f>
        <v>44042.400000000001</v>
      </c>
      <c r="W87" s="117"/>
    </row>
    <row r="88" spans="3:24" ht="12.75" customHeight="1">
      <c r="O88" s="86"/>
      <c r="T88" s="122" t="str">
        <f>+'Energy matrix'!B20</f>
        <v>District Heating</v>
      </c>
      <c r="U88" s="122"/>
      <c r="V88" s="123">
        <f>+INDEX('Energy matrix'!C20:N20,1,$D$2)</f>
        <v>608</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264415.59600000002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57791.9</v>
      </c>
      <c r="E97" s="14">
        <f t="shared" si="110"/>
        <v>3462.4749999999999</v>
      </c>
      <c r="F97" s="14">
        <f t="shared" si="110"/>
        <v>0</v>
      </c>
      <c r="G97" s="14">
        <f t="shared" si="110"/>
        <v>0</v>
      </c>
      <c r="H97" s="14">
        <f t="shared" si="110"/>
        <v>226.83</v>
      </c>
      <c r="I97" s="14">
        <f t="shared" si="110"/>
        <v>104013</v>
      </c>
      <c r="J97" s="14" t="e">
        <f t="shared" si="110"/>
        <v>#REF!</v>
      </c>
      <c r="K97" s="14">
        <f t="shared" si="110"/>
        <v>5787</v>
      </c>
      <c r="L97" s="14">
        <f t="shared" si="110"/>
        <v>44429</v>
      </c>
      <c r="M97" s="14">
        <f t="shared" si="110"/>
        <v>0</v>
      </c>
      <c r="N97" s="14">
        <f t="shared" si="110"/>
        <v>0</v>
      </c>
      <c r="O97" s="86"/>
      <c r="R97" s="287"/>
      <c r="S97" s="287"/>
      <c r="T97" s="48" t="s">
        <v>209</v>
      </c>
      <c r="U97" s="48"/>
      <c r="V97" s="126" t="str">
        <f>+INDEX('Energy matrix'!C28:N28,1,$D$2)</f>
        <v>Non-metallic minerals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57791.9</v>
      </c>
      <c r="W98" s="117"/>
    </row>
    <row r="99" spans="3:24" s="285" customFormat="1" ht="12.75" customHeight="1">
      <c r="C99" s="13" t="str">
        <f>$D$152</f>
        <v>Haullage</v>
      </c>
      <c r="D99" s="19">
        <f t="shared" ref="D99:N99" si="112">+INDEX($E152:$O152,1,D$95) * INDEX($V$98:$V$108,D$95,1)</f>
        <v>0</v>
      </c>
      <c r="E99" s="19">
        <f t="shared" si="112"/>
        <v>0</v>
      </c>
      <c r="F99" s="19">
        <f t="shared" si="112"/>
        <v>3339.4920000000002</v>
      </c>
      <c r="G99" s="19">
        <f t="shared" si="112"/>
        <v>0</v>
      </c>
      <c r="H99" s="19">
        <f t="shared" si="112"/>
        <v>226.83</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3462.4749999999999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4426.5600000000004</v>
      </c>
      <c r="N100" s="14">
        <f t="shared" si="113"/>
        <v>0</v>
      </c>
      <c r="O100" s="86"/>
      <c r="R100" s="287"/>
      <c r="S100" s="287"/>
      <c r="T100" s="117" t="str">
        <f>'Energy matrix'!B31</f>
        <v>Diesel</v>
      </c>
      <c r="U100" s="117"/>
      <c r="V100" s="118">
        <f>+INDEX('Energy matrix'!C31:N31,1,$D$2)</f>
        <v>3339.4920000000002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39839.040000000001</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149.17814115539196</v>
      </c>
      <c r="N102" s="14">
        <f t="shared" si="115"/>
        <v>775</v>
      </c>
      <c r="O102" s="86"/>
      <c r="R102" s="287"/>
      <c r="S102" s="287"/>
      <c r="T102" s="117" t="str">
        <f>'Energy matrix'!B33</f>
        <v>LPG</v>
      </c>
      <c r="U102" s="117"/>
      <c r="V102" s="118">
        <f>+INDEX('Energy matrix'!C33:N33,1,$D$2)</f>
        <v>453.66</v>
      </c>
      <c r="W102" s="117"/>
    </row>
    <row r="103" spans="3:24" s="285" customFormat="1" ht="12.75" customHeight="1">
      <c r="C103" s="17" t="s">
        <v>57</v>
      </c>
      <c r="D103" s="18">
        <f t="shared" ref="D103:N103" si="116">SUM(D97:D102)</f>
        <v>57791.9</v>
      </c>
      <c r="E103" s="18">
        <f t="shared" si="116"/>
        <v>3462.4749999999999</v>
      </c>
      <c r="F103" s="18">
        <f t="shared" si="116"/>
        <v>3339.4920000000002</v>
      </c>
      <c r="G103" s="18">
        <f t="shared" si="116"/>
        <v>0</v>
      </c>
      <c r="H103" s="18">
        <f t="shared" si="116"/>
        <v>453.66</v>
      </c>
      <c r="I103" s="18">
        <f t="shared" si="116"/>
        <v>104013</v>
      </c>
      <c r="J103" s="18" t="e">
        <f t="shared" si="116"/>
        <v>#REF!</v>
      </c>
      <c r="K103" s="18">
        <f t="shared" si="116"/>
        <v>5787</v>
      </c>
      <c r="L103" s="18">
        <f t="shared" si="116"/>
        <v>44429</v>
      </c>
      <c r="M103" s="18">
        <f t="shared" si="116"/>
        <v>44414.778141155388</v>
      </c>
      <c r="N103" s="18">
        <f t="shared" si="116"/>
        <v>775</v>
      </c>
      <c r="O103" s="86"/>
      <c r="R103" s="287"/>
      <c r="S103" s="287"/>
      <c r="T103" s="117" t="str">
        <f>'Energy matrix'!B35</f>
        <v>Natural gas</v>
      </c>
      <c r="U103" s="117"/>
      <c r="V103" s="118">
        <f>+INDEX('Energy matrix'!C35:N35,1,$D$2)</f>
        <v>104013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5787</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44429</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44265.599999999999</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775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53875.453000000001</v>
      </c>
      <c r="E117" s="14">
        <f t="shared" si="127"/>
        <v>2339.8939999999998</v>
      </c>
      <c r="F117" s="14">
        <f t="shared" si="127"/>
        <v>0</v>
      </c>
      <c r="G117" s="14">
        <f t="shared" si="127"/>
        <v>0</v>
      </c>
      <c r="H117" s="14" t="e">
        <f t="shared" si="127"/>
        <v>#REF!</v>
      </c>
      <c r="I117" s="14">
        <f t="shared" si="127"/>
        <v>0</v>
      </c>
      <c r="J117" s="14">
        <f t="shared" si="127"/>
        <v>105073.03</v>
      </c>
      <c r="K117" s="14">
        <f t="shared" si="127"/>
        <v>12</v>
      </c>
      <c r="L117" s="14">
        <f t="shared" si="127"/>
        <v>6651</v>
      </c>
      <c r="M117" s="14">
        <f t="shared" si="127"/>
        <v>0</v>
      </c>
      <c r="N117" s="14">
        <f t="shared" si="127"/>
        <v>0</v>
      </c>
      <c r="O117" s="86"/>
      <c r="T117" s="48" t="s">
        <v>209</v>
      </c>
      <c r="U117" s="48"/>
      <c r="V117" s="126" t="str">
        <f>+INDEX('Energy matrix'!C52:N52,1,$D$2)</f>
        <v>Non-metallic minerals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53875.453000000001</v>
      </c>
      <c r="W118" s="117"/>
    </row>
    <row r="119" spans="3:31" ht="12.75" customHeight="1">
      <c r="C119" s="13" t="str">
        <f>$D$152</f>
        <v>Haullage</v>
      </c>
      <c r="D119" s="19">
        <f t="shared" ref="D119:N119" si="129">+INDEX($E152:$O152,1,D$115) * INDEX($V$118:$V$128,D$115,1)</f>
        <v>0</v>
      </c>
      <c r="E119" s="19">
        <f t="shared" si="129"/>
        <v>0</v>
      </c>
      <c r="F119" s="19">
        <f t="shared" si="129"/>
        <v>3176.598</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2339.8939999999998</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5369.2000000000007</v>
      </c>
      <c r="N120" s="14">
        <f t="shared" si="130"/>
        <v>0</v>
      </c>
      <c r="O120" s="86"/>
      <c r="T120" s="117" t="str">
        <f>'Energy matrix'!B55</f>
        <v>Diesel</v>
      </c>
      <c r="U120" s="117"/>
      <c r="V120" s="118">
        <f>+INDEX('Energy matrix'!C55:N55,1,$D$2)</f>
        <v>3176.598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48322.8</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180.94576273483935</v>
      </c>
      <c r="N122" s="14">
        <f t="shared" si="132"/>
        <v>44971.199999999997</v>
      </c>
      <c r="O122" s="86"/>
      <c r="T122" s="117" t="e">
        <f>'Energy matrix'!#REF!</f>
        <v>#REF!</v>
      </c>
      <c r="U122" s="117"/>
      <c r="V122" s="118" t="e">
        <f>+_xlfn.SINGLE(INDEX('Energy matrix'!#REF!,1,$D$2))</f>
        <v>#REF!</v>
      </c>
      <c r="W122" s="117"/>
    </row>
    <row r="123" spans="3:31" ht="12.75" customHeight="1">
      <c r="C123" s="17" t="s">
        <v>57</v>
      </c>
      <c r="D123" s="18">
        <f t="shared" ref="D123:N123" si="133">SUM(D117:D122)</f>
        <v>53875.453000000001</v>
      </c>
      <c r="E123" s="18">
        <f t="shared" si="133"/>
        <v>2339.8939999999998</v>
      </c>
      <c r="F123" s="18">
        <f t="shared" si="133"/>
        <v>3176.598</v>
      </c>
      <c r="G123" s="18">
        <f t="shared" si="133"/>
        <v>0</v>
      </c>
      <c r="H123" s="18" t="e">
        <f t="shared" si="133"/>
        <v>#REF!</v>
      </c>
      <c r="I123" s="18">
        <f t="shared" si="133"/>
        <v>0</v>
      </c>
      <c r="J123" s="18">
        <f t="shared" si="133"/>
        <v>105073.03</v>
      </c>
      <c r="K123" s="18">
        <f t="shared" si="133"/>
        <v>12</v>
      </c>
      <c r="L123" s="18">
        <f t="shared" si="133"/>
        <v>6651</v>
      </c>
      <c r="M123" s="18">
        <f t="shared" si="133"/>
        <v>53872.945762734838</v>
      </c>
      <c r="N123" s="18">
        <f t="shared" si="133"/>
        <v>44971.199999999997</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105073.03</v>
      </c>
      <c r="W124" s="117"/>
    </row>
    <row r="125" spans="3:31" ht="12.75" customHeight="1">
      <c r="E125" s="25"/>
      <c r="F125" s="25"/>
      <c r="G125" s="25"/>
      <c r="H125" s="25"/>
      <c r="I125" s="25"/>
      <c r="J125" s="25"/>
      <c r="K125" s="25"/>
      <c r="O125" s="86"/>
      <c r="T125" s="117" t="str">
        <f>'Energy matrix'!B60</f>
        <v>Biogas</v>
      </c>
      <c r="U125" s="117"/>
      <c r="V125" s="118">
        <f>+INDEX('Energy matrix'!C60:N60,1,$D$2)</f>
        <v>12</v>
      </c>
      <c r="W125" s="117"/>
    </row>
    <row r="126" spans="3:31" ht="12.75" customHeight="1">
      <c r="O126" s="86"/>
      <c r="T126" s="117" t="str">
        <f>'Energy matrix'!B65</f>
        <v>Biomass</v>
      </c>
      <c r="U126" s="117"/>
      <c r="V126" s="118">
        <f>+INDEX('Energy matrix'!C65:N65,1,$D$2)</f>
        <v>6651</v>
      </c>
      <c r="W126" s="117"/>
    </row>
    <row r="127" spans="3:31" ht="12.75" customHeight="1">
      <c r="O127" s="86"/>
      <c r="T127" s="117" t="str">
        <f>'Energy matrix'!B66</f>
        <v>Waste</v>
      </c>
      <c r="U127" s="117"/>
      <c r="V127" s="118">
        <f>+INDEX('Energy matrix'!C66:N66,1,$D$2)</f>
        <v>53692</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44971.199999999997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04 Non-metallic minerals</v>
      </c>
      <c r="D150" s="13" t="s">
        <v>534</v>
      </c>
      <c r="E150" s="22">
        <v>1</v>
      </c>
      <c r="F150" s="22">
        <v>1</v>
      </c>
      <c r="G150" s="22"/>
      <c r="H150" s="22">
        <v>0</v>
      </c>
      <c r="I150" s="22">
        <v>0.5</v>
      </c>
      <c r="J150" s="22">
        <v>1</v>
      </c>
      <c r="K150" s="22">
        <v>1</v>
      </c>
      <c r="L150" s="22">
        <v>1</v>
      </c>
      <c r="M150" s="22">
        <v>1</v>
      </c>
      <c r="N150" s="22">
        <v>0</v>
      </c>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c r="N151" s="22"/>
      <c r="O151" s="22">
        <v>0</v>
      </c>
      <c r="P151" s="34"/>
      <c r="Q151" s="34"/>
      <c r="R151" s="25"/>
      <c r="S151" s="25"/>
      <c r="X151" s="285"/>
      <c r="Y151" s="285"/>
      <c r="AA151" s="25"/>
      <c r="AB151" s="25"/>
    </row>
    <row r="152" spans="3:28">
      <c r="C152" s="15"/>
      <c r="D152" s="13" t="s">
        <v>536</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X154" s="285"/>
      <c r="Y154" s="285"/>
      <c r="AA154" s="25"/>
      <c r="AB154" s="25"/>
    </row>
    <row r="155" spans="3:28">
      <c r="C155" s="16"/>
      <c r="D155" s="13" t="s">
        <v>539</v>
      </c>
      <c r="E155" s="22"/>
      <c r="F155" s="22"/>
      <c r="G155" s="22"/>
      <c r="H155" s="22"/>
      <c r="I155" s="22"/>
      <c r="J155" s="22"/>
      <c r="K155" s="22"/>
      <c r="L155" s="22"/>
      <c r="M155" s="22"/>
      <c r="N155" s="22">
        <v>3.3700693350003606E-3</v>
      </c>
      <c r="O155" s="22">
        <v>1</v>
      </c>
      <c r="P155" s="34"/>
      <c r="Q155" s="34"/>
      <c r="R155" s="25"/>
      <c r="S155" s="25"/>
      <c r="X155" s="285"/>
      <c r="Y155" s="285"/>
      <c r="AA155" s="25"/>
      <c r="AB155" s="25"/>
    </row>
    <row r="156" spans="3:28">
      <c r="C156" s="17" t="str">
        <f>C150</f>
        <v>04 Non-metallic minerals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56"/>
  <sheetViews>
    <sheetView showGridLines="0" topLeftCell="J1" zoomScale="80" zoomScaleNormal="80" workbookViewId="0">
      <selection activeCell="W24" sqref="W2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8" width="11.664062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7</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Mining</v>
      </c>
      <c r="E5" s="25"/>
      <c r="F5" s="197"/>
      <c r="G5" s="198"/>
    </row>
    <row r="6" spans="3:29" ht="12.75" customHeight="1">
      <c r="C6" s="62"/>
      <c r="D6" s="70" t="str">
        <f>+INDEX(Commodities!$Y$6:$Y$17,D2)</f>
        <v>07 Mining and quarrying</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07 Mining and quarrying</v>
      </c>
      <c r="E9" s="25"/>
    </row>
    <row r="10" spans="3:29" ht="12.75" customHeight="1">
      <c r="C10" s="62" t="s">
        <v>154</v>
      </c>
      <c r="D10" s="70">
        <f>+ROW(Processes!$M$44) - ROW(Processes!$M$7)</f>
        <v>37</v>
      </c>
      <c r="E10" s="25"/>
    </row>
    <row r="11" spans="3:29" ht="12.75" customHeight="1">
      <c r="C11" s="62" t="s">
        <v>194</v>
      </c>
      <c r="D11" s="70">
        <f>+$D$10*$D$2-$D$10</f>
        <v>222</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Mining and quarrying</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Z16" s="25"/>
      <c r="AC16" s="285"/>
    </row>
    <row r="17" spans="3:77" ht="12.75" customHeight="1">
      <c r="C17" s="287"/>
      <c r="D17" s="429"/>
      <c r="E17" s="287"/>
      <c r="L17" s="288"/>
      <c r="M17" s="36"/>
      <c r="N17" s="36"/>
      <c r="O17" s="288"/>
      <c r="R17" s="285"/>
      <c r="S17" s="25"/>
      <c r="U17" s="285"/>
      <c r="X17" s="34"/>
      <c r="Y17" s="287"/>
      <c r="Z17" s="34"/>
      <c r="AA17" s="25"/>
      <c r="AB17" s="25"/>
      <c r="AE17" s="28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INDIDPHBNGAE1</v>
      </c>
      <c r="D26" s="146" t="str">
        <f ca="1">+OFFSET(Processes!E7,$D$11,0)</f>
        <v>Mining Heat Medium Temp. Boiler - Nat. Gas Existing 1</v>
      </c>
      <c r="E26" s="149" t="str">
        <f>+Processes!O7</f>
        <v>INDSNG1,INDSNG2,INDNGA</v>
      </c>
      <c r="F26" s="149" t="str">
        <f ca="1">+OFFSET(Processes!$M$12,$D$11,0) &amp; Processes!P7</f>
        <v>IIDPH</v>
      </c>
      <c r="G26" s="322">
        <f>ROUNDUP(AN26/($Z26*$AA26)*G$21*W26,3)</f>
        <v>342.97799999999995</v>
      </c>
      <c r="H26" s="322">
        <f t="shared" ref="H26:I26" si="0">ROUNDUP(AO26/($Z26*$AA26)*H$21*X26,3)</f>
        <v>19.055</v>
      </c>
      <c r="I26" s="322">
        <f t="shared" si="0"/>
        <v>19.055</v>
      </c>
      <c r="J26" s="322">
        <f>ROUNDUP(BA26/($Z26*$AA26)*J$21*W26,3)</f>
        <v>243.4</v>
      </c>
      <c r="K26" s="322">
        <f>ROUNDUP(BB26/($Z26*$AA26)*K$21*X26,3)</f>
        <v>13.523</v>
      </c>
      <c r="L26" s="322">
        <f>ROUNDUP(BC26/($Z26*$AA26)*L$21*Y26,3)</f>
        <v>13.523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5.8192178678464384</v>
      </c>
      <c r="AH26" s="236">
        <f t="shared" ref="AH26:AH41" si="9">((J26*Z26*AA26/W26)+(K26*Z26*AA26/X26))/$J$21</f>
        <v>4.0929095413214798</v>
      </c>
      <c r="AI26" s="236">
        <f t="shared" ref="AI26:AI41" si="10">((M26*AA26*Z26/W26)+(N26*Z26*AA26/X26))/$M$21</f>
        <v>0</v>
      </c>
      <c r="AJ26" s="285"/>
      <c r="AK26" s="530" t="str">
        <f ca="1">F26</f>
        <v>IIDPH</v>
      </c>
      <c r="AL26" s="350" t="s">
        <v>97</v>
      </c>
      <c r="AM26" s="313">
        <f>I77/1000</f>
        <v>6.1254709999999992</v>
      </c>
      <c r="AN26" s="310">
        <f>AM26*$AN$23</f>
        <v>5.5129238999999997</v>
      </c>
      <c r="AO26" s="311">
        <f>AM26*$AO$23</f>
        <v>0.30627355000000001</v>
      </c>
      <c r="AP26" s="311">
        <f>AM26*$AP$23</f>
        <v>0.30627355000000001</v>
      </c>
      <c r="AQ26" s="312">
        <f>IFERROR(G26*$Z26*$AA26/G$21,0)</f>
        <v>5.4026744295704292</v>
      </c>
      <c r="AR26" s="311">
        <f>IFERROR(H26*$Z26*$AA26/H$21,0)</f>
        <v>0.30015908091908095</v>
      </c>
      <c r="AS26" s="338">
        <f>IFERROR(I26*$Z26*$AA26/I$21,0)</f>
        <v>0.30015908091908095</v>
      </c>
      <c r="AT26" s="313">
        <f t="shared" ref="AT26:AV29" si="11">IFERROR(AQ26/W26,0)</f>
        <v>5.5129330913983976</v>
      </c>
      <c r="AU26" s="310">
        <f t="shared" si="11"/>
        <v>0.30628477644804181</v>
      </c>
      <c r="AV26" s="357">
        <f t="shared" si="11"/>
        <v>0.30628477644804181</v>
      </c>
      <c r="AW26" s="285"/>
      <c r="AX26" s="530" t="str">
        <f t="shared" ref="AX26:AX62" ca="1" si="12">AK26</f>
        <v>IIDPH</v>
      </c>
      <c r="AY26" s="350" t="s">
        <v>97</v>
      </c>
      <c r="AZ26" s="313">
        <f>I97/1000</f>
        <v>4.3083</v>
      </c>
      <c r="BA26" s="310">
        <f>AZ26*$AN$23</f>
        <v>3.8774700000000002</v>
      </c>
      <c r="BB26" s="311">
        <f>AZ26*$BB$23</f>
        <v>0.21541500000000002</v>
      </c>
      <c r="BC26" s="311">
        <f>AZ26*$BC$23</f>
        <v>0.21541500000000002</v>
      </c>
      <c r="BD26" s="313">
        <f t="shared" ref="BD26" si="13">IFERROR(J26*$Z26*AA26/J$21,0)</f>
        <v>3.7999318811881193</v>
      </c>
      <c r="BE26" s="310">
        <f t="shared" ref="BE26" si="14">IFERROR(K26*$Z26*AA26/K$21,0)</f>
        <v>0.21111946930693071</v>
      </c>
      <c r="BF26" s="357">
        <f>IFERROR(L26*$Z26*AA26/L$21,0)</f>
        <v>0.21111946930693071</v>
      </c>
      <c r="BG26" s="313">
        <f t="shared" ref="BG26:BG35" si="15">IFERROR(BD26/W26,0)</f>
        <v>3.8774815114164483</v>
      </c>
      <c r="BH26" s="310">
        <f t="shared" ref="BH26:BH35" si="16">IFERROR(BE26/X26,0)</f>
        <v>0.21542802990503135</v>
      </c>
      <c r="BI26" s="357">
        <f t="shared" ref="BI26:BI35" si="17">IFERROR(BF26/Y26,0)</f>
        <v>0.21542802990503135</v>
      </c>
      <c r="BJ26" s="285"/>
      <c r="BK26" s="530" t="str">
        <f ca="1">AK26</f>
        <v>IIDPH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INDIDPHBCOAE1</v>
      </c>
      <c r="D27" s="146" t="str">
        <f ca="1">+OFFSET(Processes!E8,$D$11,0)</f>
        <v>Mining Heat Medium Temp. Boiler - Coal Existing 1</v>
      </c>
      <c r="E27" s="149" t="str">
        <f>+Processes!O8</f>
        <v>INDCOA</v>
      </c>
      <c r="F27" s="149" t="str">
        <f ca="1">+OFFSET(Processes!$M$12,$D$11,0) &amp; Processes!P8</f>
        <v>IIDPH</v>
      </c>
      <c r="G27" s="322">
        <f t="shared" ref="G27:G62" si="18">ROUNDUP(AN27/($Z27*$AA27)*G$21*W27,3)</f>
        <v>119.84100000000001</v>
      </c>
      <c r="H27" s="322">
        <f t="shared" ref="H27:H62" si="19">ROUNDUP(AO27/($Z27*$AA27)*H$21*X27,3)</f>
        <v>6.6580000000000004</v>
      </c>
      <c r="I27" s="322">
        <f t="shared" ref="I27:I61" si="20">ROUNDUP(AP27/($Z27*$AA27)*I$21*Y27,3)</f>
        <v>6.6580000000000004</v>
      </c>
      <c r="J27" s="322">
        <f t="shared" ref="J27:J62" si="21">ROUNDUP(BA27/($Z27*$AA27)*J$21*W27,3)</f>
        <v>137.262</v>
      </c>
      <c r="K27" s="322">
        <f t="shared" ref="K27:K62" si="22">ROUNDUP(BB27/($Z27*$AA27)*K$21*X27,3)</f>
        <v>7.6260000000000003</v>
      </c>
      <c r="L27" s="322">
        <f t="shared" ref="L27:L62" si="23">ROUNDUP(BC27/($Z27*$AA27)*L$21*Y27,3)</f>
        <v>7.6260000000000003</v>
      </c>
      <c r="M27" s="322">
        <f t="shared" ref="M27:M62" si="24">ROUNDUP(BN27/($Z27*$AA27)*M$21*W27,3)</f>
        <v>140.83700000000002</v>
      </c>
      <c r="N27" s="322">
        <f t="shared" ref="N27:N62" si="25">ROUNDUP(BO27/($Z27*$AA27)*N$21*X27,3)</f>
        <v>7.8250000000000002</v>
      </c>
      <c r="O27" s="322">
        <f t="shared" ref="O27:O62" si="26">ROUNDUP(BP27/($Z27*$AA27)*O$21*Y27,3)</f>
        <v>7.8250000000000002</v>
      </c>
      <c r="P27" s="322">
        <f t="shared" si="1"/>
        <v>140.83700000000002</v>
      </c>
      <c r="Q27" s="322">
        <f t="shared" si="2"/>
        <v>7.8250000000000002</v>
      </c>
      <c r="R27" s="322">
        <f t="shared" si="3"/>
        <v>7.8250000000000002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2.1403260885194295</v>
      </c>
      <c r="AH27" s="236">
        <f t="shared" si="9"/>
        <v>2.4296178749561315</v>
      </c>
      <c r="AI27" s="236">
        <f t="shared" si="10"/>
        <v>2.4929038466037805</v>
      </c>
      <c r="AJ27" s="285"/>
      <c r="AK27" s="290"/>
      <c r="AL27" s="291" t="s">
        <v>98</v>
      </c>
      <c r="AM27" s="307">
        <f>D77/1000</f>
        <v>2.2529599999999999</v>
      </c>
      <c r="AN27" s="308">
        <f>AM27*$AN$23</f>
        <v>2.0276640000000001</v>
      </c>
      <c r="AO27" s="309">
        <f t="shared" ref="AO27:AO29" si="27">AM27*$AO$23</f>
        <v>0.112648</v>
      </c>
      <c r="AP27" s="309">
        <f>AM27*$AP$23</f>
        <v>0.112648</v>
      </c>
      <c r="AQ27" s="306">
        <f t="shared" ref="AQ27:AQ62" si="28">IFERROR(G27*$Z27*$AA27/G$21,0)</f>
        <v>1.8877651228771235</v>
      </c>
      <c r="AR27" s="309">
        <f t="shared" ref="AR27:AR62" si="29">IFERROR(H27*$Z27*$AA27/H$21,0)</f>
        <v>0.10487846553446555</v>
      </c>
      <c r="AS27" s="540">
        <f t="shared" ref="AS27:AS62" si="30">IFERROR(I27*$Z27*$AA27/I$21,0)</f>
        <v>0.10487846553446555</v>
      </c>
      <c r="AT27" s="307">
        <f t="shared" si="11"/>
        <v>2.0276746754856321</v>
      </c>
      <c r="AU27" s="308">
        <f t="shared" si="11"/>
        <v>0.11265141303379758</v>
      </c>
      <c r="AV27" s="353">
        <f t="shared" si="11"/>
        <v>0.11265141303379758</v>
      </c>
      <c r="AW27" s="285"/>
      <c r="AX27" s="290"/>
      <c r="AY27" s="291" t="s">
        <v>98</v>
      </c>
      <c r="AZ27" s="307">
        <f>D97/1000</f>
        <v>2.5574859999999999</v>
      </c>
      <c r="BA27" s="308">
        <f>AZ27*$AN$23</f>
        <v>2.3017373999999999</v>
      </c>
      <c r="BB27" s="309">
        <f t="shared" ref="BB27:BB29" si="31">AZ27*$BB$23</f>
        <v>0.1278743</v>
      </c>
      <c r="BC27" s="309">
        <f t="shared" ref="BC27:BC29" si="32">AZ27*$BC$23</f>
        <v>0.1278743</v>
      </c>
      <c r="BD27" s="307">
        <f t="shared" ref="BD27:BD62" si="33">IFERROR(J27*$Z27*AA27/J$21,0)</f>
        <v>2.1429180356435644</v>
      </c>
      <c r="BE27" s="308">
        <f t="shared" ref="BE27:BE62" si="34">IFERROR(K27*$Z27*AA27/K$21,0)</f>
        <v>0.11905620594059407</v>
      </c>
      <c r="BF27" s="353">
        <f t="shared" ref="BF27:BF62" si="35">IFERROR(L27*$Z27*AA27/L$21,0)</f>
        <v>0.11905620594059407</v>
      </c>
      <c r="BG27" s="307">
        <f t="shared" si="15"/>
        <v>2.3017379545043659</v>
      </c>
      <c r="BH27" s="308">
        <f t="shared" si="16"/>
        <v>0.12787992045176594</v>
      </c>
      <c r="BI27" s="353">
        <f t="shared" si="17"/>
        <v>0.12787992045176594</v>
      </c>
      <c r="BJ27" s="285"/>
      <c r="BK27" s="290"/>
      <c r="BL27" s="291" t="s">
        <v>98</v>
      </c>
      <c r="BM27" s="307">
        <f>D117/1000</f>
        <v>2.6240799999999997</v>
      </c>
      <c r="BN27" s="308">
        <f>BM27*$AN$23</f>
        <v>2.361672</v>
      </c>
      <c r="BO27" s="309">
        <f t="shared" ref="BO27:BO29" si="36">BM27*$BB$23</f>
        <v>0.13120399999999999</v>
      </c>
      <c r="BP27" s="309">
        <f t="shared" ref="BP27:BP29" si="37">BM27*$BC$23</f>
        <v>0.13120399999999999</v>
      </c>
      <c r="BQ27" s="307">
        <f t="shared" ref="BQ27:BQ62" si="38">IFERROR(M27*$Z27*$AA27/M$21,0)</f>
        <v>2.1987305108910897</v>
      </c>
      <c r="BR27" s="308">
        <f t="shared" ref="BR27:BR62" si="39">IFERROR(N27*$Z27*$AA27/N$21,0)</f>
        <v>0.12216297029702972</v>
      </c>
      <c r="BS27" s="353">
        <f t="shared" ref="BS27:BS62" si="40">IFERROR(O27*$Z27*$AA27/O$21,0)</f>
        <v>0.12216297029702972</v>
      </c>
      <c r="BT27" s="307">
        <f t="shared" ref="BT27:BT35" si="41">IFERROR(BQ27/W27,0)</f>
        <v>2.3616869075092266</v>
      </c>
      <c r="BU27" s="308">
        <f t="shared" ref="BU27:BU35" si="42">IFERROR(BR27/X27,0)</f>
        <v>0.13121693909455395</v>
      </c>
      <c r="BV27" s="353">
        <f t="shared" ref="BV27:BV35" si="43">IFERROR(BS27/Y27,0)</f>
        <v>0.13121693909455395</v>
      </c>
      <c r="BW27" s="285"/>
      <c r="BX27" s="285"/>
      <c r="BY27" s="285"/>
    </row>
    <row r="28" spans="3:77" ht="12.75" customHeight="1">
      <c r="C28" s="146" t="str">
        <f ca="1">+IF(OFFSET(Processes!B9,$D$11,0)="*","*",OFFSET(Processes!D9,$D$11,0))</f>
        <v>INDIDPHBDSLE1</v>
      </c>
      <c r="D28" s="146" t="str">
        <f ca="1">+OFFSET(Processes!E9,$D$11,0)</f>
        <v>Mining Heat Medium Temp. Boiler - Diesel Existing 1</v>
      </c>
      <c r="E28" s="149" t="str">
        <f>+Processes!O9</f>
        <v>INDDSB1,INDDSB2,INDDSL</v>
      </c>
      <c r="F28" s="149" t="str">
        <f ca="1">+OFFSET(Processes!$M$12,$D$11,0) &amp; Processes!P9</f>
        <v>IIDPH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INDIDPHBWPEE1</v>
      </c>
      <c r="D29" s="146" t="str">
        <f ca="1">+OFFSET(Processes!E10,$D$11,0)</f>
        <v>Mining Heat Medium Temp. Boiler - Wood Pellets Existing 1</v>
      </c>
      <c r="E29" s="149" t="str">
        <f>+Processes!O10</f>
        <v>INDWPE</v>
      </c>
      <c r="F29" s="149" t="str">
        <f ca="1">+OFFSET(Processes!$M$12,$D$11,0) &amp; Processes!P10</f>
        <v>IIDPH</v>
      </c>
      <c r="G29" s="321">
        <f t="shared" si="18"/>
        <v>27.176000000000002</v>
      </c>
      <c r="H29" s="321">
        <f t="shared" si="19"/>
        <v>1.5099999999999998</v>
      </c>
      <c r="I29" s="321">
        <f t="shared" si="20"/>
        <v>1.5099999999999998</v>
      </c>
      <c r="J29" s="321">
        <f t="shared" si="21"/>
        <v>38.849999999999994</v>
      </c>
      <c r="K29" s="321">
        <f t="shared" si="22"/>
        <v>2.1589999999999998</v>
      </c>
      <c r="L29" s="321">
        <f t="shared" si="23"/>
        <v>2.1589999999999998</v>
      </c>
      <c r="M29" s="321">
        <f t="shared" si="24"/>
        <v>3.5059999999999998</v>
      </c>
      <c r="N29" s="321">
        <f t="shared" si="25"/>
        <v>0.19500000000000001</v>
      </c>
      <c r="O29" s="321">
        <f t="shared" si="26"/>
        <v>0.19500000000000001</v>
      </c>
      <c r="P29" s="321">
        <f t="shared" si="1"/>
        <v>3.5059999999999998</v>
      </c>
      <c r="Q29" s="321">
        <f t="shared" si="2"/>
        <v>0.19500000000000001</v>
      </c>
      <c r="R29" s="321">
        <f t="shared" si="3"/>
        <v>0.19500000000000001</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0.54245975872866647</v>
      </c>
      <c r="AH29" s="236">
        <f t="shared" si="9"/>
        <v>0.76858059501028142</v>
      </c>
      <c r="AI29" s="236">
        <f t="shared" si="10"/>
        <v>6.9363232025483459E-2</v>
      </c>
      <c r="AJ29" s="285"/>
      <c r="AK29" s="290"/>
      <c r="AL29" s="559" t="s">
        <v>99</v>
      </c>
      <c r="AM29" s="560">
        <f>K77/1000</f>
        <v>0.57099999999999995</v>
      </c>
      <c r="AN29" s="561">
        <f>AM29*$AN$23</f>
        <v>0.51390000000000002</v>
      </c>
      <c r="AO29" s="562">
        <f t="shared" si="27"/>
        <v>2.8549999999999999E-2</v>
      </c>
      <c r="AP29" s="562">
        <f>AM29*$AP$23</f>
        <v>2.8549999999999999E-2</v>
      </c>
      <c r="AQ29" s="582">
        <f t="shared" si="28"/>
        <v>0.42808308491508501</v>
      </c>
      <c r="AR29" s="562">
        <f t="shared" si="29"/>
        <v>2.3785894105894104E-2</v>
      </c>
      <c r="AS29" s="563">
        <f t="shared" si="30"/>
        <v>2.3785894105894104E-2</v>
      </c>
      <c r="AT29" s="560">
        <f t="shared" si="11"/>
        <v>0.51390526400370351</v>
      </c>
      <c r="AU29" s="561">
        <f t="shared" si="11"/>
        <v>2.8554494724962912E-2</v>
      </c>
      <c r="AV29" s="566">
        <f t="shared" si="11"/>
        <v>2.8554494724962912E-2</v>
      </c>
      <c r="AW29" s="285"/>
      <c r="AX29" s="290"/>
      <c r="AY29" s="559" t="s">
        <v>99</v>
      </c>
      <c r="AZ29" s="560">
        <f>K97/1000</f>
        <v>0.80900000000000005</v>
      </c>
      <c r="BA29" s="561">
        <f>AZ29*$AN$23</f>
        <v>0.72810000000000008</v>
      </c>
      <c r="BB29" s="562">
        <f t="shared" si="31"/>
        <v>4.0450000000000007E-2</v>
      </c>
      <c r="BC29" s="562">
        <f t="shared" si="32"/>
        <v>4.0450000000000007E-2</v>
      </c>
      <c r="BD29" s="560">
        <f t="shared" si="33"/>
        <v>0.60652158415841584</v>
      </c>
      <c r="BE29" s="561">
        <f t="shared" si="34"/>
        <v>3.3706051485148512E-2</v>
      </c>
      <c r="BF29" s="566">
        <f t="shared" si="35"/>
        <v>3.3706051485148512E-2</v>
      </c>
      <c r="BG29" s="560">
        <f t="shared" si="15"/>
        <v>0.72811714784923875</v>
      </c>
      <c r="BH29" s="561">
        <f t="shared" si="16"/>
        <v>4.0463447161042637E-2</v>
      </c>
      <c r="BI29" s="566">
        <f t="shared" si="17"/>
        <v>4.0463447161042637E-2</v>
      </c>
      <c r="BJ29" s="285"/>
      <c r="BK29" s="290"/>
      <c r="BL29" s="559" t="s">
        <v>99</v>
      </c>
      <c r="BM29" s="560">
        <f>K117/1000</f>
        <v>7.2999999999999995E-2</v>
      </c>
      <c r="BN29" s="561">
        <f>BM29*$AN$23</f>
        <v>6.5699999999999995E-2</v>
      </c>
      <c r="BO29" s="562">
        <f t="shared" si="36"/>
        <v>3.65E-3</v>
      </c>
      <c r="BP29" s="562">
        <f t="shared" si="37"/>
        <v>3.65E-3</v>
      </c>
      <c r="BQ29" s="560">
        <f t="shared" si="38"/>
        <v>5.4735255445544549E-2</v>
      </c>
      <c r="BR29" s="561">
        <f t="shared" si="39"/>
        <v>3.0443168316831686E-3</v>
      </c>
      <c r="BS29" s="566">
        <f t="shared" si="40"/>
        <v>3.0443168316831686E-3</v>
      </c>
      <c r="BT29" s="560">
        <f t="shared" si="41"/>
        <v>6.5708589970641718E-2</v>
      </c>
      <c r="BU29" s="561">
        <f t="shared" si="42"/>
        <v>3.6546420548417393E-3</v>
      </c>
      <c r="BV29" s="566">
        <f t="shared" si="43"/>
        <v>3.6546420548417393E-3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INDIDPHBBGAE1</v>
      </c>
      <c r="D31" s="146" t="str">
        <f ca="1">+OFFSET(Processes!E12,$D$11,0)</f>
        <v>Mining Heat Medium Temp. Boiler - Biogas Existing 1</v>
      </c>
      <c r="E31" s="149" t="str">
        <f>+Processes!O12</f>
        <v>INDBGA</v>
      </c>
      <c r="F31" s="172" t="str">
        <f ca="1">+OFFSET(Processes!$M$12,$D$11,0) &amp; Processes!P12</f>
        <v>IIDPH</v>
      </c>
      <c r="G31" s="322">
        <f t="shared" si="18"/>
        <v>0</v>
      </c>
      <c r="H31" s="322">
        <f t="shared" si="19"/>
        <v>0</v>
      </c>
      <c r="I31" s="322">
        <f t="shared" si="20"/>
        <v>0</v>
      </c>
      <c r="J31" s="322" t="e">
        <f t="shared" si="21"/>
        <v>#REF!</v>
      </c>
      <c r="K31" s="322" t="e">
        <f t="shared" si="22"/>
        <v>#REF!</v>
      </c>
      <c r="L31" s="322" t="e">
        <f t="shared" si="23"/>
        <v>#REF!</v>
      </c>
      <c r="M31" s="322">
        <f t="shared" si="24"/>
        <v>221.32900000000001</v>
      </c>
      <c r="N31" s="322">
        <f t="shared" si="25"/>
        <v>12.296999999999999</v>
      </c>
      <c r="O31" s="322">
        <f t="shared" si="26"/>
        <v>12.296999999999999</v>
      </c>
      <c r="P31" s="322">
        <f t="shared" si="1"/>
        <v>221.32900000000001</v>
      </c>
      <c r="Q31" s="322">
        <f t="shared" si="2"/>
        <v>12.296999999999999</v>
      </c>
      <c r="R31" s="322">
        <f t="shared" si="3"/>
        <v>12.296999999999999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3.7217768923014756</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3.9176359999999999</v>
      </c>
      <c r="BN31" s="561">
        <f>BM31*$AN$23</f>
        <v>3.5258723999999999</v>
      </c>
      <c r="BO31" s="562">
        <f>BM31*$BB$23</f>
        <v>0.19588179999999999</v>
      </c>
      <c r="BP31" s="562">
        <f>BM31*$BC$23</f>
        <v>0.19588179999999999</v>
      </c>
      <c r="BQ31" s="560">
        <f t="shared" si="38"/>
        <v>3.4553620514851491</v>
      </c>
      <c r="BR31" s="561">
        <f t="shared" si="39"/>
        <v>0.19197930297029703</v>
      </c>
      <c r="BS31" s="566">
        <f t="shared" si="40"/>
        <v>0.19197930297029703</v>
      </c>
      <c r="BT31" s="560">
        <f t="shared" si="41"/>
        <v>3.5258796443726013</v>
      </c>
      <c r="BU31" s="561">
        <f t="shared" si="42"/>
        <v>0.19589724792887453</v>
      </c>
      <c r="BV31" s="566">
        <f t="shared" si="43"/>
        <v>0.19589724792887453</v>
      </c>
      <c r="BW31" s="285"/>
      <c r="BX31" s="285"/>
      <c r="BY31" s="285"/>
    </row>
    <row r="32" spans="3:77" ht="12.75" customHeight="1">
      <c r="C32" s="146" t="str">
        <f ca="1">+IF(OFFSET(Processes!B13,$D$11,0)="*","*",OFFSET(Processes!D13,$D$11,0))</f>
        <v>INDIDPHBHFOE1</v>
      </c>
      <c r="D32" s="146" t="str">
        <f ca="1">+OFFSET(Processes!E13,$D$11,0)</f>
        <v>Mining Heat Medium Temp. Boiler - Heavy Fuel Oil Existing 1</v>
      </c>
      <c r="E32" s="149" t="str">
        <f>+Processes!O13</f>
        <v>INDHFO</v>
      </c>
      <c r="F32" s="172" t="str">
        <f ca="1">+OFFSET(Processes!$M$12,$D$11,0) &amp; Processes!P13</f>
        <v>IIDPH</v>
      </c>
      <c r="G32" s="322">
        <f t="shared" si="18"/>
        <v>4.2930000000000001</v>
      </c>
      <c r="H32" s="322">
        <f t="shared" si="19"/>
        <v>0.23899999999999999</v>
      </c>
      <c r="I32" s="322">
        <f t="shared" si="20"/>
        <v>0.23899999999999999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7.6680114729523977E-2</v>
      </c>
      <c r="AH32" s="236">
        <f t="shared" si="9"/>
        <v>3.8719477619083065E-2</v>
      </c>
      <c r="AI32" s="236">
        <f t="shared" si="10"/>
        <v>3.8350560985207012E-2</v>
      </c>
      <c r="AJ32" s="285"/>
      <c r="AK32" s="290"/>
      <c r="AL32" s="559" t="s">
        <v>101</v>
      </c>
      <c r="AM32" s="560">
        <f>E77/1000</f>
        <v>8.0696000000000004E-2</v>
      </c>
      <c r="AN32" s="561">
        <f t="shared" si="47"/>
        <v>7.2626400000000008E-2</v>
      </c>
      <c r="AO32" s="562">
        <f>AM32*$AO$23</f>
        <v>4.0348000000000007E-3</v>
      </c>
      <c r="AP32" s="562">
        <f t="shared" si="49"/>
        <v>4.0348000000000007E-3</v>
      </c>
      <c r="AQ32" s="582">
        <f t="shared" si="28"/>
        <v>6.7624399600399607E-2</v>
      </c>
      <c r="AR32" s="562">
        <f t="shared" si="29"/>
        <v>3.7647872127872131E-3</v>
      </c>
      <c r="AS32" s="563">
        <f t="shared" si="30"/>
        <v>3.7647872127872131E-3</v>
      </c>
      <c r="AT32" s="560">
        <f t="shared" si="50"/>
        <v>7.2636304619118811E-2</v>
      </c>
      <c r="AU32" s="561">
        <f t="shared" si="50"/>
        <v>4.0438101104051704E-3</v>
      </c>
      <c r="AV32" s="566">
        <f t="shared" si="50"/>
        <v>4.0438101104051704E-3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INDIDPHBLPGE1</v>
      </c>
      <c r="D33" s="146" t="str">
        <f ca="1">+OFFSET(Processes!E14,$D$11,0)</f>
        <v>Mining Heat Medium Temp. Boiler - Liquified Petroleum Gas Existing 1</v>
      </c>
      <c r="E33" s="149" t="str">
        <f>+Processes!O14</f>
        <v>INDLPG</v>
      </c>
      <c r="F33" s="172" t="str">
        <f ca="1">+OFFSET(Processes!$M$12,$D$11,0) &amp; Processes!P14</f>
        <v>IIDPH</v>
      </c>
      <c r="G33" s="322">
        <f t="shared" si="18"/>
        <v>5.8000000000000007</v>
      </c>
      <c r="H33" s="322">
        <f t="shared" si="19"/>
        <v>0.32300000000000001</v>
      </c>
      <c r="I33" s="322">
        <f t="shared" si="20"/>
        <v>0.32300000000000001</v>
      </c>
      <c r="J33" s="322">
        <f t="shared" si="21"/>
        <v>4.4860000000000007</v>
      </c>
      <c r="K33" s="322">
        <f t="shared" si="22"/>
        <v>0.25</v>
      </c>
      <c r="L33" s="322">
        <f t="shared" si="23"/>
        <v>0.25</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9.841940100715614E-2</v>
      </c>
      <c r="AH33" s="236">
        <f t="shared" si="9"/>
        <v>7.5446805415235407E-2</v>
      </c>
      <c r="AI33" s="236" t="e">
        <f t="shared" si="10"/>
        <v>#REF!</v>
      </c>
      <c r="AJ33" s="285"/>
      <c r="AK33" s="290"/>
      <c r="AL33" s="559" t="s">
        <v>53</v>
      </c>
      <c r="AM33" s="560">
        <f>H77/1000</f>
        <v>0.10356975</v>
      </c>
      <c r="AN33" s="561">
        <f t="shared" si="47"/>
        <v>9.3212774999999998E-2</v>
      </c>
      <c r="AO33" s="562">
        <f t="shared" si="48"/>
        <v>5.1784875000000005E-3</v>
      </c>
      <c r="AP33" s="562">
        <f t="shared" si="49"/>
        <v>5.1784875000000005E-3</v>
      </c>
      <c r="AQ33" s="582">
        <f t="shared" si="28"/>
        <v>9.1363036963036992E-2</v>
      </c>
      <c r="AR33" s="562">
        <f t="shared" si="29"/>
        <v>5.0879760239760253E-3</v>
      </c>
      <c r="AS33" s="563">
        <f t="shared" si="30"/>
        <v>5.0879760239760253E-3</v>
      </c>
      <c r="AT33" s="560">
        <f t="shared" si="50"/>
        <v>9.3227588737792855E-2</v>
      </c>
      <c r="AU33" s="561">
        <f t="shared" si="50"/>
        <v>5.1918122693632909E-3</v>
      </c>
      <c r="AV33" s="566">
        <f t="shared" si="50"/>
        <v>5.1918122693632909E-3</v>
      </c>
      <c r="AW33" s="285"/>
      <c r="AX33" s="290"/>
      <c r="AY33" s="559" t="s">
        <v>53</v>
      </c>
      <c r="AZ33" s="560">
        <f>H97/1000</f>
        <v>7.9390500000000003E-2</v>
      </c>
      <c r="BA33" s="561">
        <f>AZ33*$AN$23</f>
        <v>7.145145E-2</v>
      </c>
      <c r="BB33" s="562">
        <f t="shared" si="51"/>
        <v>3.9695250000000007E-3</v>
      </c>
      <c r="BC33" s="562">
        <f t="shared" si="52"/>
        <v>3.9695250000000007E-3</v>
      </c>
      <c r="BD33" s="560">
        <f t="shared" si="33"/>
        <v>7.0034899009901008E-2</v>
      </c>
      <c r="BE33" s="561">
        <f t="shared" si="34"/>
        <v>3.9029702970297033E-3</v>
      </c>
      <c r="BF33" s="566">
        <f t="shared" si="35"/>
        <v>3.9029702970297033E-3</v>
      </c>
      <c r="BG33" s="560">
        <f t="shared" si="15"/>
        <v>7.1464182663164302E-2</v>
      </c>
      <c r="BH33" s="561">
        <f t="shared" si="16"/>
        <v>3.9826227520711258E-3</v>
      </c>
      <c r="BI33" s="566">
        <f t="shared" si="17"/>
        <v>3.9826227520711258E-3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INDIDPHBWSTE1</v>
      </c>
      <c r="D34" s="146" t="str">
        <f ca="1">+OFFSET(Processes!E15,$D$11,0)</f>
        <v>Mining Heat Medium Temp. Boiler - Waste Existing 1</v>
      </c>
      <c r="E34" s="149" t="str">
        <f>+Processes!O15</f>
        <v>INDWST</v>
      </c>
      <c r="F34" s="172" t="str">
        <f ca="1">+OFFSET(Processes!$M$12,$D$11,0) &amp; Processes!P15</f>
        <v>IIDPH</v>
      </c>
      <c r="G34" s="322">
        <f t="shared" si="18"/>
        <v>0</v>
      </c>
      <c r="H34" s="322">
        <f t="shared" si="19"/>
        <v>0</v>
      </c>
      <c r="I34" s="322">
        <f t="shared" si="20"/>
        <v>0</v>
      </c>
      <c r="J34" s="322">
        <f t="shared" si="21"/>
        <v>0</v>
      </c>
      <c r="K34" s="322">
        <f t="shared" si="22"/>
        <v>0</v>
      </c>
      <c r="L34" s="322">
        <f t="shared" si="23"/>
        <v>0</v>
      </c>
      <c r="M34" s="322">
        <f t="shared" si="24"/>
        <v>6.9780000000000006</v>
      </c>
      <c r="N34" s="322">
        <f t="shared" si="25"/>
        <v>0.38800000000000001</v>
      </c>
      <c r="O34" s="322">
        <f t="shared" si="26"/>
        <v>0.38800000000000001</v>
      </c>
      <c r="P34" s="322">
        <f t="shared" si="1"/>
        <v>6.9780000000000006</v>
      </c>
      <c r="Q34" s="322">
        <f t="shared" si="2"/>
        <v>0.38800000000000001</v>
      </c>
      <c r="R34" s="322">
        <f t="shared" si="3"/>
        <v>0.38800000000000001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0.12351999659686702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0.13</v>
      </c>
      <c r="BN34" s="561">
        <f>BM34*$AN$23</f>
        <v>0.11700000000000001</v>
      </c>
      <c r="BO34" s="562">
        <f t="shared" si="53"/>
        <v>6.5000000000000006E-3</v>
      </c>
      <c r="BP34" s="562">
        <f t="shared" si="54"/>
        <v>6.5000000000000006E-3</v>
      </c>
      <c r="BQ34" s="560">
        <f t="shared" si="38"/>
        <v>0.10893970693069309</v>
      </c>
      <c r="BR34" s="561">
        <f t="shared" si="39"/>
        <v>6.0574099009900999E-3</v>
      </c>
      <c r="BS34" s="566">
        <f t="shared" si="40"/>
        <v>6.0574099009900999E-3</v>
      </c>
      <c r="BT34" s="560">
        <f t="shared" si="41"/>
        <v>0.11701364869032556</v>
      </c>
      <c r="BU34" s="561">
        <f t="shared" si="42"/>
        <v>6.5063479065414608E-3</v>
      </c>
      <c r="BV34" s="566">
        <f t="shared" si="43"/>
        <v>6.5063479065414608E-3</v>
      </c>
      <c r="BW34" s="285"/>
      <c r="BX34" s="285"/>
      <c r="BY34" s="285"/>
    </row>
    <row r="35" spans="3:77" ht="12.75" customHeight="1">
      <c r="C35" s="173" t="str">
        <f ca="1">+IF(OFFSET(Processes!B16,$D$11,0)="*","*",OFFSET(Processes!D16,$D$11,0))</f>
        <v>INDIDPHBHETE1</v>
      </c>
      <c r="D35" s="146" t="str">
        <f ca="1">+OFFSET(Processes!E16,$D$11,0)</f>
        <v>Mining Heat Medium Temp. Boiler - Dist. Heat Existing 1</v>
      </c>
      <c r="E35" s="149" t="str">
        <f>+Processes!O16</f>
        <v>INDHCE</v>
      </c>
      <c r="F35" s="172" t="str">
        <f ca="1">+OFFSET(Processes!$M$12,$D$11,0) &amp; Processes!P16</f>
        <v>IIDPH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INDIDPHBHETE2</v>
      </c>
      <c r="D36" s="146" t="str">
        <f ca="1">+OFFSET(Processes!E17,$D$11,0)</f>
        <v>Mining Heat Medium Temp. Boiler - Dist. Heat Existing 2</v>
      </c>
      <c r="E36" s="149" t="str">
        <f>+Processes!O17</f>
        <v>INDHDE</v>
      </c>
      <c r="F36" s="172" t="str">
        <f ca="1">+OFFSET(Processes!$M$12,$D$11,0) &amp; Processes!P17</f>
        <v>IIDPH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INDIDPHBELCE1</v>
      </c>
      <c r="D37" s="148" t="str">
        <f ca="1">+OFFSET(Processes!E18,$D$11,0)</f>
        <v>Mining Heat Medium Temp. Boiler - Electricity Existing 1</v>
      </c>
      <c r="E37" s="174" t="str">
        <f>+Processes!O18</f>
        <v>INDELC</v>
      </c>
      <c r="F37" s="174" t="str">
        <f ca="1">+OFFSET(Processes!$M$12,$D$11,0) &amp; Processes!P18</f>
        <v>IIDPH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INDIDCOBNGAE1</v>
      </c>
      <c r="D38" s="173" t="str">
        <f ca="1">+OFFSET(Processes!E19,$D$11,0)</f>
        <v>Mining Heat High Temp. Boiler - Nat. Gas Existing 1</v>
      </c>
      <c r="E38" s="172" t="str">
        <f>+Processes!O19</f>
        <v>INDSNG1,INDSNG2,INDNGA</v>
      </c>
      <c r="F38" s="172" t="str">
        <f ca="1">+OFFSET(Processes!$M$12,$D$11,0) &amp; Processes!P19</f>
        <v>IIDCO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IIDCO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IIDCO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IIDCO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INDIDCOBCOAE1</v>
      </c>
      <c r="D39" s="173" t="str">
        <f ca="1">+OFFSET(Processes!E20,$D$11,0)</f>
        <v>Mining Heat High Temp. Boiler - Coal Existing 1</v>
      </c>
      <c r="E39" s="172" t="str">
        <f>+Processes!O20</f>
        <v>INDCOA</v>
      </c>
      <c r="F39" s="172" t="str">
        <f ca="1">+OFFSET(Processes!$M$12,$D$11,0) &amp; Processes!P20</f>
        <v>IIDCO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INDIDCOBDSLE1</v>
      </c>
      <c r="D40" s="173" t="str">
        <f ca="1">+OFFSET(Processes!E21,$D$11,0)</f>
        <v>Mining Heat High Temp. Boiler - Diesel Existing 1</v>
      </c>
      <c r="E40" s="172" t="str">
        <f>+Processes!O21</f>
        <v>INDDSB1,INDDSB2,INDDSL</v>
      </c>
      <c r="F40" s="172" t="str">
        <f ca="1">+OFFSET(Processes!$M$12,$D$11,0) &amp; Processes!P21</f>
        <v>IIDCO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INDIDCOBWPEE1</v>
      </c>
      <c r="D41" s="173" t="str">
        <f ca="1">+OFFSET(Processes!E22,$D$11,0)</f>
        <v>Mining Heat High Temp. Boiler - Wood Pellets Existing 1</v>
      </c>
      <c r="E41" s="172" t="str">
        <f>+Processes!O22</f>
        <v>INDWPE</v>
      </c>
      <c r="F41" s="172" t="str">
        <f ca="1">+OFFSET(Processes!$M$12,$D$11,0) &amp; Processes!P22</f>
        <v>IIDCO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INDIDCOBHFOE1</v>
      </c>
      <c r="D43" s="173" t="str">
        <f ca="1">+OFFSET(Processes!E24,$D$11,0)</f>
        <v>Mining Heat High Temp. Boiler - Heavy Fuel Oil Existing 1</v>
      </c>
      <c r="E43" s="172" t="str">
        <f>+Processes!O24</f>
        <v>INDHFO</v>
      </c>
      <c r="F43" s="172" t="str">
        <f ca="1">+OFFSET(Processes!$M$12,$D$11,0) &amp; Processes!P24</f>
        <v>IIDCO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INDIDCOBLPGE1</v>
      </c>
      <c r="D44" s="173" t="str">
        <f ca="1">+OFFSET(Processes!E25,$D$11,0)</f>
        <v>Mining Heat High Temp. Boiler - Liquified Petroleum Gas Existing 1</v>
      </c>
      <c r="E44" s="172" t="str">
        <f>+Processes!O25</f>
        <v>INDLPG</v>
      </c>
      <c r="F44" s="172" t="str">
        <f ca="1">+OFFSET(Processes!$M$12,$D$11,0) &amp; Processes!P25</f>
        <v>IIDCO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INDIDCOBWSTE1</v>
      </c>
      <c r="D45" s="173" t="str">
        <f ca="1">+OFFSET(Processes!E26,$D$11,0)</f>
        <v>Mining Heat High Temp. Boiler - Waste Existing 1</v>
      </c>
      <c r="E45" s="172" t="str">
        <f>+Processes!O26</f>
        <v>INDWST</v>
      </c>
      <c r="F45" s="172" t="str">
        <f ca="1">+OFFSET(Processes!$M$12,$D$11,0) &amp; Processes!P26</f>
        <v>IIDCO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INDIDCOBELCE1</v>
      </c>
      <c r="D46" s="148" t="str">
        <f ca="1">+OFFSET(Processes!E27,$D$11,0)</f>
        <v>Mining Heat High Temp. Boiler - Electricity Existing 1</v>
      </c>
      <c r="E46" s="174" t="str">
        <f>+Processes!O27</f>
        <v>INDELC</v>
      </c>
      <c r="F46" s="174" t="str">
        <f ca="1">+OFFSET(Processes!$M$12,$D$11,0) &amp; Processes!P27</f>
        <v>IIDCO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INDIDSHBNGAE1</v>
      </c>
      <c r="D47" s="146" t="str">
        <f ca="1">+OFFSET(Processes!E28,$D$11,0)</f>
        <v>Mining Heat Room Boiler - Nat. Gas Existing 1</v>
      </c>
      <c r="E47" s="149" t="str">
        <f>+Processes!O28</f>
        <v>INDSNG1,INDSNG2,INDNGA</v>
      </c>
      <c r="F47" s="149" t="str">
        <f ca="1">+OFFSET(Processes!$M$12,$D$11,0) &amp; Processes!P28</f>
        <v>IIDSH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IIDSH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IIDSH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IIDSH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INDIDSHBCOAE1</v>
      </c>
      <c r="D48" s="146" t="str">
        <f ca="1">+OFFSET(Processes!E29,$D$11,0)</f>
        <v>Mining Heat Room Boiler - Coal Existing 1</v>
      </c>
      <c r="E48" s="149" t="str">
        <f>+Processes!O29</f>
        <v>INDCOA</v>
      </c>
      <c r="F48" s="149" t="str">
        <f ca="1">+OFFSET(Processes!$M$12,$D$11,0) &amp; Processes!P29</f>
        <v>IIDSH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INDIDSHBDSLE1</v>
      </c>
      <c r="D49" s="146" t="str">
        <f ca="1">+OFFSET(Processes!E30,$D$11,0)</f>
        <v>Mining Heat Room Boiler - Diesel Existing 1</v>
      </c>
      <c r="E49" s="149" t="str">
        <f>+Processes!O30</f>
        <v>INDDSB1,INDDSB2,INDDSL</v>
      </c>
      <c r="F49" s="149" t="str">
        <f ca="1">+OFFSET(Processes!$M$12,$D$11,0) &amp; Processes!P30</f>
        <v>IIDSH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INDIDSHBWPEE1</v>
      </c>
      <c r="D50" s="146" t="str">
        <f ca="1">+OFFSET(Processes!E31,$D$11,0)</f>
        <v>Mining Heat Room Boiler - Wood Pellets Existing 1</v>
      </c>
      <c r="E50" s="149" t="str">
        <f>+Processes!O31</f>
        <v>INDWPE</v>
      </c>
      <c r="F50" s="149" t="str">
        <f ca="1">+OFFSET(Processes!$M$12,$D$11,0) &amp; Processes!P31</f>
        <v>IIDSH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INDIDSHBBGAE1</v>
      </c>
      <c r="D52" s="146" t="str">
        <f ca="1">+OFFSET(Processes!E33,$D$11,0)</f>
        <v>Mining Heat Room Boiler - Biogas Existing 1</v>
      </c>
      <c r="E52" s="149" t="str">
        <f>+Processes!O33</f>
        <v>INDBGA</v>
      </c>
      <c r="F52" s="149" t="str">
        <f ca="1">+OFFSET(Processes!$M$12,$D$11,0) &amp; Processes!P33</f>
        <v>IIDSH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INDIDSHBHFOE1</v>
      </c>
      <c r="D53" s="146" t="str">
        <f ca="1">+OFFSET(Processes!E34,$D$11,0)</f>
        <v>Mining Heat Room Boiler - Heavy Fuel Oil Existing 1</v>
      </c>
      <c r="E53" s="149" t="str">
        <f>+Processes!O34</f>
        <v>INDHFO</v>
      </c>
      <c r="F53" s="149" t="str">
        <f ca="1">+OFFSET(Processes!$M$12,$D$11,0) &amp; Processes!P34</f>
        <v>IIDSH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INDIDSHBLPGE1</v>
      </c>
      <c r="D54" s="146" t="str">
        <f ca="1">+OFFSET(Processes!E35,$D$11,0)</f>
        <v>Mining Heat Room Boiler - Liquified Petroleum Gas Existing 1</v>
      </c>
      <c r="E54" s="149" t="str">
        <f>+Processes!O35</f>
        <v>INDLPG</v>
      </c>
      <c r="F54" s="149" t="str">
        <f ca="1">+OFFSET(Processes!$M$12,$D$11,0) &amp; Processes!P35</f>
        <v>IIDSH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INDIDSHBWSTE1</v>
      </c>
      <c r="D55" s="146" t="str">
        <f ca="1">+OFFSET(Processes!E36,$D$11,0)</f>
        <v>Mining Heat Room Boiler - Waste Existing 1</v>
      </c>
      <c r="E55" s="149" t="str">
        <f>+Processes!O36</f>
        <v>INDWST</v>
      </c>
      <c r="F55" s="149" t="str">
        <f ca="1">+OFFSET(Processes!$M$12,$D$11,0) &amp; Processes!P36</f>
        <v>IIDSH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INDIDSHBHETE1</v>
      </c>
      <c r="D56" s="146" t="str">
        <f ca="1">+OFFSET(Processes!E37,$D$11,0)</f>
        <v>Mining Heat Room Boiler - Dist. Heat Existing 1</v>
      </c>
      <c r="E56" s="149" t="str">
        <f>+Processes!O37</f>
        <v>INDHCE</v>
      </c>
      <c r="F56" s="149" t="str">
        <f ca="1">+OFFSET(Processes!$M$12,$D$11,0) &amp; Processes!P37</f>
        <v>IIDSH</v>
      </c>
      <c r="G56" s="321">
        <f t="shared" si="18"/>
        <v>3.4129999999999998</v>
      </c>
      <c r="H56" s="321">
        <f t="shared" si="19"/>
        <v>0</v>
      </c>
      <c r="I56" s="321">
        <f t="shared" si="20"/>
        <v>0</v>
      </c>
      <c r="J56" s="321">
        <f t="shared" si="21"/>
        <v>7.1340000000000003</v>
      </c>
      <c r="K56" s="321">
        <f t="shared" si="22"/>
        <v>0</v>
      </c>
      <c r="L56" s="321">
        <f t="shared" si="23"/>
        <v>0</v>
      </c>
      <c r="M56" s="321">
        <f t="shared" si="24"/>
        <v>396.03099999999995</v>
      </c>
      <c r="N56" s="321">
        <f t="shared" si="25"/>
        <v>0</v>
      </c>
      <c r="O56" s="321">
        <f t="shared" si="26"/>
        <v>0</v>
      </c>
      <c r="P56" s="321">
        <f t="shared" si="1"/>
        <v>396.03099999999995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5.6002522477522486E-2</v>
      </c>
      <c r="AH56" s="236">
        <f t="shared" si="83"/>
        <v>0.11601579207920794</v>
      </c>
      <c r="AI56" s="236">
        <f t="shared" si="84"/>
        <v>6.4404051237623756</v>
      </c>
      <c r="AJ56" s="285"/>
      <c r="AK56" s="356"/>
      <c r="AL56" s="559" t="s">
        <v>103</v>
      </c>
      <c r="AM56" s="560">
        <f>N82/1000</f>
        <v>5.6000000000000001E-2</v>
      </c>
      <c r="AN56" s="613">
        <f>AM56</f>
        <v>5.6000000000000001E-2</v>
      </c>
      <c r="AO56" s="614">
        <v>0</v>
      </c>
      <c r="AP56" s="614">
        <v>0</v>
      </c>
      <c r="AQ56" s="582">
        <f t="shared" si="28"/>
        <v>5.3762421578421586E-2</v>
      </c>
      <c r="AR56" s="562">
        <f t="shared" si="29"/>
        <v>0</v>
      </c>
      <c r="AS56" s="563">
        <f t="shared" si="30"/>
        <v>0</v>
      </c>
      <c r="AT56" s="560">
        <f t="shared" si="85"/>
        <v>5.6002522477522486E-2</v>
      </c>
      <c r="AU56" s="561">
        <f t="shared" si="85"/>
        <v>0</v>
      </c>
      <c r="AV56" s="566">
        <f t="shared" si="85"/>
        <v>0</v>
      </c>
      <c r="AW56" s="285"/>
      <c r="AX56" s="356"/>
      <c r="AY56" s="559" t="s">
        <v>103</v>
      </c>
      <c r="AZ56" s="560">
        <f>N102/1000</f>
        <v>0.11600000000000001</v>
      </c>
      <c r="BA56" s="613">
        <f>AZ56</f>
        <v>0.11600000000000001</v>
      </c>
      <c r="BB56" s="614">
        <v>0</v>
      </c>
      <c r="BC56" s="614">
        <v>0</v>
      </c>
      <c r="BD56" s="560">
        <f t="shared" si="33"/>
        <v>0.11137516039603962</v>
      </c>
      <c r="BE56" s="561">
        <f t="shared" si="34"/>
        <v>0</v>
      </c>
      <c r="BF56" s="566">
        <f t="shared" si="35"/>
        <v>0</v>
      </c>
      <c r="BG56" s="560">
        <f t="shared" si="62"/>
        <v>0.11601579207920794</v>
      </c>
      <c r="BH56" s="561">
        <f t="shared" si="63"/>
        <v>0</v>
      </c>
      <c r="BI56" s="566">
        <f t="shared" si="64"/>
        <v>0</v>
      </c>
      <c r="BJ56" s="285"/>
      <c r="BK56" s="356"/>
      <c r="BL56" s="559" t="s">
        <v>103</v>
      </c>
      <c r="BM56" s="560">
        <f>N122/1000</f>
        <v>6.4403999999999995</v>
      </c>
      <c r="BN56" s="613">
        <f>BM56</f>
        <v>6.4403999999999995</v>
      </c>
      <c r="BO56" s="614">
        <v>0</v>
      </c>
      <c r="BP56" s="614">
        <v>0</v>
      </c>
      <c r="BQ56" s="560">
        <f t="shared" si="38"/>
        <v>6.1827889188118803</v>
      </c>
      <c r="BR56" s="561">
        <f t="shared" si="39"/>
        <v>0</v>
      </c>
      <c r="BS56" s="566">
        <f t="shared" si="40"/>
        <v>0</v>
      </c>
      <c r="BT56" s="560">
        <f t="shared" si="65"/>
        <v>6.4404051237623756</v>
      </c>
      <c r="BU56" s="561">
        <f t="shared" si="66"/>
        <v>0</v>
      </c>
      <c r="BV56" s="566">
        <f t="shared" si="67"/>
        <v>0</v>
      </c>
      <c r="BW56" s="285"/>
      <c r="BX56" s="285"/>
      <c r="BY56" s="285"/>
    </row>
    <row r="57" spans="3:77" ht="12.75" customHeight="1">
      <c r="C57" s="173" t="str">
        <f ca="1">+IF(OFFSET(Processes!B38,$D$11,0)="*","*",OFFSET(Processes!D38,$D$11,0))</f>
        <v>INDIDSHBHETE2</v>
      </c>
      <c r="D57" s="146" t="str">
        <f ca="1">+OFFSET(Processes!E38,$D$11,0)</f>
        <v>Mining Heat Room Boiler - Dist. Heat Existing 2</v>
      </c>
      <c r="E57" s="149" t="str">
        <f>+Processes!O38</f>
        <v>INDHDE</v>
      </c>
      <c r="F57" s="149" t="str">
        <f ca="1">+OFFSET(Processes!$M$12,$D$11,0) &amp; Processes!P38</f>
        <v>IIDSH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INDIDSHBELCE1</v>
      </c>
      <c r="D58" s="148" t="str">
        <f ca="1">+OFFSET(Processes!E39,$D$11,0)</f>
        <v>Mining Heat Room Boiler - Electricity Existing 1</v>
      </c>
      <c r="E58" s="172" t="str">
        <f>+Processes!O39</f>
        <v>INDELC</v>
      </c>
      <c r="F58" s="174" t="str">
        <f ca="1">+OFFSET(Processes!$M$12,$D$11,0) &amp; Processes!P39</f>
        <v>IIDSH</v>
      </c>
      <c r="G58" s="324">
        <f t="shared" si="18"/>
        <v>1.4219999999999999</v>
      </c>
      <c r="H58" s="324">
        <f t="shared" si="19"/>
        <v>7.9000000000000001E-2</v>
      </c>
      <c r="I58" s="324">
        <f t="shared" si="20"/>
        <v>7.9000000000000001E-2</v>
      </c>
      <c r="J58" s="324">
        <f t="shared" si="21"/>
        <v>1.1569999999999998</v>
      </c>
      <c r="K58" s="324">
        <f t="shared" si="22"/>
        <v>6.5000000000000002E-2</v>
      </c>
      <c r="L58" s="324">
        <f t="shared" si="23"/>
        <v>6.5000000000000002E-2</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2.4888551448551455E-2</v>
      </c>
      <c r="AH58" s="236">
        <f t="shared" si="83"/>
        <v>2.0081809275664407E-2</v>
      </c>
      <c r="AI58" s="236">
        <f t="shared" si="84"/>
        <v>0</v>
      </c>
      <c r="AJ58" s="285"/>
      <c r="AK58" s="355"/>
      <c r="AL58" s="567" t="s">
        <v>61</v>
      </c>
      <c r="AM58" s="560">
        <f>M82/1000</f>
        <v>2.6181394649750802E-2</v>
      </c>
      <c r="AN58" s="561">
        <f t="shared" si="77"/>
        <v>2.3563255184775721E-2</v>
      </c>
      <c r="AO58" s="562">
        <f t="shared" si="78"/>
        <v>1.3090697324875402E-3</v>
      </c>
      <c r="AP58" s="562">
        <f t="shared" si="79"/>
        <v>1.3090697324875402E-3</v>
      </c>
      <c r="AQ58" s="582">
        <f t="shared" si="28"/>
        <v>2.2399696303696304E-2</v>
      </c>
      <c r="AR58" s="562">
        <f t="shared" si="29"/>
        <v>1.2444275724275726E-3</v>
      </c>
      <c r="AS58" s="563">
        <f t="shared" si="30"/>
        <v>1.2444275724275726E-3</v>
      </c>
      <c r="AT58" s="560">
        <f t="shared" ref="AT58:AV62" si="87">IFERROR(AQ58/W58,0)</f>
        <v>2.3578627688101376E-2</v>
      </c>
      <c r="AU58" s="561">
        <f t="shared" si="87"/>
        <v>1.3099237604500763E-3</v>
      </c>
      <c r="AV58" s="566">
        <f t="shared" si="87"/>
        <v>1.3099237604500763E-3</v>
      </c>
      <c r="AW58" s="285"/>
      <c r="AX58" s="355"/>
      <c r="AY58" s="567" t="s">
        <v>61</v>
      </c>
      <c r="AZ58" s="560">
        <f>M102/1000</f>
        <v>2.111011431444226E-2</v>
      </c>
      <c r="BA58" s="561">
        <f>AZ58*$AN$23</f>
        <v>1.8999102882998033E-2</v>
      </c>
      <c r="BB58" s="562">
        <f t="shared" si="60"/>
        <v>1.0555057157221131E-3</v>
      </c>
      <c r="BC58" s="562">
        <f t="shared" si="61"/>
        <v>1.0555057157221131E-3</v>
      </c>
      <c r="BD58" s="560">
        <f t="shared" si="33"/>
        <v>1.8062946534653464E-2</v>
      </c>
      <c r="BE58" s="561">
        <f t="shared" si="34"/>
        <v>1.0147722772277229E-3</v>
      </c>
      <c r="BF58" s="566">
        <f t="shared" si="35"/>
        <v>1.0147722772277229E-3</v>
      </c>
      <c r="BG58" s="560">
        <f t="shared" ref="BG58:BI62" si="88">IFERROR(BD58/W58,0)</f>
        <v>1.9013627931214173E-2</v>
      </c>
      <c r="BH58" s="561">
        <f t="shared" si="88"/>
        <v>1.0681813444502347E-3</v>
      </c>
      <c r="BI58" s="566">
        <f t="shared" si="88"/>
        <v>1.0681813444502347E-3</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INDIDLAAELCE1</v>
      </c>
      <c r="D59" s="146" t="str">
        <f ca="1">+OFFSET(Processes!E40,$D$11,0)</f>
        <v>Mining Electricity Light Appliance - Electricity Existing 1</v>
      </c>
      <c r="E59" s="176" t="str">
        <f>+Processes!O40</f>
        <v>INDELC</v>
      </c>
      <c r="F59" s="149" t="str">
        <f ca="1">+OFFSET(Processes!$M$12,$D$11,0) &amp; Processes!P40</f>
        <v>IIDLA</v>
      </c>
      <c r="G59" s="323">
        <f t="shared" si="18"/>
        <v>44.387</v>
      </c>
      <c r="H59" s="323">
        <f t="shared" si="19"/>
        <v>2.4659999999999997</v>
      </c>
      <c r="I59" s="323">
        <f t="shared" si="20"/>
        <v>2.4659999999999997</v>
      </c>
      <c r="J59" s="323">
        <f t="shared" si="21"/>
        <v>36.110999999999997</v>
      </c>
      <c r="K59" s="323">
        <f t="shared" si="22"/>
        <v>2.0069999999999997</v>
      </c>
      <c r="L59" s="323">
        <f t="shared" si="23"/>
        <v>2.0069999999999997</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0.73804006393606403</v>
      </c>
      <c r="AH59" s="236">
        <f t="shared" si="83"/>
        <v>0.5950936871287128</v>
      </c>
      <c r="AI59" s="236">
        <f t="shared" si="84"/>
        <v>0</v>
      </c>
      <c r="AJ59" s="285"/>
      <c r="AK59" s="531" t="str">
        <f ca="1">F59</f>
        <v>IIDLA</v>
      </c>
      <c r="AL59" s="578" t="s">
        <v>61</v>
      </c>
      <c r="AM59" s="579">
        <f>M80/1000</f>
        <v>0.77688000000000013</v>
      </c>
      <c r="AN59" s="580">
        <f t="shared" si="77"/>
        <v>0.69919200000000015</v>
      </c>
      <c r="AO59" s="583">
        <f t="shared" si="78"/>
        <v>3.884400000000001E-2</v>
      </c>
      <c r="AP59" s="583">
        <f t="shared" si="79"/>
        <v>3.884400000000001E-2</v>
      </c>
      <c r="AQ59" s="584">
        <f t="shared" si="28"/>
        <v>0.69919502097902109</v>
      </c>
      <c r="AR59" s="583">
        <f t="shared" si="29"/>
        <v>3.8845042957042962E-2</v>
      </c>
      <c r="AS59" s="585">
        <f t="shared" si="30"/>
        <v>3.8845042957042962E-2</v>
      </c>
      <c r="AT59" s="579">
        <f t="shared" si="87"/>
        <v>0.69919502097902109</v>
      </c>
      <c r="AU59" s="580">
        <f t="shared" si="87"/>
        <v>3.8845042957042962E-2</v>
      </c>
      <c r="AV59" s="581">
        <f t="shared" si="87"/>
        <v>3.8845042957042962E-2</v>
      </c>
      <c r="AW59" s="285"/>
      <c r="AX59" s="531" t="str">
        <f t="shared" ca="1" si="12"/>
        <v>IIDLA</v>
      </c>
      <c r="AY59" s="578" t="s">
        <v>61</v>
      </c>
      <c r="AZ59" s="579">
        <f>M100/1000</f>
        <v>0.62640000000000007</v>
      </c>
      <c r="BA59" s="580">
        <f>AZ59*$AN$23</f>
        <v>0.56376000000000004</v>
      </c>
      <c r="BB59" s="583">
        <f t="shared" si="60"/>
        <v>3.1320000000000008E-2</v>
      </c>
      <c r="BC59" s="583">
        <f t="shared" si="61"/>
        <v>3.1320000000000008E-2</v>
      </c>
      <c r="BD59" s="579">
        <f t="shared" si="33"/>
        <v>0.5637606415841584</v>
      </c>
      <c r="BE59" s="580">
        <f t="shared" si="34"/>
        <v>3.1333045544554454E-2</v>
      </c>
      <c r="BF59" s="581">
        <f t="shared" si="35"/>
        <v>3.1333045544554454E-2</v>
      </c>
      <c r="BG59" s="579">
        <f t="shared" si="88"/>
        <v>0.5637606415841584</v>
      </c>
      <c r="BH59" s="580">
        <f t="shared" si="88"/>
        <v>3.1333045544554454E-2</v>
      </c>
      <c r="BI59" s="581">
        <f t="shared" si="88"/>
        <v>3.1333045544554454E-2</v>
      </c>
      <c r="BJ59" s="285"/>
      <c r="BK59" s="531" t="str">
        <f ca="1">AK59</f>
        <v>IIDLA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INDIDEMMELCE1</v>
      </c>
      <c r="D60" s="148" t="str">
        <f ca="1">+OFFSET(Processes!E41,$D$11,0)</f>
        <v>Mining Electricity Motors - Electricity Existing 1</v>
      </c>
      <c r="E60" s="174" t="str">
        <f>+Processes!O41</f>
        <v>INDELC</v>
      </c>
      <c r="F60" s="174" t="str">
        <f ca="1">+OFFSET(Processes!$M$12,$D$11,0) &amp; Processes!P41</f>
        <v>IIDEM</v>
      </c>
      <c r="G60" s="324">
        <f t="shared" si="18"/>
        <v>399.48199999999997</v>
      </c>
      <c r="H60" s="324">
        <f t="shared" si="19"/>
        <v>22.194000000000003</v>
      </c>
      <c r="I60" s="324">
        <f t="shared" si="20"/>
        <v>22.194000000000003</v>
      </c>
      <c r="J60" s="324">
        <f t="shared" si="21"/>
        <v>324.99899999999997</v>
      </c>
      <c r="K60" s="324">
        <f t="shared" si="22"/>
        <v>18.056000000000001</v>
      </c>
      <c r="L60" s="324">
        <f t="shared" si="23"/>
        <v>18.056000000000001</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6.6423448231768232</v>
      </c>
      <c r="AH60" s="236">
        <f t="shared" si="83"/>
        <v>5.3557339009900993</v>
      </c>
      <c r="AI60" s="236">
        <f t="shared" si="84"/>
        <v>0</v>
      </c>
      <c r="AJ60" s="285"/>
      <c r="AK60" s="536" t="str">
        <f ca="1">F60</f>
        <v>IIDEM</v>
      </c>
      <c r="AL60" s="578" t="s">
        <v>61</v>
      </c>
      <c r="AM60" s="579">
        <f>M81/1000</f>
        <v>6.9919200000000004</v>
      </c>
      <c r="AN60" s="580">
        <f t="shared" si="77"/>
        <v>6.2927280000000003</v>
      </c>
      <c r="AO60" s="583">
        <f t="shared" si="78"/>
        <v>0.34959600000000002</v>
      </c>
      <c r="AP60" s="583">
        <f t="shared" si="79"/>
        <v>0.34959600000000002</v>
      </c>
      <c r="AQ60" s="584">
        <f t="shared" si="28"/>
        <v>6.292739436563437</v>
      </c>
      <c r="AR60" s="583">
        <f t="shared" si="29"/>
        <v>0.34960538661338675</v>
      </c>
      <c r="AS60" s="585">
        <f t="shared" si="30"/>
        <v>0.34960538661338675</v>
      </c>
      <c r="AT60" s="579">
        <f t="shared" si="87"/>
        <v>6.292739436563437</v>
      </c>
      <c r="AU60" s="580">
        <f t="shared" si="87"/>
        <v>0.34960538661338675</v>
      </c>
      <c r="AV60" s="581">
        <f t="shared" si="87"/>
        <v>0.34960538661338675</v>
      </c>
      <c r="AW60" s="285"/>
      <c r="AX60" s="536" t="str">
        <f t="shared" ca="1" si="12"/>
        <v>IIDEM</v>
      </c>
      <c r="AY60" s="578" t="s">
        <v>61</v>
      </c>
      <c r="AZ60" s="579">
        <f>M101/1000</f>
        <v>5.6375999999999999</v>
      </c>
      <c r="BA60" s="580">
        <f>AZ60*$AN$23</f>
        <v>5.0738399999999997</v>
      </c>
      <c r="BB60" s="583">
        <f t="shared" si="60"/>
        <v>0.28188000000000002</v>
      </c>
      <c r="BC60" s="583">
        <f t="shared" si="61"/>
        <v>0.28188000000000002</v>
      </c>
      <c r="BD60" s="579">
        <f t="shared" si="33"/>
        <v>5.0738457742574257</v>
      </c>
      <c r="BE60" s="580">
        <f t="shared" si="34"/>
        <v>0.28188812673267333</v>
      </c>
      <c r="BF60" s="581">
        <f t="shared" si="35"/>
        <v>0.28188812673267333</v>
      </c>
      <c r="BG60" s="579">
        <f t="shared" si="88"/>
        <v>5.0738457742574257</v>
      </c>
      <c r="BH60" s="580">
        <f t="shared" si="88"/>
        <v>0.28188812673267333</v>
      </c>
      <c r="BI60" s="581">
        <f t="shared" si="88"/>
        <v>0.28188812673267333</v>
      </c>
      <c r="BJ60" s="285"/>
      <c r="BK60" s="536" t="str">
        <f ca="1">AK60</f>
        <v>IIDEM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INDIDTFTDSLE1</v>
      </c>
      <c r="D61" s="173" t="str">
        <f ca="1">+OFFSET(Processes!E42,$D$11,0)</f>
        <v>Mining Tractors, Trucks, Fishing boats, Forest machines - Diesel Existing 1</v>
      </c>
      <c r="E61" s="172" t="str">
        <f>+Processes!O42</f>
        <v>INDDSB1,INDDSB2,INDDSL</v>
      </c>
      <c r="F61" s="173" t="str">
        <f ca="1">+OFFSET(Processes!$M$12,$D$11,0) &amp; Processes!P42</f>
        <v>IIDTF</v>
      </c>
      <c r="G61" s="323">
        <f t="shared" si="18"/>
        <v>61.269999999999996</v>
      </c>
      <c r="H61" s="323">
        <f t="shared" si="19"/>
        <v>3.4039999999999999</v>
      </c>
      <c r="I61" s="323">
        <f t="shared" si="20"/>
        <v>3.4039999999999999</v>
      </c>
      <c r="J61" s="323">
        <f t="shared" si="21"/>
        <v>37.022999999999996</v>
      </c>
      <c r="K61" s="323">
        <f t="shared" si="22"/>
        <v>2.0569999999999999</v>
      </c>
      <c r="L61" s="323">
        <f t="shared" si="23"/>
        <v>2.0569999999999999</v>
      </c>
      <c r="M61" s="323">
        <f t="shared" si="24"/>
        <v>42.07</v>
      </c>
      <c r="N61" s="323">
        <f t="shared" si="25"/>
        <v>2.3380000000000001</v>
      </c>
      <c r="O61" s="323">
        <f t="shared" si="26"/>
        <v>2.3380000000000001</v>
      </c>
      <c r="P61" s="323">
        <f t="shared" si="1"/>
        <v>42.07</v>
      </c>
      <c r="Q61" s="323">
        <f t="shared" si="2"/>
        <v>2.3380000000000001</v>
      </c>
      <c r="R61" s="323">
        <f t="shared" si="3"/>
        <v>2.3380000000000001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1.0187608711288714</v>
      </c>
      <c r="AH61" s="236">
        <f t="shared" si="83"/>
        <v>0.61011231683168321</v>
      </c>
      <c r="AI61" s="236">
        <f t="shared" si="84"/>
        <v>0.6932924198019802</v>
      </c>
      <c r="AJ61" s="285"/>
      <c r="AK61" s="536" t="str">
        <f ca="1">F61</f>
        <v>IIDTF</v>
      </c>
      <c r="AL61" s="578" t="s">
        <v>59</v>
      </c>
      <c r="AM61" s="579">
        <f>F79/1000</f>
        <v>1.0723750000000001</v>
      </c>
      <c r="AN61" s="580">
        <f t="shared" si="77"/>
        <v>0.96513750000000009</v>
      </c>
      <c r="AO61" s="583">
        <f t="shared" si="78"/>
        <v>5.3618750000000007E-2</v>
      </c>
      <c r="AP61" s="583">
        <f t="shared" si="79"/>
        <v>5.3618750000000007E-2</v>
      </c>
      <c r="AQ61" s="584">
        <f t="shared" si="28"/>
        <v>0.96514021978021991</v>
      </c>
      <c r="AR61" s="583">
        <f t="shared" si="29"/>
        <v>5.3620651348651356E-2</v>
      </c>
      <c r="AS61" s="585">
        <f t="shared" si="30"/>
        <v>5.3620651348651356E-2</v>
      </c>
      <c r="AT61" s="579">
        <f t="shared" si="87"/>
        <v>0.96514021978021991</v>
      </c>
      <c r="AU61" s="580">
        <f t="shared" si="87"/>
        <v>5.3620651348651356E-2</v>
      </c>
      <c r="AV61" s="581">
        <f t="shared" si="87"/>
        <v>5.3620651348651356E-2</v>
      </c>
      <c r="AW61" s="285"/>
      <c r="AX61" s="536" t="str">
        <f t="shared" ca="1" si="12"/>
        <v>IIDTF</v>
      </c>
      <c r="AY61" s="578" t="s">
        <v>59</v>
      </c>
      <c r="AZ61" s="579">
        <f>F99/1000</f>
        <v>0.64221000000000006</v>
      </c>
      <c r="BA61" s="580">
        <f>AZ61*$AN$23</f>
        <v>0.57798900000000009</v>
      </c>
      <c r="BB61" s="583">
        <f t="shared" si="60"/>
        <v>3.2110500000000007E-2</v>
      </c>
      <c r="BC61" s="583">
        <f t="shared" si="61"/>
        <v>3.2110500000000007E-2</v>
      </c>
      <c r="BD61" s="579">
        <f t="shared" si="33"/>
        <v>0.5779986772277228</v>
      </c>
      <c r="BE61" s="580">
        <f t="shared" si="34"/>
        <v>3.2113639603960395E-2</v>
      </c>
      <c r="BF61" s="581">
        <f t="shared" si="35"/>
        <v>3.2113639603960395E-2</v>
      </c>
      <c r="BG61" s="579">
        <f t="shared" si="88"/>
        <v>0.5779986772277228</v>
      </c>
      <c r="BH61" s="580">
        <f t="shared" si="88"/>
        <v>3.2113639603960395E-2</v>
      </c>
      <c r="BI61" s="581">
        <f t="shared" si="88"/>
        <v>3.2113639603960395E-2</v>
      </c>
      <c r="BJ61" s="285"/>
      <c r="BK61" s="536" t="str">
        <f ca="1">AK61</f>
        <v>IIDTF</v>
      </c>
      <c r="BL61" s="578" t="s">
        <v>59</v>
      </c>
      <c r="BM61" s="579">
        <f>F119/1000</f>
        <v>0.72975900000000005</v>
      </c>
      <c r="BN61" s="580">
        <f>BM61*$AN$23</f>
        <v>0.65678310000000006</v>
      </c>
      <c r="BO61" s="583">
        <f t="shared" si="53"/>
        <v>3.6487950000000005E-2</v>
      </c>
      <c r="BP61" s="583">
        <f t="shared" si="54"/>
        <v>3.6487950000000005E-2</v>
      </c>
      <c r="BQ61" s="579">
        <f t="shared" si="38"/>
        <v>0.65679184158415849</v>
      </c>
      <c r="BR61" s="580">
        <f t="shared" si="39"/>
        <v>3.650057821782178E-2</v>
      </c>
      <c r="BS61" s="581">
        <f t="shared" si="40"/>
        <v>3.650057821782178E-2</v>
      </c>
      <c r="BT61" s="579">
        <f t="shared" si="89"/>
        <v>0.65679184158415849</v>
      </c>
      <c r="BU61" s="580">
        <f t="shared" si="89"/>
        <v>3.650057821782178E-2</v>
      </c>
      <c r="BV61" s="581">
        <f t="shared" si="89"/>
        <v>3.650057821782178E-2</v>
      </c>
      <c r="BW61" s="285"/>
      <c r="BX61" s="285"/>
      <c r="BY61" s="285"/>
    </row>
    <row r="62" spans="3:77" ht="12.75" customHeight="1">
      <c r="C62" s="173" t="str">
        <f ca="1">+IF(OFFSET(Processes!B43,$D$11,0)="*","*",OFFSET(Processes!D43,$D$11,0))</f>
        <v>INDIDFLTLPGE1</v>
      </c>
      <c r="D62" s="173" t="str">
        <f ca="1">+OFFSET(Processes!E43,$D$11,0)</f>
        <v>Mining Forklifts - LPG Existing 1</v>
      </c>
      <c r="E62" s="172" t="str">
        <f>+Processes!O43</f>
        <v>INDLPG,INDSNG1,INDSNG2</v>
      </c>
      <c r="F62" s="173" t="str">
        <f ca="1">+OFFSET(Processes!$M$12,$D$11,0) &amp; Processes!P43</f>
        <v>IIDFL</v>
      </c>
      <c r="G62" s="323">
        <f t="shared" si="18"/>
        <v>0</v>
      </c>
      <c r="H62" s="323">
        <f t="shared" si="19"/>
        <v>0</v>
      </c>
      <c r="I62" s="323">
        <f>ROUNDUP(AP62/($Z62*$AA62)*I$21*Y62,3)</f>
        <v>0</v>
      </c>
      <c r="J62" s="323">
        <f t="shared" si="21"/>
        <v>0</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t="e">
        <f t="shared" si="84"/>
        <v>#REF!</v>
      </c>
      <c r="AJ62" s="285"/>
      <c r="AK62" s="536" t="str">
        <f ca="1">F62</f>
        <v>IIDFL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IIDFL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IIDFL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D67" s="79"/>
      <c r="AE67" s="79"/>
      <c r="AF67" s="79"/>
    </row>
    <row r="68" spans="3:66" ht="12.75" customHeight="1">
      <c r="L68" s="288"/>
      <c r="O68" s="285"/>
      <c r="Q68" s="86"/>
      <c r="R68" s="25"/>
      <c r="S68" s="25"/>
      <c r="T68" s="34"/>
      <c r="U68" s="34"/>
      <c r="V68" s="285"/>
      <c r="W68" s="285"/>
      <c r="X68" s="285"/>
      <c r="Y68" s="285"/>
      <c r="AA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2252.96</v>
      </c>
      <c r="E77" s="14">
        <f t="shared" si="93"/>
        <v>80.695999999999998</v>
      </c>
      <c r="F77" s="14">
        <f t="shared" si="93"/>
        <v>0</v>
      </c>
      <c r="G77" s="14">
        <f t="shared" si="93"/>
        <v>0</v>
      </c>
      <c r="H77" s="14">
        <f t="shared" si="93"/>
        <v>103.56975</v>
      </c>
      <c r="I77" s="14">
        <f t="shared" si="93"/>
        <v>6125.4709999999995</v>
      </c>
      <c r="J77" s="14">
        <f t="shared" si="93"/>
        <v>0</v>
      </c>
      <c r="K77" s="14">
        <f t="shared" si="93"/>
        <v>571</v>
      </c>
      <c r="L77" s="14">
        <f t="shared" si="93"/>
        <v>0</v>
      </c>
      <c r="M77" s="14">
        <f t="shared" si="93"/>
        <v>0</v>
      </c>
      <c r="N77" s="14">
        <f t="shared" si="93"/>
        <v>0</v>
      </c>
      <c r="O77" s="86"/>
      <c r="T77" s="48" t="s">
        <v>209</v>
      </c>
      <c r="U77" s="48"/>
      <c r="V77" s="126" t="str">
        <f>+INDEX('Energy matrix'!C4:N4,1,$D$2)</f>
        <v>Mining and quarrying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2252.96</v>
      </c>
      <c r="W78" s="117"/>
    </row>
    <row r="79" spans="3:66" ht="12.75" customHeight="1">
      <c r="C79" s="13" t="str">
        <f>$D$152</f>
        <v>Haullage</v>
      </c>
      <c r="D79" s="19">
        <f t="shared" ref="D79:N79" si="95">+INDEX($E152:$O152,1,D$75) * INDEX($V$78:$V$88,D$75,1)</f>
        <v>0</v>
      </c>
      <c r="E79" s="19">
        <f t="shared" si="95"/>
        <v>0</v>
      </c>
      <c r="F79" s="19">
        <f t="shared" si="95"/>
        <v>1072.375</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80.695999999999998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776.88000000000011</v>
      </c>
      <c r="N80" s="14">
        <f t="shared" si="96"/>
        <v>0</v>
      </c>
      <c r="O80" s="86"/>
      <c r="T80" s="117" t="str">
        <f>+'Energy matrix'!B7</f>
        <v>Diesel</v>
      </c>
      <c r="U80" s="117"/>
      <c r="V80" s="118">
        <f>+INDEX('Energy matrix'!C7:N7,1,$D$2)</f>
        <v>1072.375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6991.92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26.181394649750803</v>
      </c>
      <c r="N82" s="14">
        <f t="shared" si="98"/>
        <v>56</v>
      </c>
      <c r="O82" s="86"/>
      <c r="T82" s="117" t="str">
        <f>+'Energy matrix'!B9</f>
        <v>LPG</v>
      </c>
      <c r="U82" s="117"/>
      <c r="V82" s="118">
        <f>+INDEX('Energy matrix'!C9:N9,1,$D$2)</f>
        <v>414.279</v>
      </c>
      <c r="W82" s="117"/>
    </row>
    <row r="83" spans="3:24" ht="12.75" customHeight="1">
      <c r="C83" s="17" t="s">
        <v>57</v>
      </c>
      <c r="D83" s="18">
        <f t="shared" ref="D83:N83" si="99">SUM(D77:D82)</f>
        <v>2252.96</v>
      </c>
      <c r="E83" s="18">
        <f t="shared" si="99"/>
        <v>80.695999999999998</v>
      </c>
      <c r="F83" s="18">
        <f t="shared" si="99"/>
        <v>1072.375</v>
      </c>
      <c r="G83" s="18">
        <f t="shared" si="99"/>
        <v>0</v>
      </c>
      <c r="H83" s="18">
        <f t="shared" si="99"/>
        <v>103.56975</v>
      </c>
      <c r="I83" s="18">
        <f t="shared" si="99"/>
        <v>6125.4709999999995</v>
      </c>
      <c r="J83" s="18">
        <f t="shared" si="99"/>
        <v>0</v>
      </c>
      <c r="K83" s="18">
        <f t="shared" si="99"/>
        <v>571</v>
      </c>
      <c r="L83" s="18">
        <f t="shared" si="99"/>
        <v>0</v>
      </c>
      <c r="M83" s="18">
        <f t="shared" si="99"/>
        <v>7794.9813946497507</v>
      </c>
      <c r="N83" s="18">
        <f t="shared" si="99"/>
        <v>56</v>
      </c>
      <c r="O83" s="86"/>
      <c r="T83" s="117" t="str">
        <f>+'Energy matrix'!B11</f>
        <v>Natural gas</v>
      </c>
      <c r="U83" s="117"/>
      <c r="V83" s="118">
        <f>+INDEX('Energy matrix'!C11:N11,1,$D$2)</f>
        <v>6125.4709999999995</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matrix'!B17</f>
        <v>Biomass</v>
      </c>
      <c r="U85" s="117"/>
      <c r="V85" s="118">
        <f>+INDEX('Energy matrix'!C17:N17,1,$D$2)</f>
        <v>571</v>
      </c>
      <c r="W85" s="117"/>
    </row>
    <row r="86" spans="3:24" ht="12.75" customHeight="1">
      <c r="O86" s="86"/>
      <c r="T86" s="117" t="str">
        <f>+'Energy matrix'!B18</f>
        <v>Waste</v>
      </c>
      <c r="U86" s="117"/>
      <c r="V86" s="118">
        <f>+INDEX('Energy matrix'!C18:N18,1,$D$2)</f>
        <v>0</v>
      </c>
      <c r="W86" s="117"/>
    </row>
    <row r="87" spans="3:24" ht="12.75" customHeight="1">
      <c r="O87" s="86"/>
      <c r="T87" s="117" t="str">
        <f>+'Energy matrix'!B19</f>
        <v>Electricity</v>
      </c>
      <c r="U87" s="117"/>
      <c r="V87" s="118">
        <f>+INDEX('Energy matrix'!C19:N19,1,$D$2)</f>
        <v>7768.8</v>
      </c>
      <c r="W87" s="117"/>
    </row>
    <row r="88" spans="3:24" ht="12.75" customHeight="1">
      <c r="O88" s="86"/>
      <c r="T88" s="122" t="str">
        <f>+'Energy matrix'!B20</f>
        <v>District Heating</v>
      </c>
      <c r="U88" s="122"/>
      <c r="V88" s="123">
        <f>+INDEX('Energy matrix'!C20:N20,1,$D$2)</f>
        <v>56</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18341.580999999998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2557.4859999999999</v>
      </c>
      <c r="E97" s="14">
        <f t="shared" si="110"/>
        <v>40.734999999999999</v>
      </c>
      <c r="F97" s="14">
        <f t="shared" si="110"/>
        <v>0</v>
      </c>
      <c r="G97" s="14">
        <f t="shared" si="110"/>
        <v>0</v>
      </c>
      <c r="H97" s="14">
        <f t="shared" si="110"/>
        <v>79.390500000000003</v>
      </c>
      <c r="I97" s="14">
        <f t="shared" si="110"/>
        <v>4308.3</v>
      </c>
      <c r="J97" s="14" t="e">
        <f t="shared" si="110"/>
        <v>#REF!</v>
      </c>
      <c r="K97" s="14">
        <f t="shared" si="110"/>
        <v>809</v>
      </c>
      <c r="L97" s="14">
        <f t="shared" si="110"/>
        <v>0</v>
      </c>
      <c r="M97" s="14">
        <f t="shared" si="110"/>
        <v>0</v>
      </c>
      <c r="N97" s="14">
        <f t="shared" si="110"/>
        <v>0</v>
      </c>
      <c r="O97" s="86"/>
      <c r="R97" s="287"/>
      <c r="S97" s="287"/>
      <c r="T97" s="48" t="s">
        <v>209</v>
      </c>
      <c r="U97" s="48"/>
      <c r="V97" s="126" t="str">
        <f>+INDEX('Energy matrix'!C28:N28,1,$D$2)</f>
        <v>Mining and quarrying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2557.4859999999999</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626.40000000000009</v>
      </c>
      <c r="N100" s="14">
        <f t="shared" si="113"/>
        <v>0</v>
      </c>
      <c r="O100" s="86"/>
      <c r="R100" s="287"/>
      <c r="S100" s="287"/>
      <c r="T100" s="117" t="str">
        <f>'Energy matrix'!B31</f>
        <v>Diesel</v>
      </c>
      <c r="U100" s="117"/>
      <c r="V100" s="118">
        <f>+INDEX('Energy matrix'!C31:N31,1,$D$2)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5637.6</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21.11011431444226</v>
      </c>
      <c r="N102" s="14">
        <f t="shared" si="115"/>
        <v>116</v>
      </c>
      <c r="O102" s="86"/>
      <c r="R102" s="287"/>
      <c r="S102" s="287"/>
      <c r="T102" s="117" t="str">
        <f>'Energy matrix'!B33</f>
        <v>LPG</v>
      </c>
      <c r="U102" s="117"/>
      <c r="V102" s="118">
        <f>+INDEX('Energy matrix'!C33:N33,1,$D$2)</f>
        <v>317.56200000000001</v>
      </c>
      <c r="W102" s="117"/>
    </row>
    <row r="103" spans="3:24" s="285" customFormat="1" ht="12.75" customHeight="1">
      <c r="C103" s="17" t="s">
        <v>57</v>
      </c>
      <c r="D103" s="18">
        <f t="shared" ref="D103:N103" si="116">SUM(D97:D102)</f>
        <v>2557.4859999999999</v>
      </c>
      <c r="E103" s="18">
        <f t="shared" si="116"/>
        <v>40.734999999999999</v>
      </c>
      <c r="F103" s="18">
        <f t="shared" si="116"/>
        <v>642.21</v>
      </c>
      <c r="G103" s="18">
        <f t="shared" si="116"/>
        <v>0</v>
      </c>
      <c r="H103" s="18">
        <f t="shared" si="116"/>
        <v>79.390500000000003</v>
      </c>
      <c r="I103" s="18">
        <f t="shared" si="116"/>
        <v>4308.3</v>
      </c>
      <c r="J103" s="18" t="e">
        <f t="shared" si="116"/>
        <v>#REF!</v>
      </c>
      <c r="K103" s="18">
        <f t="shared" si="116"/>
        <v>809</v>
      </c>
      <c r="L103" s="18">
        <f t="shared" si="116"/>
        <v>0</v>
      </c>
      <c r="M103" s="18">
        <f t="shared" si="116"/>
        <v>6285.1101143144424</v>
      </c>
      <c r="N103" s="18">
        <f t="shared" si="116"/>
        <v>116</v>
      </c>
      <c r="O103" s="86"/>
      <c r="R103" s="287"/>
      <c r="S103" s="287"/>
      <c r="T103" s="117" t="str">
        <f>'Energy matrix'!B35</f>
        <v>Natural gas</v>
      </c>
      <c r="U103" s="117"/>
      <c r="V103" s="118">
        <f>+INDEX('Energy matrix'!C35:N35,1,$D$2)</f>
        <v>4308.3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809</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0</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6264</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116</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2624.08</v>
      </c>
      <c r="E117" s="14">
        <f t="shared" si="127"/>
        <v>40.343000000000004</v>
      </c>
      <c r="F117" s="14">
        <f t="shared" si="127"/>
        <v>0</v>
      </c>
      <c r="G117" s="14">
        <f t="shared" si="127"/>
        <v>0</v>
      </c>
      <c r="H117" s="14" t="e">
        <f t="shared" si="127"/>
        <v>#REF!</v>
      </c>
      <c r="I117" s="14">
        <f t="shared" si="127"/>
        <v>0</v>
      </c>
      <c r="J117" s="14">
        <f t="shared" si="127"/>
        <v>3917.636</v>
      </c>
      <c r="K117" s="14">
        <f t="shared" si="127"/>
        <v>73</v>
      </c>
      <c r="L117" s="14">
        <f t="shared" si="127"/>
        <v>130</v>
      </c>
      <c r="M117" s="14">
        <f t="shared" si="127"/>
        <v>0</v>
      </c>
      <c r="N117" s="14">
        <f t="shared" si="127"/>
        <v>0</v>
      </c>
      <c r="O117" s="86"/>
      <c r="T117" s="48" t="s">
        <v>209</v>
      </c>
      <c r="U117" s="48"/>
      <c r="V117" s="126" t="str">
        <f>+INDEX('Energy matrix'!C52:N52,1,$D$2)</f>
        <v>Mining and quarrying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2624.08</v>
      </c>
      <c r="W118" s="117"/>
    </row>
    <row r="119" spans="3:31" ht="12.75" customHeight="1">
      <c r="C119" s="13" t="str">
        <f>$D$152</f>
        <v>Haullage</v>
      </c>
      <c r="D119" s="19">
        <f t="shared" ref="D119:N119" si="129">+INDEX($E152:$O152,1,D$115) * INDEX($V$118:$V$128,D$115,1)</f>
        <v>0</v>
      </c>
      <c r="E119" s="19">
        <f t="shared" si="129"/>
        <v>0</v>
      </c>
      <c r="F119" s="19">
        <f t="shared" si="129"/>
        <v>729.75900000000001</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matrix'!B55</f>
        <v>Diesel</v>
      </c>
      <c r="U120" s="117"/>
      <c r="V120" s="118">
        <f>+INDEX('Energy matrix'!C55:N55,1,$D$2)</f>
        <v>729.75900000000001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6440.4</v>
      </c>
      <c r="O122" s="86"/>
      <c r="T122" s="117" t="e">
        <f>'Energy matrix'!#REF!</f>
        <v>#REF!</v>
      </c>
      <c r="U122" s="117"/>
      <c r="V122" s="118" t="e">
        <f>+_xlfn.SINGLE(INDEX('Energy matrix'!#REF!,1,$D$2))</f>
        <v>#REF!</v>
      </c>
      <c r="W122" s="117"/>
    </row>
    <row r="123" spans="3:31" ht="12.75" customHeight="1">
      <c r="C123" s="17" t="s">
        <v>57</v>
      </c>
      <c r="D123" s="18">
        <f t="shared" ref="D123:N123" si="133">SUM(D117:D122)</f>
        <v>2624.08</v>
      </c>
      <c r="E123" s="18">
        <f t="shared" si="133"/>
        <v>40.343000000000004</v>
      </c>
      <c r="F123" s="18">
        <f t="shared" si="133"/>
        <v>729.75900000000001</v>
      </c>
      <c r="G123" s="18">
        <f t="shared" si="133"/>
        <v>0</v>
      </c>
      <c r="H123" s="18" t="e">
        <f t="shared" si="133"/>
        <v>#REF!</v>
      </c>
      <c r="I123" s="18">
        <f t="shared" si="133"/>
        <v>0</v>
      </c>
      <c r="J123" s="18">
        <f t="shared" si="133"/>
        <v>3917.636</v>
      </c>
      <c r="K123" s="18">
        <f t="shared" si="133"/>
        <v>73</v>
      </c>
      <c r="L123" s="18">
        <f t="shared" si="133"/>
        <v>130</v>
      </c>
      <c r="M123" s="18">
        <f t="shared" si="133"/>
        <v>0</v>
      </c>
      <c r="N123" s="18">
        <f t="shared" si="133"/>
        <v>6440.4</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3917.636</v>
      </c>
      <c r="W124" s="117"/>
    </row>
    <row r="125" spans="3:31" ht="12.75" customHeight="1">
      <c r="E125" s="25"/>
      <c r="F125" s="25"/>
      <c r="G125" s="25"/>
      <c r="H125" s="25"/>
      <c r="I125" s="25"/>
      <c r="J125" s="25"/>
      <c r="K125" s="25"/>
      <c r="O125" s="86"/>
      <c r="T125" s="117" t="str">
        <f>'Energy matrix'!B60</f>
        <v>Biogas</v>
      </c>
      <c r="U125" s="117"/>
      <c r="V125" s="118">
        <f>+INDEX('Energy matrix'!C60:N60,1,$D$2)</f>
        <v>73</v>
      </c>
      <c r="W125" s="117"/>
    </row>
    <row r="126" spans="3:31" ht="12.75" customHeight="1">
      <c r="O126" s="86"/>
      <c r="T126" s="117" t="str">
        <f>'Energy matrix'!B65</f>
        <v>Biomass</v>
      </c>
      <c r="U126" s="117"/>
      <c r="V126" s="118">
        <f>+INDEX('Energy matrix'!C65:N65,1,$D$2)</f>
        <v>130</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6440.4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409" t="s">
        <v>139</v>
      </c>
      <c r="H149" s="20" t="s">
        <v>140</v>
      </c>
      <c r="I149" s="20" t="s">
        <v>141</v>
      </c>
      <c r="J149" s="20" t="s">
        <v>142</v>
      </c>
      <c r="K149" s="20" t="s">
        <v>143</v>
      </c>
      <c r="L149" s="20" t="s">
        <v>144</v>
      </c>
      <c r="M149" s="20" t="s">
        <v>145</v>
      </c>
      <c r="N149" s="190" t="s">
        <v>146</v>
      </c>
      <c r="O149" s="409" t="s">
        <v>147</v>
      </c>
      <c r="P149" s="34"/>
      <c r="Q149" s="34"/>
      <c r="R149" s="25"/>
      <c r="S149" s="25"/>
      <c r="W149" s="285"/>
      <c r="X149" s="285"/>
      <c r="Y149" s="285"/>
      <c r="Z149" s="25"/>
      <c r="AA149" s="25"/>
      <c r="AB149" s="25"/>
    </row>
    <row r="150" spans="3:28">
      <c r="C150" s="12" t="str">
        <f>D6</f>
        <v>07 Mining and quarrying</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Y150" s="285"/>
      <c r="Z150" s="25"/>
      <c r="AA150" s="25"/>
      <c r="AB150" s="25"/>
    </row>
    <row r="151" spans="3:28">
      <c r="C151" s="15"/>
      <c r="D151" s="13" t="s">
        <v>535</v>
      </c>
      <c r="E151" s="22"/>
      <c r="F151" s="22"/>
      <c r="G151" s="22"/>
      <c r="H151" s="22">
        <v>0</v>
      </c>
      <c r="I151" s="22"/>
      <c r="J151" s="22"/>
      <c r="K151" s="22">
        <v>0</v>
      </c>
      <c r="L151" s="610"/>
      <c r="M151" s="22">
        <v>0</v>
      </c>
      <c r="N151" s="22"/>
      <c r="O151" s="22">
        <v>0</v>
      </c>
      <c r="P151" s="34"/>
      <c r="Q151" s="34"/>
      <c r="R151" s="25"/>
      <c r="S151" s="25"/>
      <c r="W151" s="285"/>
      <c r="X151" s="285"/>
      <c r="Y151" s="285"/>
      <c r="Z151" s="25"/>
      <c r="AA151" s="25"/>
      <c r="AB151" s="25"/>
    </row>
    <row r="152" spans="3:28">
      <c r="C152" s="15"/>
      <c r="D152" s="13" t="s">
        <v>536</v>
      </c>
      <c r="E152" s="22">
        <v>0</v>
      </c>
      <c r="F152" s="22">
        <v>0</v>
      </c>
      <c r="G152" s="22">
        <v>1</v>
      </c>
      <c r="H152" s="611">
        <v>1</v>
      </c>
      <c r="I152" s="22">
        <v>0</v>
      </c>
      <c r="J152" s="22">
        <v>0</v>
      </c>
      <c r="K152" s="22">
        <v>0</v>
      </c>
      <c r="L152" s="22"/>
      <c r="M152" s="22">
        <v>0</v>
      </c>
      <c r="N152" s="22">
        <v>0</v>
      </c>
      <c r="O152" s="22">
        <v>0</v>
      </c>
      <c r="P152" s="34"/>
      <c r="Q152" s="34"/>
      <c r="R152" s="25"/>
      <c r="S152" s="25"/>
      <c r="W152" s="285"/>
      <c r="X152" s="285"/>
      <c r="Y152" s="285"/>
      <c r="Z152" s="25"/>
      <c r="AA152" s="25"/>
      <c r="AB152" s="25"/>
    </row>
    <row r="153" spans="3:28">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85"/>
      <c r="Z153" s="25"/>
      <c r="AA153" s="25"/>
      <c r="AB153" s="25"/>
    </row>
    <row r="154" spans="3:28">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85"/>
      <c r="Z154" s="25"/>
      <c r="AA154" s="25"/>
      <c r="AB154" s="25"/>
    </row>
    <row r="155" spans="3:28">
      <c r="C155" s="16"/>
      <c r="D155" s="13" t="s">
        <v>539</v>
      </c>
      <c r="E155" s="22"/>
      <c r="F155" s="22"/>
      <c r="G155" s="22"/>
      <c r="H155" s="22"/>
      <c r="I155" s="22"/>
      <c r="J155" s="22"/>
      <c r="K155" s="22"/>
      <c r="L155" s="22"/>
      <c r="M155" s="22"/>
      <c r="N155" s="22">
        <v>3.3700693350003606E-3</v>
      </c>
      <c r="O155" s="22">
        <v>1</v>
      </c>
      <c r="P155" s="34"/>
      <c r="Q155" s="34"/>
      <c r="R155" s="25"/>
      <c r="S155" s="25"/>
      <c r="W155" s="285"/>
      <c r="X155" s="285"/>
      <c r="Y155" s="285"/>
      <c r="Z155" s="25"/>
      <c r="AA155" s="25"/>
      <c r="AB155" s="25"/>
    </row>
    <row r="156" spans="3:28">
      <c r="C156" s="17" t="str">
        <f>C150</f>
        <v>07 Mining and quarrying</v>
      </c>
      <c r="D156" s="17"/>
      <c r="E156" s="23">
        <f>SUM(E150:E155)</f>
        <v>1</v>
      </c>
      <c r="F156" s="23">
        <f t="shared" ref="F156:O156" si="136">SUM(F150:F155)</f>
        <v>1</v>
      </c>
      <c r="G156" s="23">
        <f t="shared" si="136"/>
        <v>1</v>
      </c>
      <c r="H156" s="23">
        <f t="shared" si="136"/>
        <v>1</v>
      </c>
      <c r="I156" s="23">
        <f t="shared" si="136"/>
        <v>0.25</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85"/>
      <c r="Z156" s="25"/>
      <c r="AA156" s="25"/>
      <c r="AB156" s="25"/>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56"/>
  <sheetViews>
    <sheetView showGridLines="0" topLeftCell="A97" zoomScale="80" zoomScaleNormal="80" workbookViewId="0">
      <selection activeCell="N155" sqref="N155"/>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5"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9</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Paper &amp; Pulp industry</v>
      </c>
      <c r="E5" s="25"/>
      <c r="F5" s="197"/>
      <c r="G5" s="198"/>
    </row>
    <row r="6" spans="3:28" ht="12.75" customHeight="1">
      <c r="C6" s="62"/>
      <c r="D6" s="70" t="str">
        <f>+INDEX(Commodities!$Y$6:$Y$17,D2)</f>
        <v>09 Paper, pulp and printing</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09 Paper, pulp and printing</v>
      </c>
      <c r="E9" s="25"/>
    </row>
    <row r="10" spans="3:28" ht="12.75" customHeight="1">
      <c r="C10" s="62" t="s">
        <v>154</v>
      </c>
      <c r="D10" s="70">
        <f>+ROW(Processes!$M$44) - ROW(Processes!$M$7)</f>
        <v>37</v>
      </c>
      <c r="E10" s="25"/>
    </row>
    <row r="11" spans="3:28" ht="12.75" customHeight="1">
      <c r="C11" s="62" t="s">
        <v>194</v>
      </c>
      <c r="D11" s="70">
        <f>+$D$10*$D$2-$D$10</f>
        <v>296</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Paper, pulp and printing</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INDRDPHBNGAE1</v>
      </c>
      <c r="D26" s="146" t="str">
        <f ca="1">+OFFSET(Processes!E7,$D$11,0)</f>
        <v>Paper &amp; Pulp industry Heat Medium Temp. Boiler - Nat. Gas Existing 1</v>
      </c>
      <c r="E26" s="149" t="str">
        <f>+Processes!O7</f>
        <v>INDSNG1,INDSNG2,INDNGA</v>
      </c>
      <c r="F26" s="149" t="str">
        <f ca="1">+OFFSET(Processes!$M$12,$D$11,0) &amp; Processes!P7</f>
        <v>IRDPH</v>
      </c>
      <c r="G26" s="322">
        <f>ROUNDUP(AN26/($Z26*$AA26)*G$21*W26,3)</f>
        <v>5286.4690000000001</v>
      </c>
      <c r="H26" s="322">
        <f t="shared" ref="H26:I26" si="0">ROUNDUP(AO26/($Z26*$AA26)*H$21*X26,3)</f>
        <v>293.69299999999998</v>
      </c>
      <c r="I26" s="322">
        <f t="shared" si="0"/>
        <v>293.69299999999998</v>
      </c>
      <c r="J26" s="322">
        <f>ROUNDUP(BA26/($Z26*$AA26)*J$21*W26,3)</f>
        <v>4905.4589999999998</v>
      </c>
      <c r="K26" s="322">
        <f>ROUNDUP(BB26/($Z26*$AA26)*K$21*X26,3)</f>
        <v>272.52599999999995</v>
      </c>
      <c r="L26" s="322">
        <f>ROUNDUP(BC26/($Z26*$AA26)*L$21*Y26,3)</f>
        <v>272.52599999999995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89.69397379763096</v>
      </c>
      <c r="AH26" s="236">
        <f t="shared" ref="AH26:AH41" si="9">((J26*Z26*AA26/W26)+(K26*Z26*AA26/X26))/$J$21</f>
        <v>82.487843483532018</v>
      </c>
      <c r="AI26" s="236">
        <f t="shared" ref="AI26:AI41" si="10">((M26*AA26*Z26/W26)+(N26*Z26*AA26/X26))/$M$21</f>
        <v>0</v>
      </c>
      <c r="AJ26" s="285"/>
      <c r="AK26" s="530" t="str">
        <f ca="1">F26</f>
        <v>IRDPH</v>
      </c>
      <c r="AL26" s="350" t="s">
        <v>97</v>
      </c>
      <c r="AM26" s="313">
        <f>I77/1000</f>
        <v>94.414698000000001</v>
      </c>
      <c r="AN26" s="310">
        <f>AM26*$AN$23</f>
        <v>84.973228200000008</v>
      </c>
      <c r="AO26" s="311">
        <f>AM26*$AO$23</f>
        <v>4.7207349000000001</v>
      </c>
      <c r="AP26" s="311">
        <f>AM26*$AP$23</f>
        <v>4.7207349000000001</v>
      </c>
      <c r="AQ26" s="312">
        <f>IFERROR(G26*$Z26*$AA26/G$21,0)</f>
        <v>83.273769422577445</v>
      </c>
      <c r="AR26" s="311">
        <f>IFERROR(H26*$Z26*$AA26/H$21,0)</f>
        <v>4.6263248991008998</v>
      </c>
      <c r="AS26" s="338">
        <f>IFERROR(I26*$Z26*$AA26/I$21,0)</f>
        <v>4.6263248991008998</v>
      </c>
      <c r="AT26" s="313">
        <f t="shared" ref="AT26:AV29" si="11">IFERROR(AQ26/W26,0)</f>
        <v>84.973234104670865</v>
      </c>
      <c r="AU26" s="310">
        <f t="shared" si="11"/>
        <v>4.7207396929601018</v>
      </c>
      <c r="AV26" s="357">
        <f t="shared" si="11"/>
        <v>4.7207396929601018</v>
      </c>
      <c r="AW26" s="285"/>
      <c r="AX26" s="530" t="str">
        <f t="shared" ref="AX26:AX62" ca="1" si="12">AK26</f>
        <v>IRDPH</v>
      </c>
      <c r="AY26" s="350" t="s">
        <v>97</v>
      </c>
      <c r="AZ26" s="313">
        <f>I97/1000</f>
        <v>86.829300000000003</v>
      </c>
      <c r="BA26" s="310">
        <f>AZ26*$AN$23</f>
        <v>78.146370000000005</v>
      </c>
      <c r="BB26" s="311">
        <f>AZ26*$BB$23</f>
        <v>4.3414650000000004</v>
      </c>
      <c r="BC26" s="311">
        <f>AZ26*$BC$23</f>
        <v>4.3414650000000004</v>
      </c>
      <c r="BD26" s="313">
        <f t="shared" ref="BD26" si="13">IFERROR(J26*$Z26*AA26/J$21,0)</f>
        <v>76.583443081188122</v>
      </c>
      <c r="BE26" s="310">
        <f t="shared" ref="BE26" si="14">IFERROR(K26*$Z26*AA26/K$21,0)</f>
        <v>4.254643532673267</v>
      </c>
      <c r="BF26" s="357">
        <f>IFERROR(L26*$Z26*AA26/L$21,0)</f>
        <v>4.254643532673267</v>
      </c>
      <c r="BG26" s="313">
        <f t="shared" ref="BG26:BG35" si="15">IFERROR(BD26/W26,0)</f>
        <v>78.146370491008284</v>
      </c>
      <c r="BH26" s="310">
        <f t="shared" ref="BH26:BH35" si="16">IFERROR(BE26/X26,0)</f>
        <v>4.3414729925237419</v>
      </c>
      <c r="BI26" s="357">
        <f t="shared" ref="BI26:BI35" si="17">IFERROR(BF26/Y26,0)</f>
        <v>4.3414729925237419</v>
      </c>
      <c r="BJ26" s="285"/>
      <c r="BK26" s="530" t="str">
        <f ca="1">AK26</f>
        <v>IRDPH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INDRDPHBCOAE1</v>
      </c>
      <c r="D27" s="146" t="str">
        <f ca="1">+OFFSET(Processes!E8,$D$11,0)</f>
        <v>Paper &amp; Pulp industry Heat Medium Temp. Boiler - Coal Existing 1</v>
      </c>
      <c r="E27" s="149" t="str">
        <f>+Processes!O8</f>
        <v>INDCOA</v>
      </c>
      <c r="F27" s="149" t="str">
        <f ca="1">+OFFSET(Processes!$M$12,$D$11,0) &amp; Processes!P8</f>
        <v>IRDPH</v>
      </c>
      <c r="G27" s="322">
        <f t="shared" ref="G27:G62" si="18">ROUNDUP(AN27/($Z27*$AA27)*G$21*W27,3)</f>
        <v>847.41499999999996</v>
      </c>
      <c r="H27" s="322">
        <f t="shared" ref="H27:H62" si="19">ROUNDUP(AO27/($Z27*$AA27)*H$21*X27,3)</f>
        <v>47.079000000000001</v>
      </c>
      <c r="I27" s="322">
        <f t="shared" ref="I27:I61" si="20">ROUNDUP(AP27/($Z27*$AA27)*I$21*Y27,3)</f>
        <v>47.079000000000001</v>
      </c>
      <c r="J27" s="322">
        <f t="shared" ref="J27:J62" si="21">ROUNDUP(BA27/($Z27*$AA27)*J$21*W27,3)</f>
        <v>826.09799999999996</v>
      </c>
      <c r="K27" s="322">
        <f t="shared" ref="K27:K62" si="22">ROUNDUP(BB27/($Z27*$AA27)*K$21*X27,3)</f>
        <v>45.894999999999996</v>
      </c>
      <c r="L27" s="322">
        <f t="shared" ref="L27:L62" si="23">ROUNDUP(BC27/($Z27*$AA27)*L$21*Y27,3)</f>
        <v>45.894999999999996</v>
      </c>
      <c r="M27" s="322">
        <f t="shared" ref="M27:M62" si="24">ROUNDUP(BN27/($Z27*$AA27)*M$21*W27,3)</f>
        <v>578.40099999999995</v>
      </c>
      <c r="N27" s="322">
        <f t="shared" ref="N27:N62" si="25">ROUNDUP(BO27/($Z27*$AA27)*N$21*X27,3)</f>
        <v>32.134</v>
      </c>
      <c r="O27" s="322">
        <f t="shared" ref="O27:O62" si="26">ROUNDUP(BP27/($Z27*$AA27)*O$21*Y27,3)</f>
        <v>32.134</v>
      </c>
      <c r="P27" s="322">
        <f t="shared" si="1"/>
        <v>578.40099999999995</v>
      </c>
      <c r="Q27" s="322">
        <f t="shared" si="2"/>
        <v>32.134</v>
      </c>
      <c r="R27" s="322">
        <f t="shared" si="3"/>
        <v>32.134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15.134576907517836</v>
      </c>
      <c r="AH27" s="236">
        <f t="shared" si="9"/>
        <v>14.622396469249503</v>
      </c>
      <c r="AI27" s="236">
        <f t="shared" si="10"/>
        <v>10.238023502887346</v>
      </c>
      <c r="AJ27" s="285"/>
      <c r="AK27" s="290"/>
      <c r="AL27" s="291" t="s">
        <v>98</v>
      </c>
      <c r="AM27" s="307">
        <f>D77/1000</f>
        <v>15.931113</v>
      </c>
      <c r="AN27" s="308">
        <f>AM27*$AN$23</f>
        <v>14.3380017</v>
      </c>
      <c r="AO27" s="309">
        <f t="shared" ref="AO27:AO29" si="27">AM27*$AO$23</f>
        <v>0.79655565000000006</v>
      </c>
      <c r="AP27" s="309">
        <f>AM27*$AP$23</f>
        <v>0.79655565000000006</v>
      </c>
      <c r="AQ27" s="306">
        <f t="shared" ref="AQ27:AQ62" si="28">IFERROR(G27*$Z27*$AA27/G$21,0)</f>
        <v>13.348691028971031</v>
      </c>
      <c r="AR27" s="309">
        <f t="shared" ref="AR27:AR62" si="29">IFERROR(H27*$Z27*$AA27/H$21,0)</f>
        <v>0.74160007192807198</v>
      </c>
      <c r="AS27" s="540">
        <f t="shared" ref="AS27:AS62" si="30">IFERROR(I27*$Z27*$AA27/I$21,0)</f>
        <v>0.74160007192807198</v>
      </c>
      <c r="AT27" s="307">
        <f t="shared" si="11"/>
        <v>14.338013994598315</v>
      </c>
      <c r="AU27" s="308">
        <f t="shared" si="11"/>
        <v>0.79656291291951886</v>
      </c>
      <c r="AV27" s="353">
        <f t="shared" si="11"/>
        <v>0.79656291291951886</v>
      </c>
      <c r="AW27" s="285"/>
      <c r="AX27" s="290"/>
      <c r="AY27" s="291" t="s">
        <v>98</v>
      </c>
      <c r="AZ27" s="307">
        <f>D97/1000</f>
        <v>15.391969999999999</v>
      </c>
      <c r="BA27" s="308">
        <f>AZ27*$AN$23</f>
        <v>13.852772999999999</v>
      </c>
      <c r="BB27" s="309">
        <f t="shared" ref="BB27:BB29" si="31">AZ27*$BB$23</f>
        <v>0.76959849999999996</v>
      </c>
      <c r="BC27" s="309">
        <f t="shared" ref="BC27:BC29" si="32">AZ27*$BC$23</f>
        <v>0.76959849999999996</v>
      </c>
      <c r="BD27" s="307">
        <f t="shared" ref="BD27:BD62" si="33">IFERROR(J27*$Z27*AA27/J$21,0)</f>
        <v>12.896943825742573</v>
      </c>
      <c r="BE27" s="308">
        <f t="shared" ref="BE27:BE62" si="34">IFERROR(K27*$Z27*AA27/K$21,0)</f>
        <v>0.71650728712871292</v>
      </c>
      <c r="BF27" s="353">
        <f t="shared" ref="BF27:BF62" si="35">IFERROR(L27*$Z27*AA27/L$21,0)</f>
        <v>0.71650728712871292</v>
      </c>
      <c r="BG27" s="307">
        <f t="shared" si="15"/>
        <v>13.852786064170326</v>
      </c>
      <c r="BH27" s="308">
        <f t="shared" si="16"/>
        <v>0.76961040507917611</v>
      </c>
      <c r="BI27" s="353">
        <f t="shared" si="17"/>
        <v>0.76961040507917611</v>
      </c>
      <c r="BJ27" s="285"/>
      <c r="BK27" s="290"/>
      <c r="BL27" s="291" t="s">
        <v>98</v>
      </c>
      <c r="BM27" s="307">
        <f>D117/1000</f>
        <v>10.77685</v>
      </c>
      <c r="BN27" s="308">
        <f>BM27*$AN$23</f>
        <v>9.6991650000000007</v>
      </c>
      <c r="BO27" s="309">
        <f t="shared" ref="BO27:BO29" si="36">BM27*$BB$23</f>
        <v>0.5388425</v>
      </c>
      <c r="BP27" s="309">
        <f t="shared" ref="BP27:BP29" si="37">BM27*$BC$23</f>
        <v>0.5388425</v>
      </c>
      <c r="BQ27" s="307">
        <f t="shared" ref="BQ27:BQ62" si="38">IFERROR(M27*$Z27*$AA27/M$21,0)</f>
        <v>9.0299276910891084</v>
      </c>
      <c r="BR27" s="308">
        <f t="shared" ref="BR27:BR62" si="39">IFERROR(N27*$Z27*$AA27/N$21,0)</f>
        <v>0.50167219009900987</v>
      </c>
      <c r="BS27" s="353">
        <f t="shared" ref="BS27:BS62" si="40">IFERROR(O27*$Z27*$AA27/O$21,0)</f>
        <v>0.50167219009900987</v>
      </c>
      <c r="BT27" s="307">
        <f t="shared" ref="BT27:BT35" si="41">IFERROR(BQ27/W27,0)</f>
        <v>9.699170452297647</v>
      </c>
      <c r="BU27" s="308">
        <f t="shared" ref="BU27:BU35" si="42">IFERROR(BR27/X27,0)</f>
        <v>0.53885305058969912</v>
      </c>
      <c r="BV27" s="353">
        <f t="shared" ref="BV27:BV35" si="43">IFERROR(BS27/Y27,0)</f>
        <v>0.53885305058969912</v>
      </c>
      <c r="BW27" s="285"/>
      <c r="BX27" s="285"/>
      <c r="BY27" s="285"/>
    </row>
    <row r="28" spans="3:77" ht="12.75" customHeight="1">
      <c r="C28" s="146" t="str">
        <f ca="1">+IF(OFFSET(Processes!B9,$D$11,0)="*","*",OFFSET(Processes!D9,$D$11,0))</f>
        <v>INDRDPHBDSLE1</v>
      </c>
      <c r="D28" s="146" t="str">
        <f ca="1">+OFFSET(Processes!E9,$D$11,0)</f>
        <v>Paper &amp; Pulp industry Heat Medium Temp. Boiler - Diesel Existing 1</v>
      </c>
      <c r="E28" s="149" t="str">
        <f>+Processes!O9</f>
        <v>INDDSB1,INDDSB2,INDDSL</v>
      </c>
      <c r="F28" s="149" t="str">
        <f ca="1">+OFFSET(Processes!$M$12,$D$11,0) &amp; Processes!P9</f>
        <v>IRDPH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INDRDPHBWPEE1</v>
      </c>
      <c r="D29" s="146" t="str">
        <f ca="1">+OFFSET(Processes!E10,$D$11,0)</f>
        <v>Paper &amp; Pulp industry Heat Medium Temp. Boiler - Wood Pellets Existing 1</v>
      </c>
      <c r="E29" s="149" t="str">
        <f>+Processes!O10</f>
        <v>INDWPE</v>
      </c>
      <c r="F29" s="149" t="str">
        <f ca="1">+OFFSET(Processes!$M$12,$D$11,0) &amp; Processes!P10</f>
        <v>IRDPH</v>
      </c>
      <c r="G29" s="321">
        <f t="shared" si="18"/>
        <v>1889.8789999999999</v>
      </c>
      <c r="H29" s="321">
        <f t="shared" si="19"/>
        <v>104.994</v>
      </c>
      <c r="I29" s="321">
        <f t="shared" si="20"/>
        <v>104.994</v>
      </c>
      <c r="J29" s="321">
        <f t="shared" si="21"/>
        <v>1082.06</v>
      </c>
      <c r="K29" s="321">
        <f t="shared" si="22"/>
        <v>60.114999999999995</v>
      </c>
      <c r="L29" s="321">
        <f t="shared" si="23"/>
        <v>60.114999999999995</v>
      </c>
      <c r="M29" s="321">
        <f t="shared" si="24"/>
        <v>64.349000000000004</v>
      </c>
      <c r="N29" s="321">
        <f t="shared" si="25"/>
        <v>3.5749999999999997</v>
      </c>
      <c r="O29" s="321">
        <f t="shared" si="26"/>
        <v>3.5749999999999997</v>
      </c>
      <c r="P29" s="321">
        <f t="shared" si="1"/>
        <v>64.349000000000004</v>
      </c>
      <c r="Q29" s="321">
        <f t="shared" si="2"/>
        <v>3.5749999999999997</v>
      </c>
      <c r="R29" s="321">
        <f t="shared" si="3"/>
        <v>3.5749999999999997</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37.723569904285398</v>
      </c>
      <c r="AH29" s="236">
        <f t="shared" si="9"/>
        <v>21.406363020455707</v>
      </c>
      <c r="AI29" s="236">
        <f t="shared" si="10"/>
        <v>1.2730149073490784</v>
      </c>
      <c r="AJ29" s="285"/>
      <c r="AK29" s="290"/>
      <c r="AL29" s="559" t="s">
        <v>99</v>
      </c>
      <c r="AM29" s="560">
        <f>K77/1000</f>
        <v>39.709000000000003</v>
      </c>
      <c r="AN29" s="561">
        <f>AM29*$AN$23</f>
        <v>35.738100000000003</v>
      </c>
      <c r="AO29" s="562">
        <f t="shared" si="27"/>
        <v>1.9854500000000002</v>
      </c>
      <c r="AP29" s="562">
        <f>AM29*$AP$23</f>
        <v>1.9854500000000002</v>
      </c>
      <c r="AQ29" s="582">
        <f t="shared" si="28"/>
        <v>29.76984222977023</v>
      </c>
      <c r="AR29" s="562">
        <f t="shared" si="29"/>
        <v>1.6538915004995007</v>
      </c>
      <c r="AS29" s="563">
        <f t="shared" si="30"/>
        <v>1.6538915004995007</v>
      </c>
      <c r="AT29" s="560">
        <f t="shared" si="11"/>
        <v>35.738105918091513</v>
      </c>
      <c r="AU29" s="561">
        <f t="shared" si="11"/>
        <v>1.9854639861938785</v>
      </c>
      <c r="AV29" s="566">
        <f t="shared" si="11"/>
        <v>1.9854639861938785</v>
      </c>
      <c r="AW29" s="285"/>
      <c r="AX29" s="290"/>
      <c r="AY29" s="559" t="s">
        <v>99</v>
      </c>
      <c r="AZ29" s="560">
        <f>K97/1000</f>
        <v>22.533000000000001</v>
      </c>
      <c r="BA29" s="561">
        <f>AZ29*$AN$23</f>
        <v>20.279700000000002</v>
      </c>
      <c r="BB29" s="562">
        <f t="shared" si="31"/>
        <v>1.1266500000000002</v>
      </c>
      <c r="BC29" s="562">
        <f t="shared" si="32"/>
        <v>1.1266500000000002</v>
      </c>
      <c r="BD29" s="560">
        <f t="shared" si="33"/>
        <v>16.89299215841584</v>
      </c>
      <c r="BE29" s="561">
        <f t="shared" si="34"/>
        <v>0.93850823762376234</v>
      </c>
      <c r="BF29" s="566">
        <f t="shared" si="35"/>
        <v>0.93850823762376234</v>
      </c>
      <c r="BG29" s="560">
        <f t="shared" si="15"/>
        <v>20.279702471087443</v>
      </c>
      <c r="BH29" s="561">
        <f t="shared" si="16"/>
        <v>1.1266605493682622</v>
      </c>
      <c r="BI29" s="566">
        <f t="shared" si="17"/>
        <v>1.1266605493682622</v>
      </c>
      <c r="BJ29" s="285"/>
      <c r="BK29" s="290"/>
      <c r="BL29" s="559" t="s">
        <v>99</v>
      </c>
      <c r="BM29" s="560">
        <f>K117/1000</f>
        <v>1.34</v>
      </c>
      <c r="BN29" s="561">
        <f>BM29*$AN$23</f>
        <v>1.2060000000000002</v>
      </c>
      <c r="BO29" s="562">
        <f t="shared" si="36"/>
        <v>6.7000000000000004E-2</v>
      </c>
      <c r="BP29" s="562">
        <f t="shared" si="37"/>
        <v>6.7000000000000004E-2</v>
      </c>
      <c r="BQ29" s="560">
        <f t="shared" si="38"/>
        <v>1.0046089425742575</v>
      </c>
      <c r="BR29" s="561">
        <f t="shared" si="39"/>
        <v>5.5812475247524751E-2</v>
      </c>
      <c r="BS29" s="566">
        <f t="shared" si="40"/>
        <v>5.5812475247524751E-2</v>
      </c>
      <c r="BT29" s="560">
        <f t="shared" si="41"/>
        <v>1.2060131363436466</v>
      </c>
      <c r="BU29" s="561">
        <f t="shared" si="42"/>
        <v>6.7001771005431879E-2</v>
      </c>
      <c r="BV29" s="566">
        <f t="shared" si="43"/>
        <v>6.7001771005431879E-2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INDRDPHBBGAE1</v>
      </c>
      <c r="D31" s="146" t="str">
        <f ca="1">+OFFSET(Processes!E12,$D$11,0)</f>
        <v>Paper &amp; Pulp industry Heat Medium Temp. Boiler - Biogas Existing 1</v>
      </c>
      <c r="E31" s="149" t="str">
        <f>+Processes!O12</f>
        <v>INDBGA</v>
      </c>
      <c r="F31" s="172" t="str">
        <f ca="1">+OFFSET(Processes!$M$12,$D$11,0) &amp; Processes!P12</f>
        <v>IRDPH</v>
      </c>
      <c r="G31" s="322">
        <f t="shared" si="18"/>
        <v>52.800999999999995</v>
      </c>
      <c r="H31" s="322">
        <f t="shared" si="19"/>
        <v>2.9339999999999997</v>
      </c>
      <c r="I31" s="322">
        <f t="shared" si="20"/>
        <v>2.9339999999999997</v>
      </c>
      <c r="J31" s="322" t="e">
        <f t="shared" si="21"/>
        <v>#REF!</v>
      </c>
      <c r="K31" s="322" t="e">
        <f t="shared" si="22"/>
        <v>#REF!</v>
      </c>
      <c r="L31" s="322" t="e">
        <f t="shared" si="23"/>
        <v>#REF!</v>
      </c>
      <c r="M31" s="322">
        <f t="shared" si="24"/>
        <v>4434.2910000000002</v>
      </c>
      <c r="N31" s="322">
        <f t="shared" si="25"/>
        <v>246.35</v>
      </c>
      <c r="O31" s="322">
        <f t="shared" si="26"/>
        <v>246.35</v>
      </c>
      <c r="P31" s="322">
        <f t="shared" si="1"/>
        <v>4434.2910000000002</v>
      </c>
      <c r="Q31" s="322">
        <f t="shared" si="2"/>
        <v>246.35</v>
      </c>
      <c r="R31" s="322">
        <f t="shared" si="3"/>
        <v>246.35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0.89586890660360052</v>
      </c>
      <c r="AH31" s="236" t="e">
        <f t="shared" si="9"/>
        <v>#REF!</v>
      </c>
      <c r="AI31" s="236">
        <f t="shared" si="10"/>
        <v>74.564909363507795</v>
      </c>
      <c r="AJ31" s="285"/>
      <c r="AK31" s="290"/>
      <c r="AL31" s="559" t="s">
        <v>100</v>
      </c>
      <c r="AM31" s="560">
        <f>J77/1000</f>
        <v>0.94299999999999995</v>
      </c>
      <c r="AN31" s="561">
        <f t="shared" ref="AN31:AN41" si="47">AM31*$AN$23</f>
        <v>0.84870000000000001</v>
      </c>
      <c r="AO31" s="562">
        <f t="shared" ref="AO31:AO33" si="48">AM31*$AO$23</f>
        <v>4.7149999999999997E-2</v>
      </c>
      <c r="AP31" s="562">
        <f t="shared" ref="AP31:AP37" si="49">AM31*$AP$23</f>
        <v>4.7149999999999997E-2</v>
      </c>
      <c r="AQ31" s="582">
        <f t="shared" si="28"/>
        <v>0.83173443356643362</v>
      </c>
      <c r="AR31" s="562">
        <f t="shared" si="29"/>
        <v>4.6217094905094909E-2</v>
      </c>
      <c r="AS31" s="563">
        <f>IFERROR(I31*$Z31*$AA31/I$21,0)</f>
        <v>4.6217094905094909E-2</v>
      </c>
      <c r="AT31" s="560">
        <f t="shared" ref="AT31:AV34" si="50">IFERROR(AQ31/W31,0)</f>
        <v>0.84870860568003437</v>
      </c>
      <c r="AU31" s="561">
        <f t="shared" si="50"/>
        <v>4.7160300923566233E-2</v>
      </c>
      <c r="AV31" s="566">
        <f t="shared" si="50"/>
        <v>4.7160300923566233E-2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78.489356999999998</v>
      </c>
      <c r="BN31" s="561">
        <f>BM31*$AN$23</f>
        <v>70.6404213</v>
      </c>
      <c r="BO31" s="562">
        <f>BM31*$BB$23</f>
        <v>3.9244678500000001</v>
      </c>
      <c r="BP31" s="562">
        <f>BM31*$BC$23</f>
        <v>3.9244678500000001</v>
      </c>
      <c r="BQ31" s="560">
        <f t="shared" si="38"/>
        <v>69.227624245544561</v>
      </c>
      <c r="BR31" s="561">
        <f t="shared" si="39"/>
        <v>3.8459869306930692</v>
      </c>
      <c r="BS31" s="566">
        <f t="shared" si="40"/>
        <v>3.8459869306930692</v>
      </c>
      <c r="BT31" s="560">
        <f t="shared" si="41"/>
        <v>70.640432903616897</v>
      </c>
      <c r="BU31" s="561">
        <f t="shared" si="42"/>
        <v>3.924476459890887</v>
      </c>
      <c r="BV31" s="566">
        <f t="shared" si="43"/>
        <v>3.924476459890887</v>
      </c>
      <c r="BW31" s="285"/>
      <c r="BX31" s="285"/>
      <c r="BY31" s="285"/>
    </row>
    <row r="32" spans="3:77" ht="12.75" customHeight="1">
      <c r="C32" s="146" t="str">
        <f ca="1">+IF(OFFSET(Processes!B13,$D$11,0)="*","*",OFFSET(Processes!D13,$D$11,0))</f>
        <v>INDRDPHBHFOE1</v>
      </c>
      <c r="D32" s="146" t="str">
        <f ca="1">+OFFSET(Processes!E13,$D$11,0)</f>
        <v>Paper &amp; Pulp industry Heat Medium Temp. Boiler - Heavy Fuel Oil Existing 1</v>
      </c>
      <c r="E32" s="149" t="str">
        <f>+Processes!O13</f>
        <v>INDHFO</v>
      </c>
      <c r="F32" s="172" t="str">
        <f ca="1">+OFFSET(Processes!$M$12,$D$11,0) &amp; Processes!P13</f>
        <v>IRDPH</v>
      </c>
      <c r="G32" s="322">
        <f t="shared" si="18"/>
        <v>42.924999999999997</v>
      </c>
      <c r="H32" s="322">
        <f t="shared" si="19"/>
        <v>2.3849999999999998</v>
      </c>
      <c r="I32" s="322">
        <f t="shared" si="20"/>
        <v>2.3849999999999998</v>
      </c>
      <c r="J32" s="322">
        <f t="shared" si="21"/>
        <v>19.677</v>
      </c>
      <c r="K32" s="322">
        <f t="shared" si="22"/>
        <v>1.0939999999999999</v>
      </c>
      <c r="L32" s="322">
        <f t="shared" si="23"/>
        <v>1.0939999999999999</v>
      </c>
      <c r="M32" s="322">
        <f t="shared" si="24"/>
        <v>21.653000000000002</v>
      </c>
      <c r="N32" s="322">
        <f t="shared" si="25"/>
        <v>1.2029999999999998</v>
      </c>
      <c r="O32" s="322">
        <f t="shared" si="26"/>
        <v>1.2029999999999998</v>
      </c>
      <c r="P32" s="322">
        <f t="shared" si="1"/>
        <v>21.653000000000002</v>
      </c>
      <c r="Q32" s="322">
        <f t="shared" si="2"/>
        <v>1.2029999999999998</v>
      </c>
      <c r="R32" s="322">
        <f t="shared" si="3"/>
        <v>1.2029999999999998</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0.7666319502194906</v>
      </c>
      <c r="AH32" s="236">
        <f t="shared" si="9"/>
        <v>0.34830760919271309</v>
      </c>
      <c r="AI32" s="236">
        <f t="shared" si="10"/>
        <v>0.38327084472142176</v>
      </c>
      <c r="AJ32" s="285"/>
      <c r="AK32" s="290"/>
      <c r="AL32" s="559" t="s">
        <v>101</v>
      </c>
      <c r="AM32" s="560">
        <f>E77/1000</f>
        <v>0.80696000000000001</v>
      </c>
      <c r="AN32" s="561">
        <f t="shared" si="47"/>
        <v>0.72626400000000002</v>
      </c>
      <c r="AO32" s="562">
        <f>AM32*$AO$23</f>
        <v>4.0348000000000002E-2</v>
      </c>
      <c r="AP32" s="562">
        <f t="shared" si="49"/>
        <v>4.0348000000000002E-2</v>
      </c>
      <c r="AQ32" s="582">
        <f t="shared" si="28"/>
        <v>0.67616523476523482</v>
      </c>
      <c r="AR32" s="562">
        <f t="shared" si="29"/>
        <v>3.7569110889110892E-2</v>
      </c>
      <c r="AS32" s="563">
        <f t="shared" si="30"/>
        <v>3.7569110889110892E-2</v>
      </c>
      <c r="AT32" s="560">
        <f t="shared" si="50"/>
        <v>0.72627844765331351</v>
      </c>
      <c r="AU32" s="561">
        <f t="shared" si="50"/>
        <v>4.0353502566177119E-2</v>
      </c>
      <c r="AV32" s="566">
        <f t="shared" si="50"/>
        <v>4.0353502566177119E-2</v>
      </c>
      <c r="AW32" s="285"/>
      <c r="AX32" s="290"/>
      <c r="AY32" s="559" t="s">
        <v>101</v>
      </c>
      <c r="AZ32" s="560">
        <f>E97/1000</f>
        <v>0.36661500000000002</v>
      </c>
      <c r="BA32" s="561">
        <f>AZ32*$AN$23</f>
        <v>0.32995350000000001</v>
      </c>
      <c r="BB32" s="562">
        <f t="shared" ref="BB32:BB34" si="51">AZ32*$BB$23</f>
        <v>1.8330750000000003E-2</v>
      </c>
      <c r="BC32" s="562">
        <f t="shared" ref="BC32:BC34" si="52">AZ32*$BC$23</f>
        <v>1.8330750000000003E-2</v>
      </c>
      <c r="BD32" s="560">
        <f>IFERROR(J32*$Z32*AA32/J$21,0)</f>
        <v>0.30719498613861385</v>
      </c>
      <c r="BE32" s="561">
        <f t="shared" si="34"/>
        <v>1.7079398019801979E-2</v>
      </c>
      <c r="BF32" s="566">
        <f t="shared" si="35"/>
        <v>1.7079398019801979E-2</v>
      </c>
      <c r="BG32" s="560">
        <f t="shared" si="15"/>
        <v>0.32996239112633069</v>
      </c>
      <c r="BH32" s="561">
        <f t="shared" si="16"/>
        <v>1.8345218066382361E-2</v>
      </c>
      <c r="BI32" s="566">
        <f t="shared" si="17"/>
        <v>1.8345218066382361E-2</v>
      </c>
      <c r="BJ32" s="285"/>
      <c r="BK32" s="290"/>
      <c r="BL32" s="559" t="s">
        <v>101</v>
      </c>
      <c r="BM32" s="560">
        <f>E117/1000</f>
        <v>0.40343000000000001</v>
      </c>
      <c r="BN32" s="561">
        <f>BM32*$AN$23</f>
        <v>0.36308699999999999</v>
      </c>
      <c r="BO32" s="562">
        <f t="shared" ref="BO32:BO62" si="53">BM32*$BB$23</f>
        <v>2.0171500000000002E-2</v>
      </c>
      <c r="BP32" s="562">
        <f t="shared" ref="BP32:BP62" si="54">BM32*$BC$23</f>
        <v>2.0171500000000002E-2</v>
      </c>
      <c r="BQ32" s="560">
        <f t="shared" si="38"/>
        <v>0.33804406336633669</v>
      </c>
      <c r="BR32" s="561">
        <f t="shared" si="39"/>
        <v>1.878109306930693E-2</v>
      </c>
      <c r="BS32" s="566">
        <f t="shared" si="40"/>
        <v>1.878109306930693E-2</v>
      </c>
      <c r="BT32" s="560">
        <f t="shared" si="41"/>
        <v>0.36309781242356254</v>
      </c>
      <c r="BU32" s="561">
        <f t="shared" si="42"/>
        <v>2.0173032297859217E-2</v>
      </c>
      <c r="BV32" s="566">
        <f t="shared" si="43"/>
        <v>2.0173032297859217E-2</v>
      </c>
      <c r="BW32" s="285"/>
      <c r="BX32" s="285"/>
      <c r="BY32" s="285"/>
    </row>
    <row r="33" spans="3:77" ht="12.75" customHeight="1">
      <c r="C33" s="146" t="str">
        <f ca="1">+IF(OFFSET(Processes!B14,$D$11,0)="*","*",OFFSET(Processes!D14,$D$11,0))</f>
        <v>INDRDPHBLPGE1</v>
      </c>
      <c r="D33" s="146" t="str">
        <f ca="1">+OFFSET(Processes!E14,$D$11,0)</f>
        <v>Paper &amp; Pulp industry Heat Medium Temp. Boiler - Liquified Petroleum Gas Existing 1</v>
      </c>
      <c r="E33" s="149" t="str">
        <f>+Processes!O14</f>
        <v>INDLPG</v>
      </c>
      <c r="F33" s="172" t="str">
        <f ca="1">+OFFSET(Processes!$M$12,$D$11,0) &amp; Processes!P14</f>
        <v>IRDPH</v>
      </c>
      <c r="G33" s="322">
        <f t="shared" si="18"/>
        <v>5.1550000000000002</v>
      </c>
      <c r="H33" s="322">
        <f t="shared" si="19"/>
        <v>0.28699999999999998</v>
      </c>
      <c r="I33" s="322">
        <f t="shared" si="20"/>
        <v>0.28699999999999998</v>
      </c>
      <c r="J33" s="322">
        <f t="shared" si="21"/>
        <v>9.6120000000000001</v>
      </c>
      <c r="K33" s="322">
        <f t="shared" si="22"/>
        <v>0.53400000000000003</v>
      </c>
      <c r="L33" s="322">
        <f t="shared" si="23"/>
        <v>0.53400000000000003</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8.747319619156356E-2</v>
      </c>
      <c r="AH33" s="236">
        <f t="shared" si="9"/>
        <v>0.16163076177005459</v>
      </c>
      <c r="AI33" s="236" t="e">
        <f t="shared" si="10"/>
        <v>#REF!</v>
      </c>
      <c r="AJ33" s="285"/>
      <c r="AK33" s="290"/>
      <c r="AL33" s="559" t="s">
        <v>53</v>
      </c>
      <c r="AM33" s="560">
        <f>H77/1000</f>
        <v>9.2061999999999991E-2</v>
      </c>
      <c r="AN33" s="561">
        <f t="shared" si="47"/>
        <v>8.2855799999999993E-2</v>
      </c>
      <c r="AO33" s="562">
        <f t="shared" si="48"/>
        <v>4.6030999999999997E-3</v>
      </c>
      <c r="AP33" s="562">
        <f t="shared" si="49"/>
        <v>4.6030999999999997E-3</v>
      </c>
      <c r="AQ33" s="582">
        <f t="shared" si="28"/>
        <v>8.1202837162837174E-2</v>
      </c>
      <c r="AR33" s="562">
        <f t="shared" si="29"/>
        <v>4.5208951048951052E-3</v>
      </c>
      <c r="AS33" s="563">
        <f t="shared" si="30"/>
        <v>4.5208951048951052E-3</v>
      </c>
      <c r="AT33" s="560">
        <f t="shared" si="50"/>
        <v>8.2860037921262425E-2</v>
      </c>
      <c r="AU33" s="561">
        <f t="shared" si="50"/>
        <v>4.6131582703011279E-3</v>
      </c>
      <c r="AV33" s="566">
        <f t="shared" si="50"/>
        <v>4.6131582703011279E-3</v>
      </c>
      <c r="AW33" s="285"/>
      <c r="AX33" s="290"/>
      <c r="AY33" s="559" t="s">
        <v>53</v>
      </c>
      <c r="AZ33" s="560">
        <f>H97/1000</f>
        <v>0.17012250000000001</v>
      </c>
      <c r="BA33" s="561">
        <f>AZ33*$AN$23</f>
        <v>0.15311025</v>
      </c>
      <c r="BB33" s="562">
        <f t="shared" si="51"/>
        <v>8.5061250000000015E-3</v>
      </c>
      <c r="BC33" s="562">
        <f t="shared" si="52"/>
        <v>8.5061250000000015E-3</v>
      </c>
      <c r="BD33" s="560">
        <f t="shared" si="33"/>
        <v>0.15006140198019804</v>
      </c>
      <c r="BE33" s="561">
        <f t="shared" si="34"/>
        <v>8.3367445544554452E-3</v>
      </c>
      <c r="BF33" s="566">
        <f t="shared" si="35"/>
        <v>8.3367445544554452E-3</v>
      </c>
      <c r="BG33" s="560">
        <f t="shared" si="15"/>
        <v>0.15312387957163065</v>
      </c>
      <c r="BH33" s="561">
        <f t="shared" si="16"/>
        <v>8.5068821984239235E-3</v>
      </c>
      <c r="BI33" s="566">
        <f t="shared" si="17"/>
        <v>8.5068821984239235E-3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INDRDPHBWSTE1</v>
      </c>
      <c r="D34" s="146" t="str">
        <f ca="1">+OFFSET(Processes!E15,$D$11,0)</f>
        <v>Paper &amp; Pulp industry Heat Medium Temp. Boiler - Waste Existing 1</v>
      </c>
      <c r="E34" s="149" t="str">
        <f>+Processes!O15</f>
        <v>INDWST</v>
      </c>
      <c r="F34" s="172" t="str">
        <f ca="1">+OFFSET(Processes!$M$12,$D$11,0) &amp; Processes!P15</f>
        <v>IRDPH</v>
      </c>
      <c r="G34" s="322">
        <f t="shared" si="18"/>
        <v>113.51300000000001</v>
      </c>
      <c r="H34" s="322">
        <f t="shared" si="19"/>
        <v>6.3070000000000004</v>
      </c>
      <c r="I34" s="322">
        <f t="shared" si="20"/>
        <v>6.3070000000000004</v>
      </c>
      <c r="J34" s="322">
        <f t="shared" si="21"/>
        <v>294.22299999999996</v>
      </c>
      <c r="K34" s="322">
        <f t="shared" si="22"/>
        <v>16.346</v>
      </c>
      <c r="L34" s="322">
        <f t="shared" si="23"/>
        <v>16.346</v>
      </c>
      <c r="M34" s="322">
        <f t="shared" si="24"/>
        <v>1130.519</v>
      </c>
      <c r="N34" s="322">
        <f t="shared" si="25"/>
        <v>62.806999999999995</v>
      </c>
      <c r="O34" s="322">
        <f t="shared" si="26"/>
        <v>62.806999999999995</v>
      </c>
      <c r="P34" s="322">
        <f t="shared" si="1"/>
        <v>1130.519</v>
      </c>
      <c r="Q34" s="322">
        <f t="shared" si="2"/>
        <v>62.806999999999995</v>
      </c>
      <c r="R34" s="322">
        <f t="shared" si="3"/>
        <v>62.806999999999995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2.0273193616265588</v>
      </c>
      <c r="AH34" s="236">
        <f t="shared" si="9"/>
        <v>5.2079122757388525</v>
      </c>
      <c r="AI34" s="236">
        <f t="shared" si="10"/>
        <v>20.010809592581172</v>
      </c>
      <c r="AJ34" s="285"/>
      <c r="AK34" s="290"/>
      <c r="AL34" s="559" t="s">
        <v>102</v>
      </c>
      <c r="AM34" s="560">
        <f>$L77/1000</f>
        <v>2.1339999999999999</v>
      </c>
      <c r="AN34" s="561">
        <f t="shared" si="47"/>
        <v>1.9205999999999999</v>
      </c>
      <c r="AO34" s="562">
        <f t="shared" ref="AO34" si="55">AM34*$AO$23</f>
        <v>0.1067</v>
      </c>
      <c r="AP34" s="562">
        <f t="shared" si="49"/>
        <v>0.1067</v>
      </c>
      <c r="AQ34" s="582">
        <f t="shared" si="28"/>
        <v>1.7880848991008995</v>
      </c>
      <c r="AR34" s="562">
        <f t="shared" si="29"/>
        <v>9.9349426573426602E-2</v>
      </c>
      <c r="AS34" s="563">
        <f t="shared" si="30"/>
        <v>9.9349426573426602E-2</v>
      </c>
      <c r="AT34" s="560">
        <f t="shared" si="50"/>
        <v>1.9206067659515571</v>
      </c>
      <c r="AU34" s="561">
        <f t="shared" si="50"/>
        <v>0.10671259567500173</v>
      </c>
      <c r="AV34" s="566">
        <f t="shared" si="50"/>
        <v>0.10671259567500173</v>
      </c>
      <c r="AW34" s="285"/>
      <c r="AX34" s="290"/>
      <c r="AY34" s="559" t="s">
        <v>102</v>
      </c>
      <c r="AZ34" s="560">
        <f>$L97/1000</f>
        <v>5.4820000000000002</v>
      </c>
      <c r="BA34" s="561">
        <f>AZ34*$AN$23</f>
        <v>4.9338000000000006</v>
      </c>
      <c r="BB34" s="562">
        <f t="shared" si="51"/>
        <v>0.27410000000000001</v>
      </c>
      <c r="BC34" s="562">
        <f t="shared" si="52"/>
        <v>0.27410000000000001</v>
      </c>
      <c r="BD34" s="560">
        <f t="shared" si="33"/>
        <v>4.5933745188118804</v>
      </c>
      <c r="BE34" s="561">
        <f t="shared" si="34"/>
        <v>0.25519180990099011</v>
      </c>
      <c r="BF34" s="566">
        <f t="shared" si="35"/>
        <v>0.25519180990099011</v>
      </c>
      <c r="BG34" s="560">
        <f t="shared" si="15"/>
        <v>4.9338072167689377</v>
      </c>
      <c r="BH34" s="561">
        <f t="shared" si="16"/>
        <v>0.27410505896991422</v>
      </c>
      <c r="BI34" s="566">
        <f t="shared" si="17"/>
        <v>0.27410505896991422</v>
      </c>
      <c r="BJ34" s="285"/>
      <c r="BK34" s="290"/>
      <c r="BL34" s="559" t="s">
        <v>102</v>
      </c>
      <c r="BM34" s="560">
        <f>$L117/1000</f>
        <v>21.064</v>
      </c>
      <c r="BN34" s="561">
        <f>BM34*$AN$23</f>
        <v>18.957599999999999</v>
      </c>
      <c r="BO34" s="562">
        <f t="shared" si="53"/>
        <v>1.0532000000000001</v>
      </c>
      <c r="BP34" s="562">
        <f t="shared" si="54"/>
        <v>1.0532000000000001</v>
      </c>
      <c r="BQ34" s="560">
        <f t="shared" si="38"/>
        <v>17.649528308910892</v>
      </c>
      <c r="BR34" s="561">
        <f t="shared" si="39"/>
        <v>0.98053542178217812</v>
      </c>
      <c r="BS34" s="566">
        <f t="shared" si="40"/>
        <v>0.98053542178217812</v>
      </c>
      <c r="BT34" s="560">
        <f t="shared" si="41"/>
        <v>18.957602909678723</v>
      </c>
      <c r="BU34" s="561">
        <f t="shared" si="42"/>
        <v>1.0532066829024471</v>
      </c>
      <c r="BV34" s="566">
        <f t="shared" si="43"/>
        <v>1.0532066829024471</v>
      </c>
      <c r="BW34" s="285"/>
      <c r="BX34" s="285"/>
      <c r="BY34" s="285"/>
    </row>
    <row r="35" spans="3:77" ht="12.75" customHeight="1">
      <c r="C35" s="173" t="str">
        <f ca="1">+IF(OFFSET(Processes!B16,$D$11,0)="*","*",OFFSET(Processes!D16,$D$11,0))</f>
        <v>INDRDPHBHETE1</v>
      </c>
      <c r="D35" s="146" t="str">
        <f ca="1">+OFFSET(Processes!E16,$D$11,0)</f>
        <v>Paper &amp; Pulp industry Heat Medium Temp. Boiler - Dist. Heat Existing 1</v>
      </c>
      <c r="E35" s="149" t="str">
        <f>+Processes!O16</f>
        <v>INDHCE</v>
      </c>
      <c r="F35" s="172" t="str">
        <f ca="1">+OFFSET(Processes!$M$12,$D$11,0) &amp; Processes!P16</f>
        <v>IRDPH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INDRDPHBHETE2</v>
      </c>
      <c r="D36" s="146" t="str">
        <f ca="1">+OFFSET(Processes!E17,$D$11,0)</f>
        <v>Paper &amp; Pulp industry Heat Medium Temp. Boiler - Dist. Heat Existing 2</v>
      </c>
      <c r="E36" s="149" t="str">
        <f>+Processes!O17</f>
        <v>INDHDE</v>
      </c>
      <c r="F36" s="172" t="str">
        <f ca="1">+OFFSET(Processes!$M$12,$D$11,0) &amp; Processes!P17</f>
        <v>IRDPH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INDRDPHBELCE1</v>
      </c>
      <c r="D37" s="148" t="str">
        <f ca="1">+OFFSET(Processes!E18,$D$11,0)</f>
        <v>Paper &amp; Pulp industry Heat Medium Temp. Boiler - Electricity Existing 1</v>
      </c>
      <c r="E37" s="174" t="str">
        <f>+Processes!O18</f>
        <v>INDELC</v>
      </c>
      <c r="F37" s="174" t="str">
        <f ca="1">+OFFSET(Processes!$M$12,$D$11,0) &amp; Processes!P18</f>
        <v>IRDPH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INDRDCOBNGAE1</v>
      </c>
      <c r="D38" s="173" t="str">
        <f ca="1">+OFFSET(Processes!E19,$D$11,0)</f>
        <v>Paper &amp; Pulp industry Heat High Temp. Boiler - Nat. Gas Existing 1</v>
      </c>
      <c r="E38" s="172" t="str">
        <f>+Processes!O19</f>
        <v>INDSNG1,INDSNG2,INDNGA</v>
      </c>
      <c r="F38" s="172" t="str">
        <f ca="1">+OFFSET(Processes!$M$12,$D$11,0) &amp; Processes!P19</f>
        <v>IRDCO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IRDCO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IRDCO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IRDCO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INDRDCOBCOAE1</v>
      </c>
      <c r="D39" s="173" t="str">
        <f ca="1">+OFFSET(Processes!E20,$D$11,0)</f>
        <v>Paper &amp; Pulp industry Heat High Temp. Boiler - Coal Existing 1</v>
      </c>
      <c r="E39" s="172" t="str">
        <f>+Processes!O20</f>
        <v>INDCOA</v>
      </c>
      <c r="F39" s="172" t="str">
        <f ca="1">+OFFSET(Processes!$M$12,$D$11,0) &amp; Processes!P20</f>
        <v>IRDCO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INDRDCOBDSLE1</v>
      </c>
      <c r="D40" s="173" t="str">
        <f ca="1">+OFFSET(Processes!E21,$D$11,0)</f>
        <v>Paper &amp; Pulp industry Heat High Temp. Boiler - Diesel Existing 1</v>
      </c>
      <c r="E40" s="172" t="str">
        <f>+Processes!O21</f>
        <v>INDDSB1,INDDSB2,INDDSL</v>
      </c>
      <c r="F40" s="172" t="str">
        <f ca="1">+OFFSET(Processes!$M$12,$D$11,0) &amp; Processes!P21</f>
        <v>IRDCO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INDRDCOBWPEE1</v>
      </c>
      <c r="D41" s="173" t="str">
        <f ca="1">+OFFSET(Processes!E22,$D$11,0)</f>
        <v>Paper &amp; Pulp industry Heat High Temp. Boiler - Wood Pellets Existing 1</v>
      </c>
      <c r="E41" s="172" t="str">
        <f>+Processes!O22</f>
        <v>INDWPE</v>
      </c>
      <c r="F41" s="172" t="str">
        <f ca="1">+OFFSET(Processes!$M$12,$D$11,0) &amp; Processes!P22</f>
        <v>IRDCO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t="str">
        <f ca="1">+IF(OFFSET(Processes!B22,$D$11,0)="*","*",OFFSET(Processes!D22,$D$11,0))</f>
        <v>INDRDCOBWPEE1</v>
      </c>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INDRDCOBHFOE1</v>
      </c>
      <c r="D43" s="173" t="str">
        <f ca="1">+OFFSET(Processes!E24,$D$11,0)</f>
        <v>Paper &amp; Pulp industry Heat High Temp. Boiler - Heavy Fuel Oil Existing 1</v>
      </c>
      <c r="E43" s="172" t="str">
        <f>+Processes!O24</f>
        <v>INDHFO</v>
      </c>
      <c r="F43" s="172" t="str">
        <f ca="1">+OFFSET(Processes!$M$12,$D$11,0) &amp; Processes!P24</f>
        <v>IRDCO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INDRDCOBLPGE1</v>
      </c>
      <c r="D44" s="173" t="str">
        <f ca="1">+OFFSET(Processes!E25,$D$11,0)</f>
        <v>Paper &amp; Pulp industry Heat High Temp. Boiler - Liquified Petroleum Gas Existing 1</v>
      </c>
      <c r="E44" s="172" t="str">
        <f>+Processes!O25</f>
        <v>INDLPG</v>
      </c>
      <c r="F44" s="172" t="str">
        <f ca="1">+OFFSET(Processes!$M$12,$D$11,0) &amp; Processes!P25</f>
        <v>IRDCO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INDRDCOBWSTE1</v>
      </c>
      <c r="D45" s="173" t="str">
        <f ca="1">+OFFSET(Processes!E26,$D$11,0)</f>
        <v>Paper &amp; Pulp industry Heat High Temp. Boiler - Waste Existing 1</v>
      </c>
      <c r="E45" s="172" t="str">
        <f>+Processes!O26</f>
        <v>INDWST</v>
      </c>
      <c r="F45" s="172" t="str">
        <f ca="1">+OFFSET(Processes!$M$12,$D$11,0) &amp; Processes!P26</f>
        <v>IRDCO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INDRDCOBELCE1</v>
      </c>
      <c r="D46" s="148" t="str">
        <f ca="1">+OFFSET(Processes!E27,$D$11,0)</f>
        <v>Paper &amp; Pulp industry Heat High Temp. Boiler - Electricity Existing 1</v>
      </c>
      <c r="E46" s="174" t="str">
        <f>+Processes!O27</f>
        <v>INDELC</v>
      </c>
      <c r="F46" s="174" t="str">
        <f ca="1">+OFFSET(Processes!$M$12,$D$11,0) &amp; Processes!P27</f>
        <v>IRDCO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INDRDSHBNGAE1</v>
      </c>
      <c r="D47" s="146" t="str">
        <f ca="1">+OFFSET(Processes!E28,$D$11,0)</f>
        <v>Paper &amp; Pulp industry Heat Room Boiler - Nat. Gas Existing 1</v>
      </c>
      <c r="E47" s="149" t="str">
        <f>+Processes!O28</f>
        <v>INDSNG1,INDSNG2,INDNGA</v>
      </c>
      <c r="F47" s="149" t="str">
        <f ca="1">+OFFSET(Processes!$M$12,$D$11,0) &amp; Processes!P28</f>
        <v>IRDSH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IRDSH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IRDSH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IRDSH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INDRDSHBCOAE1</v>
      </c>
      <c r="D48" s="146" t="str">
        <f ca="1">+OFFSET(Processes!E29,$D$11,0)</f>
        <v>Paper &amp; Pulp industry Heat Room Boiler - Coal Existing 1</v>
      </c>
      <c r="E48" s="149" t="str">
        <f>+Processes!O29</f>
        <v>INDCOA</v>
      </c>
      <c r="F48" s="149" t="str">
        <f ca="1">+OFFSET(Processes!$M$12,$D$11,0) &amp; Processes!P29</f>
        <v>IRDSH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INDRDSHBDSLE1</v>
      </c>
      <c r="D49" s="146" t="str">
        <f ca="1">+OFFSET(Processes!E30,$D$11,0)</f>
        <v>Paper &amp; Pulp industry Heat Room Boiler - Diesel Existing 1</v>
      </c>
      <c r="E49" s="149" t="str">
        <f>+Processes!O30</f>
        <v>INDDSB1,INDDSB2,INDDSL</v>
      </c>
      <c r="F49" s="149" t="str">
        <f ca="1">+OFFSET(Processes!$M$12,$D$11,0) &amp; Processes!P30</f>
        <v>IRDSH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INDRDSHBWPEE1</v>
      </c>
      <c r="D50" s="146" t="str">
        <f ca="1">+OFFSET(Processes!E31,$D$11,0)</f>
        <v>Paper &amp; Pulp industry Heat Room Boiler - Wood Pellets Existing 1</v>
      </c>
      <c r="E50" s="149" t="str">
        <f>+Processes!O31</f>
        <v>INDWPE</v>
      </c>
      <c r="F50" s="149" t="str">
        <f ca="1">+OFFSET(Processes!$M$12,$D$11,0) &amp; Processes!P31</f>
        <v>IRDSH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INDRDSHBBGAE1</v>
      </c>
      <c r="D52" s="146" t="str">
        <f ca="1">+OFFSET(Processes!E33,$D$11,0)</f>
        <v>Paper &amp; Pulp industry Heat Room Boiler - Biogas Existing 1</v>
      </c>
      <c r="E52" s="149" t="str">
        <f>+Processes!O33</f>
        <v>INDBGA</v>
      </c>
      <c r="F52" s="149" t="str">
        <f ca="1">+OFFSET(Processes!$M$12,$D$11,0) &amp; Processes!P33</f>
        <v>IRDSH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INDRDSHBHFOE1</v>
      </c>
      <c r="D53" s="146" t="str">
        <f ca="1">+OFFSET(Processes!E34,$D$11,0)</f>
        <v>Paper &amp; Pulp industry Heat Room Boiler - Heavy Fuel Oil Existing 1</v>
      </c>
      <c r="E53" s="149" t="str">
        <f>+Processes!O34</f>
        <v>INDHFO</v>
      </c>
      <c r="F53" s="149" t="str">
        <f ca="1">+OFFSET(Processes!$M$12,$D$11,0) &amp; Processes!P34</f>
        <v>IRDSH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INDRDSHBLPGE1</v>
      </c>
      <c r="D54" s="146" t="str">
        <f ca="1">+OFFSET(Processes!E35,$D$11,0)</f>
        <v>Paper &amp; Pulp industry Heat Room Boiler - Liquified Petroleum Gas Existing 1</v>
      </c>
      <c r="E54" s="149" t="str">
        <f>+Processes!O35</f>
        <v>INDLPG</v>
      </c>
      <c r="F54" s="149" t="str">
        <f ca="1">+OFFSET(Processes!$M$12,$D$11,0) &amp; Processes!P35</f>
        <v>IRDSH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INDRDSHBWSTE1</v>
      </c>
      <c r="D55" s="146" t="str">
        <f ca="1">+OFFSET(Processes!E36,$D$11,0)</f>
        <v>Paper &amp; Pulp industry Heat Room Boiler - Waste Existing 1</v>
      </c>
      <c r="E55" s="149" t="str">
        <f>+Processes!O36</f>
        <v>INDWST</v>
      </c>
      <c r="F55" s="149" t="str">
        <f ca="1">+OFFSET(Processes!$M$12,$D$11,0) &amp; Processes!P36</f>
        <v>IRDSH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INDRDSHBHETE1</v>
      </c>
      <c r="D56" s="146" t="str">
        <f ca="1">+OFFSET(Processes!E37,$D$11,0)</f>
        <v>Paper &amp; Pulp industry Heat Room Boiler - Dist. Heat Existing 1</v>
      </c>
      <c r="E56" s="149" t="str">
        <f>+Processes!O37</f>
        <v>INDHCE</v>
      </c>
      <c r="F56" s="149" t="str">
        <f ca="1">+OFFSET(Processes!$M$12,$D$11,0) &amp; Processes!P37</f>
        <v>IRDSH</v>
      </c>
      <c r="G56" s="321">
        <f t="shared" si="18"/>
        <v>1080.2270000000001</v>
      </c>
      <c r="H56" s="321">
        <f t="shared" si="19"/>
        <v>0</v>
      </c>
      <c r="I56" s="321">
        <f t="shared" si="20"/>
        <v>0</v>
      </c>
      <c r="J56" s="321">
        <f t="shared" si="21"/>
        <v>1706.2090000000001</v>
      </c>
      <c r="K56" s="321">
        <f t="shared" si="22"/>
        <v>0</v>
      </c>
      <c r="L56" s="321">
        <f t="shared" si="23"/>
        <v>0</v>
      </c>
      <c r="M56" s="321">
        <f t="shared" si="24"/>
        <v>4380.4670000000006</v>
      </c>
      <c r="N56" s="321">
        <f t="shared" si="25"/>
        <v>0</v>
      </c>
      <c r="O56" s="321">
        <f t="shared" si="26"/>
        <v>0</v>
      </c>
      <c r="P56" s="321">
        <f t="shared" si="1"/>
        <v>4380.4670000000006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17.725003471528478</v>
      </c>
      <c r="AH56" s="236">
        <f t="shared" si="83"/>
        <v>27.747012698019809</v>
      </c>
      <c r="AI56" s="236">
        <f t="shared" si="84"/>
        <v>71.236802450495063</v>
      </c>
      <c r="AJ56" s="285"/>
      <c r="AK56" s="356"/>
      <c r="AL56" s="559" t="s">
        <v>103</v>
      </c>
      <c r="AM56" s="560">
        <f>N82/1000</f>
        <v>17.725000000000001</v>
      </c>
      <c r="AN56" s="613">
        <f>AM56</f>
        <v>17.725000000000001</v>
      </c>
      <c r="AO56" s="614">
        <v>0</v>
      </c>
      <c r="AP56" s="614">
        <v>0</v>
      </c>
      <c r="AQ56" s="582">
        <f t="shared" si="28"/>
        <v>17.016003332667339</v>
      </c>
      <c r="AR56" s="562">
        <f t="shared" si="29"/>
        <v>0</v>
      </c>
      <c r="AS56" s="563">
        <f t="shared" si="30"/>
        <v>0</v>
      </c>
      <c r="AT56" s="560">
        <f t="shared" si="85"/>
        <v>17.725003471528478</v>
      </c>
      <c r="AU56" s="561">
        <f t="shared" si="85"/>
        <v>0</v>
      </c>
      <c r="AV56" s="566">
        <f t="shared" si="85"/>
        <v>0</v>
      </c>
      <c r="AW56" s="285"/>
      <c r="AX56" s="356"/>
      <c r="AY56" s="559" t="s">
        <v>103</v>
      </c>
      <c r="AZ56" s="560">
        <f>N102/1000</f>
        <v>27.747</v>
      </c>
      <c r="BA56" s="613">
        <f>AZ56</f>
        <v>27.747</v>
      </c>
      <c r="BB56" s="614">
        <v>0</v>
      </c>
      <c r="BC56" s="614">
        <v>0</v>
      </c>
      <c r="BD56" s="560">
        <f t="shared" si="33"/>
        <v>26.637132190099013</v>
      </c>
      <c r="BE56" s="561">
        <f t="shared" si="34"/>
        <v>0</v>
      </c>
      <c r="BF56" s="566">
        <f t="shared" si="35"/>
        <v>0</v>
      </c>
      <c r="BG56" s="560">
        <f t="shared" si="62"/>
        <v>27.747012698019805</v>
      </c>
      <c r="BH56" s="561">
        <f t="shared" si="63"/>
        <v>0</v>
      </c>
      <c r="BI56" s="566">
        <f t="shared" si="64"/>
        <v>0</v>
      </c>
      <c r="BJ56" s="285"/>
      <c r="BK56" s="356"/>
      <c r="BL56" s="559" t="s">
        <v>103</v>
      </c>
      <c r="BM56" s="560">
        <f>N122/1000</f>
        <v>71.236800000000002</v>
      </c>
      <c r="BN56" s="613">
        <f>BM56</f>
        <v>71.236800000000002</v>
      </c>
      <c r="BO56" s="614">
        <v>0</v>
      </c>
      <c r="BP56" s="614">
        <v>0</v>
      </c>
      <c r="BQ56" s="560">
        <f t="shared" si="38"/>
        <v>68.38733035247526</v>
      </c>
      <c r="BR56" s="561">
        <f t="shared" si="39"/>
        <v>0</v>
      </c>
      <c r="BS56" s="566">
        <f t="shared" si="40"/>
        <v>0</v>
      </c>
      <c r="BT56" s="560">
        <f t="shared" si="65"/>
        <v>71.236802450495063</v>
      </c>
      <c r="BU56" s="561">
        <f t="shared" si="66"/>
        <v>0</v>
      </c>
      <c r="BV56" s="566">
        <f t="shared" si="67"/>
        <v>0</v>
      </c>
      <c r="BW56" s="285"/>
      <c r="BX56" s="285"/>
      <c r="BY56" s="285"/>
    </row>
    <row r="57" spans="3:77" ht="12.75" customHeight="1">
      <c r="C57" s="173" t="str">
        <f ca="1">+IF(OFFSET(Processes!B38,$D$11,0)="*","*",OFFSET(Processes!D38,$D$11,0))</f>
        <v>INDRDSHBHETE2</v>
      </c>
      <c r="D57" s="146" t="str">
        <f ca="1">+OFFSET(Processes!E38,$D$11,0)</f>
        <v>Paper &amp; Pulp industry Heat Room Boiler - Dist. Heat Existing 2</v>
      </c>
      <c r="E57" s="149" t="str">
        <f>+Processes!O38</f>
        <v>INDHDE</v>
      </c>
      <c r="F57" s="149" t="str">
        <f ca="1">+OFFSET(Processes!$M$12,$D$11,0) &amp; Processes!P38</f>
        <v>IRDSH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INDRDSHBELCE1</v>
      </c>
      <c r="D58" s="148" t="str">
        <f ca="1">+OFFSET(Processes!E39,$D$11,0)</f>
        <v>Paper &amp; Pulp industry Heat Room Boiler - Electricity Existing 1</v>
      </c>
      <c r="E58" s="172" t="str">
        <f>+Processes!O39</f>
        <v>INDELC</v>
      </c>
      <c r="F58" s="174" t="str">
        <f ca="1">+OFFSET(Processes!$M$12,$D$11,0) &amp; Processes!P39</f>
        <v>IRDSH</v>
      </c>
      <c r="G58" s="324">
        <f t="shared" si="18"/>
        <v>16</v>
      </c>
      <c r="H58" s="324">
        <f t="shared" si="19"/>
        <v>0.88900000000000001</v>
      </c>
      <c r="I58" s="324">
        <f t="shared" si="20"/>
        <v>0.88900000000000001</v>
      </c>
      <c r="J58" s="324">
        <f t="shared" si="21"/>
        <v>14.167999999999999</v>
      </c>
      <c r="K58" s="324">
        <f t="shared" si="22"/>
        <v>0.78800000000000003</v>
      </c>
      <c r="L58" s="324">
        <f t="shared" si="23"/>
        <v>0.78800000000000003</v>
      </c>
      <c r="M58" s="324">
        <f t="shared" si="24"/>
        <v>2.298</v>
      </c>
      <c r="N58" s="324">
        <f t="shared" si="25"/>
        <v>0.128</v>
      </c>
      <c r="O58" s="324">
        <f t="shared" si="26"/>
        <v>0.128</v>
      </c>
      <c r="P58" s="324">
        <f t="shared" si="1"/>
        <v>2.298</v>
      </c>
      <c r="Q58" s="324">
        <f t="shared" si="2"/>
        <v>0.128</v>
      </c>
      <c r="R58" s="324">
        <f t="shared" si="3"/>
        <v>0.128</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0.28004180240811827</v>
      </c>
      <c r="AH58" s="236">
        <f t="shared" si="83"/>
        <v>0.24578031057842625</v>
      </c>
      <c r="AI58" s="236">
        <f t="shared" si="84"/>
        <v>3.9867814486711839E-2</v>
      </c>
      <c r="AJ58" s="285"/>
      <c r="AK58" s="355"/>
      <c r="AL58" s="567" t="s">
        <v>61</v>
      </c>
      <c r="AM58" s="560">
        <f>M82/1000</f>
        <v>0.29477726867701354</v>
      </c>
      <c r="AN58" s="561">
        <f t="shared" si="77"/>
        <v>0.2652995418093122</v>
      </c>
      <c r="AO58" s="562">
        <f t="shared" si="78"/>
        <v>1.4738863433850677E-2</v>
      </c>
      <c r="AP58" s="562">
        <f t="shared" si="79"/>
        <v>1.4738863433850677E-2</v>
      </c>
      <c r="AQ58" s="582">
        <f t="shared" si="28"/>
        <v>0.25203596403596407</v>
      </c>
      <c r="AR58" s="562">
        <f t="shared" si="29"/>
        <v>1.4003748251748254E-2</v>
      </c>
      <c r="AS58" s="563">
        <f t="shared" si="30"/>
        <v>1.4003748251748254E-2</v>
      </c>
      <c r="AT58" s="560">
        <f t="shared" ref="AT58:AV62" si="87">IFERROR(AQ58/W58,0)</f>
        <v>0.26530101477469903</v>
      </c>
      <c r="AU58" s="561">
        <f t="shared" si="87"/>
        <v>1.4740787633419216E-2</v>
      </c>
      <c r="AV58" s="566">
        <f t="shared" si="87"/>
        <v>1.4740787633419216E-2</v>
      </c>
      <c r="AW58" s="285"/>
      <c r="AX58" s="355"/>
      <c r="AY58" s="567" t="s">
        <v>61</v>
      </c>
      <c r="AZ58" s="560">
        <f>M102/1000</f>
        <v>0.25869595834876569</v>
      </c>
      <c r="BA58" s="561">
        <f>AZ58*$AN$23</f>
        <v>0.23282636251388913</v>
      </c>
      <c r="BB58" s="562">
        <f t="shared" si="60"/>
        <v>1.2934797917438285E-2</v>
      </c>
      <c r="BC58" s="562">
        <f t="shared" si="61"/>
        <v>1.2934797917438285E-2</v>
      </c>
      <c r="BD58" s="560">
        <f t="shared" si="33"/>
        <v>0.22118913267326734</v>
      </c>
      <c r="BE58" s="561">
        <f t="shared" si="34"/>
        <v>1.2302162376237625E-2</v>
      </c>
      <c r="BF58" s="566">
        <f t="shared" si="35"/>
        <v>1.2302162376237625E-2</v>
      </c>
      <c r="BG58" s="560">
        <f t="shared" ref="BG58:BI62" si="88">IFERROR(BD58/W58,0)</f>
        <v>0.23283066597186036</v>
      </c>
      <c r="BH58" s="561">
        <f t="shared" si="88"/>
        <v>1.294964460656592E-2</v>
      </c>
      <c r="BI58" s="566">
        <f t="shared" si="88"/>
        <v>1.294964460656592E-2</v>
      </c>
      <c r="BJ58" s="285"/>
      <c r="BK58" s="355"/>
      <c r="BL58" s="567" t="s">
        <v>61</v>
      </c>
      <c r="BM58" s="560">
        <f>M122/1000</f>
        <v>4.1943882943414487E-2</v>
      </c>
      <c r="BN58" s="561">
        <f>BM58*$AN$23</f>
        <v>3.774949464907304E-2</v>
      </c>
      <c r="BO58" s="562">
        <f t="shared" si="53"/>
        <v>2.0971941471707245E-3</v>
      </c>
      <c r="BP58" s="562">
        <f t="shared" si="54"/>
        <v>2.0971941471707245E-3</v>
      </c>
      <c r="BQ58" s="560">
        <f t="shared" si="38"/>
        <v>3.5876102970297037E-2</v>
      </c>
      <c r="BR58" s="561">
        <f t="shared" si="39"/>
        <v>1.9983207920792083E-3</v>
      </c>
      <c r="BS58" s="566">
        <f t="shared" si="40"/>
        <v>1.9983207920792083E-3</v>
      </c>
      <c r="BT58" s="560">
        <f t="shared" ref="BT58:BV62" si="89">IFERROR(BQ58/W58,0)</f>
        <v>3.7764318916102144E-2</v>
      </c>
      <c r="BU58" s="561">
        <f t="shared" si="89"/>
        <v>2.1034955706096931E-3</v>
      </c>
      <c r="BV58" s="566">
        <f t="shared" si="89"/>
        <v>2.1034955706096931E-3</v>
      </c>
      <c r="BW58" s="285"/>
      <c r="BX58" s="285"/>
      <c r="BY58" s="285"/>
    </row>
    <row r="59" spans="3:77" ht="12.75" customHeight="1">
      <c r="C59" s="175" t="str">
        <f ca="1">+IF(OFFSET(Processes!B40,$D$11,0)="*","*",OFFSET(Processes!D40,$D$11,0))</f>
        <v>INDRDLAAELCE1</v>
      </c>
      <c r="D59" s="146" t="str">
        <f ca="1">+OFFSET(Processes!E40,$D$11,0)</f>
        <v>Paper &amp; Pulp industry Electricity Light Appliance - Electricity Existing 1</v>
      </c>
      <c r="E59" s="176" t="str">
        <f>+Processes!O40</f>
        <v>INDELC</v>
      </c>
      <c r="F59" s="149" t="str">
        <f ca="1">+OFFSET(Processes!$M$12,$D$11,0) &amp; Processes!P40</f>
        <v>IRDLA</v>
      </c>
      <c r="G59" s="323">
        <f t="shared" si="18"/>
        <v>499.75299999999999</v>
      </c>
      <c r="H59" s="323">
        <f t="shared" si="19"/>
        <v>27.765000000000001</v>
      </c>
      <c r="I59" s="323">
        <f t="shared" si="20"/>
        <v>27.765000000000001</v>
      </c>
      <c r="J59" s="323">
        <f t="shared" si="21"/>
        <v>442.52599999999995</v>
      </c>
      <c r="K59" s="323">
        <f t="shared" si="22"/>
        <v>24.585000000000001</v>
      </c>
      <c r="L59" s="323">
        <f t="shared" si="23"/>
        <v>24.585000000000001</v>
      </c>
      <c r="M59" s="323">
        <f t="shared" si="24"/>
        <v>71.75</v>
      </c>
      <c r="N59" s="323">
        <f t="shared" si="25"/>
        <v>3.9870000000000001</v>
      </c>
      <c r="O59" s="323">
        <f t="shared" si="26"/>
        <v>3.9870000000000001</v>
      </c>
      <c r="P59" s="323">
        <f t="shared" si="1"/>
        <v>71.75</v>
      </c>
      <c r="Q59" s="323">
        <f t="shared" si="2"/>
        <v>3.9870000000000001</v>
      </c>
      <c r="R59" s="323">
        <f t="shared" si="3"/>
        <v>3.9870000000000001</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8.3095942297702301</v>
      </c>
      <c r="AH59" s="236">
        <f t="shared" si="83"/>
        <v>7.2924814336633652</v>
      </c>
      <c r="AI59" s="236">
        <f t="shared" si="84"/>
        <v>1.1823970455445545</v>
      </c>
      <c r="AJ59" s="285"/>
      <c r="AK59" s="531" t="str">
        <f ca="1">F59</f>
        <v>IRDLA</v>
      </c>
      <c r="AL59" s="578" t="s">
        <v>61</v>
      </c>
      <c r="AM59" s="579">
        <f>M80/1000</f>
        <v>8.7469199999999994</v>
      </c>
      <c r="AN59" s="580">
        <f t="shared" si="77"/>
        <v>7.8722279999999998</v>
      </c>
      <c r="AO59" s="583">
        <f t="shared" si="78"/>
        <v>0.43734600000000001</v>
      </c>
      <c r="AP59" s="583">
        <f t="shared" si="79"/>
        <v>0.43734600000000001</v>
      </c>
      <c r="AQ59" s="584">
        <f t="shared" si="28"/>
        <v>7.872233070929072</v>
      </c>
      <c r="AR59" s="583">
        <f t="shared" si="29"/>
        <v>0.43736115884115889</v>
      </c>
      <c r="AS59" s="585">
        <f t="shared" si="30"/>
        <v>0.43736115884115889</v>
      </c>
      <c r="AT59" s="579">
        <f t="shared" si="87"/>
        <v>7.872233070929072</v>
      </c>
      <c r="AU59" s="580">
        <f t="shared" si="87"/>
        <v>0.43736115884115889</v>
      </c>
      <c r="AV59" s="581">
        <f t="shared" si="87"/>
        <v>0.43736115884115889</v>
      </c>
      <c r="AW59" s="285"/>
      <c r="AX59" s="531" t="str">
        <f t="shared" ca="1" si="12"/>
        <v>IRDLA</v>
      </c>
      <c r="AY59" s="578" t="s">
        <v>61</v>
      </c>
      <c r="AZ59" s="579">
        <f>M100/1000</f>
        <v>7.6762800000000002</v>
      </c>
      <c r="BA59" s="580">
        <f>AZ59*$AN$23</f>
        <v>6.908652</v>
      </c>
      <c r="BB59" s="583">
        <f t="shared" si="60"/>
        <v>0.38381400000000004</v>
      </c>
      <c r="BC59" s="583">
        <f t="shared" si="61"/>
        <v>0.38381400000000004</v>
      </c>
      <c r="BD59" s="579">
        <f t="shared" si="33"/>
        <v>6.9086633346534647</v>
      </c>
      <c r="BE59" s="580">
        <f t="shared" si="34"/>
        <v>0.38381809900990099</v>
      </c>
      <c r="BF59" s="581">
        <f t="shared" si="35"/>
        <v>0.38381809900990099</v>
      </c>
      <c r="BG59" s="579">
        <f t="shared" si="88"/>
        <v>6.9086633346534647</v>
      </c>
      <c r="BH59" s="580">
        <f t="shared" si="88"/>
        <v>0.38381809900990099</v>
      </c>
      <c r="BI59" s="581">
        <f t="shared" si="88"/>
        <v>0.38381809900990099</v>
      </c>
      <c r="BJ59" s="285"/>
      <c r="BK59" s="531" t="str">
        <f ca="1">AK59</f>
        <v>IRDLA</v>
      </c>
      <c r="BL59" s="578" t="s">
        <v>61</v>
      </c>
      <c r="BM59" s="579">
        <f>M120/1000</f>
        <v>1.2446000000000002</v>
      </c>
      <c r="BN59" s="580">
        <f>BM59*$AN$23</f>
        <v>1.1201400000000001</v>
      </c>
      <c r="BO59" s="583">
        <f t="shared" si="53"/>
        <v>6.2230000000000008E-2</v>
      </c>
      <c r="BP59" s="583">
        <f t="shared" si="54"/>
        <v>6.2230000000000008E-2</v>
      </c>
      <c r="BQ59" s="579">
        <f t="shared" si="38"/>
        <v>1.1201524752475247</v>
      </c>
      <c r="BR59" s="580">
        <f t="shared" si="39"/>
        <v>6.2244570297029699E-2</v>
      </c>
      <c r="BS59" s="581">
        <f t="shared" si="40"/>
        <v>6.2244570297029699E-2</v>
      </c>
      <c r="BT59" s="579">
        <f t="shared" si="89"/>
        <v>1.1201524752475247</v>
      </c>
      <c r="BU59" s="580">
        <f t="shared" si="89"/>
        <v>6.2244570297029699E-2</v>
      </c>
      <c r="BV59" s="581">
        <f t="shared" si="89"/>
        <v>6.2244570297029699E-2</v>
      </c>
      <c r="BW59" s="285"/>
      <c r="BX59" s="285"/>
      <c r="BY59" s="285"/>
    </row>
    <row r="60" spans="3:77" ht="12.75" customHeight="1">
      <c r="C60" s="148" t="str">
        <f ca="1">+IF(OFFSET(Processes!B41,$D$11,0)="*","*",OFFSET(Processes!D41,$D$11,0))</f>
        <v>INDRDEMMELCE1</v>
      </c>
      <c r="D60" s="148" t="str">
        <f ca="1">+OFFSET(Processes!E41,$D$11,0)</f>
        <v>Paper &amp; Pulp industry Electricity Motors - Electricity Existing 1</v>
      </c>
      <c r="E60" s="174" t="str">
        <f>+Processes!O41</f>
        <v>INDELC</v>
      </c>
      <c r="F60" s="174" t="str">
        <f ca="1">+OFFSET(Processes!$M$12,$D$11,0) &amp; Processes!P41</f>
        <v>IRDEM</v>
      </c>
      <c r="G60" s="324">
        <f t="shared" si="18"/>
        <v>4497.7750000000005</v>
      </c>
      <c r="H60" s="324">
        <f t="shared" si="19"/>
        <v>249.87700000000001</v>
      </c>
      <c r="I60" s="324">
        <f t="shared" si="20"/>
        <v>249.87700000000001</v>
      </c>
      <c r="J60" s="324">
        <f t="shared" si="21"/>
        <v>3982.7280000000001</v>
      </c>
      <c r="K60" s="324">
        <f t="shared" si="22"/>
        <v>221.26300000000001</v>
      </c>
      <c r="L60" s="324">
        <f t="shared" si="23"/>
        <v>221.26300000000001</v>
      </c>
      <c r="M60" s="324">
        <f t="shared" si="24"/>
        <v>645.74299999999994</v>
      </c>
      <c r="N60" s="324">
        <f t="shared" si="25"/>
        <v>35.875</v>
      </c>
      <c r="O60" s="324">
        <f t="shared" si="26"/>
        <v>35.875</v>
      </c>
      <c r="P60" s="324">
        <f t="shared" si="1"/>
        <v>645.74299999999994</v>
      </c>
      <c r="Q60" s="324">
        <f t="shared" si="2"/>
        <v>35.875</v>
      </c>
      <c r="R60" s="324">
        <f t="shared" si="3"/>
        <v>35.875</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74.786190545454559</v>
      </c>
      <c r="AH60" s="236">
        <f t="shared" si="83"/>
        <v>65.632208007920795</v>
      </c>
      <c r="AI60" s="236">
        <f t="shared" si="84"/>
        <v>10.641339231683169</v>
      </c>
      <c r="AJ60" s="285"/>
      <c r="AK60" s="536" t="str">
        <f ca="1">F60</f>
        <v>IRDEM</v>
      </c>
      <c r="AL60" s="578" t="s">
        <v>61</v>
      </c>
      <c r="AM60" s="579">
        <f>M81/1000</f>
        <v>78.722279999999998</v>
      </c>
      <c r="AN60" s="580">
        <f t="shared" si="77"/>
        <v>70.850052000000005</v>
      </c>
      <c r="AO60" s="583">
        <f t="shared" si="78"/>
        <v>3.9361139999999999</v>
      </c>
      <c r="AP60" s="583">
        <f t="shared" si="79"/>
        <v>3.9361139999999999</v>
      </c>
      <c r="AQ60" s="584">
        <f t="shared" si="28"/>
        <v>70.85006613386615</v>
      </c>
      <c r="AR60" s="583">
        <f t="shared" si="29"/>
        <v>3.9361244115884122</v>
      </c>
      <c r="AS60" s="585">
        <f t="shared" si="30"/>
        <v>3.9361244115884122</v>
      </c>
      <c r="AT60" s="579">
        <f t="shared" si="87"/>
        <v>70.85006613386615</v>
      </c>
      <c r="AU60" s="580">
        <f t="shared" si="87"/>
        <v>3.9361244115884122</v>
      </c>
      <c r="AV60" s="581">
        <f t="shared" si="87"/>
        <v>3.9361244115884122</v>
      </c>
      <c r="AW60" s="285"/>
      <c r="AX60" s="536" t="str">
        <f t="shared" ca="1" si="12"/>
        <v>IRDEM</v>
      </c>
      <c r="AY60" s="578" t="s">
        <v>61</v>
      </c>
      <c r="AZ60" s="579">
        <f>M101/1000</f>
        <v>69.086520000000007</v>
      </c>
      <c r="BA60" s="580">
        <f>AZ60*$AN$23</f>
        <v>62.177868000000011</v>
      </c>
      <c r="BB60" s="583">
        <f t="shared" si="60"/>
        <v>3.4543260000000005</v>
      </c>
      <c r="BC60" s="583">
        <f t="shared" si="61"/>
        <v>3.4543260000000005</v>
      </c>
      <c r="BD60" s="579">
        <f t="shared" si="33"/>
        <v>62.177876340594061</v>
      </c>
      <c r="BE60" s="580">
        <f t="shared" si="34"/>
        <v>3.4543316673267328</v>
      </c>
      <c r="BF60" s="581">
        <f t="shared" si="35"/>
        <v>3.4543316673267328</v>
      </c>
      <c r="BG60" s="579">
        <f t="shared" si="88"/>
        <v>62.177876340594061</v>
      </c>
      <c r="BH60" s="580">
        <f t="shared" si="88"/>
        <v>3.4543316673267328</v>
      </c>
      <c r="BI60" s="581">
        <f t="shared" si="88"/>
        <v>3.4543316673267328</v>
      </c>
      <c r="BJ60" s="285"/>
      <c r="BK60" s="536" t="str">
        <f ca="1">AK60</f>
        <v>IRDEM</v>
      </c>
      <c r="BL60" s="578" t="s">
        <v>61</v>
      </c>
      <c r="BM60" s="579">
        <f>M121/1000</f>
        <v>11.2014</v>
      </c>
      <c r="BN60" s="580">
        <f>BM60*$AN$23</f>
        <v>10.08126</v>
      </c>
      <c r="BO60" s="583">
        <f t="shared" si="53"/>
        <v>0.56006999999999996</v>
      </c>
      <c r="BP60" s="583">
        <f t="shared" si="54"/>
        <v>0.56006999999999996</v>
      </c>
      <c r="BQ60" s="579">
        <f t="shared" si="38"/>
        <v>10.081262994059406</v>
      </c>
      <c r="BR60" s="580">
        <f t="shared" si="39"/>
        <v>0.56007623762376235</v>
      </c>
      <c r="BS60" s="581">
        <f t="shared" si="40"/>
        <v>0.56007623762376235</v>
      </c>
      <c r="BT60" s="579">
        <f t="shared" si="89"/>
        <v>10.081262994059406</v>
      </c>
      <c r="BU60" s="580">
        <f t="shared" si="89"/>
        <v>0.56007623762376235</v>
      </c>
      <c r="BV60" s="581">
        <f t="shared" si="89"/>
        <v>0.56007623762376235</v>
      </c>
      <c r="BW60" s="285"/>
      <c r="BX60" s="285"/>
      <c r="BY60" s="285"/>
    </row>
    <row r="61" spans="3:77" ht="12.75" customHeight="1">
      <c r="C61" s="173" t="str">
        <f ca="1">+IF(OFFSET(Processes!B42,$D$11,0)="*","*",OFFSET(Processes!D42,$D$11,0))</f>
        <v>INDRDTFTDSLE1</v>
      </c>
      <c r="D61" s="173" t="str">
        <f ca="1">+OFFSET(Processes!E42,$D$11,0)</f>
        <v>Paper &amp; Pulp industry Tractors, Trucks, Fishing boats, Forest machines - Diesel Existing 1</v>
      </c>
      <c r="E61" s="172" t="str">
        <f>+Processes!O42</f>
        <v>INDDSB1,INDDSB2,INDDSL</v>
      </c>
      <c r="F61" s="173" t="str">
        <f ca="1">+OFFSET(Processes!$M$12,$D$11,0) &amp; Processes!P42</f>
        <v>IRDTF</v>
      </c>
      <c r="G61" s="323">
        <f t="shared" si="18"/>
        <v>166.654</v>
      </c>
      <c r="H61" s="323">
        <f t="shared" si="19"/>
        <v>9.2589999999999986</v>
      </c>
      <c r="I61" s="323">
        <f t="shared" si="20"/>
        <v>9.2589999999999986</v>
      </c>
      <c r="J61" s="323">
        <f t="shared" si="21"/>
        <v>61.704000000000001</v>
      </c>
      <c r="K61" s="323">
        <f t="shared" si="22"/>
        <v>3.4279999999999999</v>
      </c>
      <c r="L61" s="323">
        <f t="shared" si="23"/>
        <v>3.4279999999999999</v>
      </c>
      <c r="M61" s="323">
        <f t="shared" si="24"/>
        <v>64.341999999999999</v>
      </c>
      <c r="N61" s="323">
        <f t="shared" si="25"/>
        <v>3.5749999999999997</v>
      </c>
      <c r="O61" s="323">
        <f t="shared" si="26"/>
        <v>3.5749999999999997</v>
      </c>
      <c r="P61" s="323">
        <f t="shared" si="1"/>
        <v>64.341999999999999</v>
      </c>
      <c r="Q61" s="323">
        <f t="shared" si="2"/>
        <v>3.5749999999999997</v>
      </c>
      <c r="R61" s="323">
        <f t="shared" si="3"/>
        <v>3.5749999999999997</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2.7710251588411592</v>
      </c>
      <c r="AH61" s="236">
        <f t="shared" si="83"/>
        <v>1.0168330455445544</v>
      </c>
      <c r="AI61" s="236">
        <f t="shared" si="84"/>
        <v>1.0603121346534652</v>
      </c>
      <c r="AJ61" s="285"/>
      <c r="AK61" s="536" t="str">
        <f ca="1">F61</f>
        <v>IRDTF</v>
      </c>
      <c r="AL61" s="578" t="s">
        <v>59</v>
      </c>
      <c r="AM61" s="579">
        <f>F79/1000</f>
        <v>2.9168600000000002</v>
      </c>
      <c r="AN61" s="580">
        <f t="shared" si="77"/>
        <v>2.6251740000000003</v>
      </c>
      <c r="AO61" s="583">
        <f t="shared" si="78"/>
        <v>0.14584300000000003</v>
      </c>
      <c r="AP61" s="583">
        <f t="shared" si="79"/>
        <v>0.14584300000000003</v>
      </c>
      <c r="AQ61" s="584">
        <f t="shared" si="28"/>
        <v>2.6251750969030971</v>
      </c>
      <c r="AR61" s="583">
        <f t="shared" si="29"/>
        <v>0.14585006193806194</v>
      </c>
      <c r="AS61" s="585">
        <f t="shared" si="30"/>
        <v>0.14585006193806194</v>
      </c>
      <c r="AT61" s="579">
        <f t="shared" si="87"/>
        <v>2.6251750969030971</v>
      </c>
      <c r="AU61" s="580">
        <f t="shared" si="87"/>
        <v>0.14585006193806194</v>
      </c>
      <c r="AV61" s="581">
        <f t="shared" si="87"/>
        <v>0.14585006193806194</v>
      </c>
      <c r="AW61" s="285"/>
      <c r="AX61" s="536" t="str">
        <f t="shared" ca="1" si="12"/>
        <v>IRDTF</v>
      </c>
      <c r="AY61" s="578" t="s">
        <v>59</v>
      </c>
      <c r="AZ61" s="579">
        <f>F99/1000</f>
        <v>1.0703499999999999</v>
      </c>
      <c r="BA61" s="580">
        <f>AZ61*$AN$23</f>
        <v>0.96331499999999992</v>
      </c>
      <c r="BB61" s="583">
        <f t="shared" si="60"/>
        <v>5.3517499999999996E-2</v>
      </c>
      <c r="BC61" s="583">
        <f t="shared" si="61"/>
        <v>5.3517499999999996E-2</v>
      </c>
      <c r="BD61" s="579">
        <f t="shared" si="33"/>
        <v>0.96331551683168315</v>
      </c>
      <c r="BE61" s="580">
        <f t="shared" si="34"/>
        <v>5.3517528712871285E-2</v>
      </c>
      <c r="BF61" s="581">
        <f t="shared" si="35"/>
        <v>5.3517528712871285E-2</v>
      </c>
      <c r="BG61" s="579">
        <f t="shared" si="88"/>
        <v>0.96331551683168315</v>
      </c>
      <c r="BH61" s="580">
        <f t="shared" si="88"/>
        <v>5.3517528712871285E-2</v>
      </c>
      <c r="BI61" s="581">
        <f t="shared" si="88"/>
        <v>5.3517528712871285E-2</v>
      </c>
      <c r="BJ61" s="285"/>
      <c r="BK61" s="536" t="str">
        <f ca="1">AK61</f>
        <v>IRDTF</v>
      </c>
      <c r="BL61" s="578" t="s">
        <v>59</v>
      </c>
      <c r="BM61" s="579">
        <f>F119/1000</f>
        <v>1.1161020000000001</v>
      </c>
      <c r="BN61" s="580">
        <f>BM61*$AN$23</f>
        <v>1.0044918000000003</v>
      </c>
      <c r="BO61" s="583">
        <f t="shared" si="53"/>
        <v>5.580510000000001E-2</v>
      </c>
      <c r="BP61" s="583">
        <f t="shared" si="54"/>
        <v>5.580510000000001E-2</v>
      </c>
      <c r="BQ61" s="579">
        <f t="shared" si="38"/>
        <v>1.0044996594059405</v>
      </c>
      <c r="BR61" s="580">
        <f t="shared" si="39"/>
        <v>5.5812475247524751E-2</v>
      </c>
      <c r="BS61" s="581">
        <f t="shared" si="40"/>
        <v>5.5812475247524751E-2</v>
      </c>
      <c r="BT61" s="579">
        <f t="shared" si="89"/>
        <v>1.0044996594059405</v>
      </c>
      <c r="BU61" s="580">
        <f t="shared" si="89"/>
        <v>5.5812475247524751E-2</v>
      </c>
      <c r="BV61" s="581">
        <f t="shared" si="89"/>
        <v>5.5812475247524751E-2</v>
      </c>
      <c r="BW61" s="285"/>
      <c r="BX61" s="285"/>
      <c r="BY61" s="285"/>
    </row>
    <row r="62" spans="3:77" ht="12.75" customHeight="1">
      <c r="C62" s="173" t="str">
        <f ca="1">+IF(OFFSET(Processes!B43,$D$11,0)="*","*",OFFSET(Processes!D43,$D$11,0))</f>
        <v>INDRDFLTLPGE1</v>
      </c>
      <c r="D62" s="173" t="str">
        <f ca="1">+OFFSET(Processes!E43,$D$11,0)</f>
        <v>Paper &amp; Pulp industry Forklifts - LPG Existing 1</v>
      </c>
      <c r="E62" s="172" t="str">
        <f>+Processes!O43</f>
        <v>INDLPG,INDSNG1,INDSNG2</v>
      </c>
      <c r="F62" s="173" t="str">
        <f ca="1">+OFFSET(Processes!$M$12,$D$11,0) &amp; Processes!P43</f>
        <v>IRDFL</v>
      </c>
      <c r="G62" s="323">
        <f t="shared" si="18"/>
        <v>15.78</v>
      </c>
      <c r="H62" s="323">
        <f t="shared" si="19"/>
        <v>0.877</v>
      </c>
      <c r="I62" s="323">
        <f>ROUNDUP(AP62/($Z62*$AA62)*I$21*Y62,3)</f>
        <v>0.877</v>
      </c>
      <c r="J62" s="323">
        <f t="shared" si="21"/>
        <v>29.422000000000001</v>
      </c>
      <c r="K62" s="323">
        <f t="shared" si="22"/>
        <v>1.6349999999999998</v>
      </c>
      <c r="L62" s="323">
        <f t="shared" si="23"/>
        <v>1.6349999999999998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0.26238519080919082</v>
      </c>
      <c r="AH62" s="236">
        <f t="shared" si="83"/>
        <v>0.48485819405940594</v>
      </c>
      <c r="AI62" s="236" t="e">
        <f t="shared" si="84"/>
        <v>#REF!</v>
      </c>
      <c r="AJ62" s="285"/>
      <c r="AK62" s="536" t="str">
        <f ca="1">F62</f>
        <v>IRDFL</v>
      </c>
      <c r="AL62" s="532" t="s">
        <v>53</v>
      </c>
      <c r="AM62" s="533">
        <f>H79/1000</f>
        <v>0.27618599999999999</v>
      </c>
      <c r="AN62" s="534">
        <f t="shared" si="77"/>
        <v>0.24856739999999999</v>
      </c>
      <c r="AO62" s="535">
        <f t="shared" si="78"/>
        <v>1.38093E-2</v>
      </c>
      <c r="AP62" s="535">
        <f t="shared" si="79"/>
        <v>1.38093E-2</v>
      </c>
      <c r="AQ62" s="545">
        <f t="shared" si="28"/>
        <v>0.24857046953046955</v>
      </c>
      <c r="AR62" s="535">
        <f t="shared" si="29"/>
        <v>1.3814721278721281E-2</v>
      </c>
      <c r="AS62" s="541">
        <f t="shared" si="30"/>
        <v>1.3814721278721281E-2</v>
      </c>
      <c r="AT62" s="546">
        <f t="shared" si="87"/>
        <v>0.24857046953046955</v>
      </c>
      <c r="AU62" s="537">
        <f t="shared" si="87"/>
        <v>1.3814721278721281E-2</v>
      </c>
      <c r="AV62" s="538">
        <f t="shared" si="87"/>
        <v>1.3814721278721281E-2</v>
      </c>
      <c r="AW62" s="285"/>
      <c r="AX62" s="536" t="str">
        <f t="shared" ca="1" si="12"/>
        <v>IRDFL</v>
      </c>
      <c r="AY62" s="532" t="s">
        <v>53</v>
      </c>
      <c r="AZ62" s="533">
        <f>H99/1000</f>
        <v>0.51036749999999997</v>
      </c>
      <c r="BA62" s="534">
        <f>AZ62*$AN$23</f>
        <v>0.45933075000000001</v>
      </c>
      <c r="BB62" s="535">
        <f t="shared" si="60"/>
        <v>2.5518374999999999E-2</v>
      </c>
      <c r="BC62" s="535">
        <f t="shared" si="61"/>
        <v>2.5518374999999999E-2</v>
      </c>
      <c r="BD62" s="546">
        <f t="shared" si="33"/>
        <v>0.45933276831683167</v>
      </c>
      <c r="BE62" s="537">
        <f t="shared" si="34"/>
        <v>2.5525425742574253E-2</v>
      </c>
      <c r="BF62" s="538">
        <f t="shared" si="35"/>
        <v>2.5525425742574253E-2</v>
      </c>
      <c r="BG62" s="546">
        <f t="shared" si="88"/>
        <v>0.45933276831683167</v>
      </c>
      <c r="BH62" s="537">
        <f t="shared" si="88"/>
        <v>2.5525425742574253E-2</v>
      </c>
      <c r="BI62" s="538">
        <f t="shared" si="88"/>
        <v>2.5525425742574253E-2</v>
      </c>
      <c r="BJ62" s="285"/>
      <c r="BK62" s="536" t="str">
        <f ca="1">AK62</f>
        <v>IRDFL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287"/>
      <c r="AH66" s="287"/>
      <c r="AI66" s="287"/>
      <c r="AJ66" s="287"/>
      <c r="AK66" s="287"/>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111" t="s">
        <v>109</v>
      </c>
      <c r="AC67" s="81"/>
      <c r="AD67" s="111"/>
      <c r="AE67" s="111"/>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15931.112999999999</v>
      </c>
      <c r="E77" s="14">
        <f t="shared" si="93"/>
        <v>806.96</v>
      </c>
      <c r="F77" s="14">
        <f t="shared" si="93"/>
        <v>0</v>
      </c>
      <c r="G77" s="14">
        <f t="shared" si="93"/>
        <v>0</v>
      </c>
      <c r="H77" s="14">
        <f t="shared" si="93"/>
        <v>92.061999999999998</v>
      </c>
      <c r="I77" s="14">
        <f t="shared" si="93"/>
        <v>94414.698000000004</v>
      </c>
      <c r="J77" s="14">
        <f t="shared" si="93"/>
        <v>943</v>
      </c>
      <c r="K77" s="14">
        <f t="shared" si="93"/>
        <v>39709</v>
      </c>
      <c r="L77" s="14">
        <f t="shared" si="93"/>
        <v>2134</v>
      </c>
      <c r="M77" s="14">
        <f t="shared" si="93"/>
        <v>0</v>
      </c>
      <c r="N77" s="14">
        <f t="shared" si="93"/>
        <v>0</v>
      </c>
      <c r="O77" s="86"/>
      <c r="T77" s="48" t="s">
        <v>209</v>
      </c>
      <c r="U77" s="48"/>
      <c r="V77" s="126" t="str">
        <f>+INDEX('Energy matrix'!C4:N4,1,$D$2)</f>
        <v>Paper, pulp and printing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15931.112999999999</v>
      </c>
      <c r="W78" s="117"/>
    </row>
    <row r="79" spans="3:66" ht="12.75" customHeight="1">
      <c r="C79" s="13" t="str">
        <f>$D$152</f>
        <v>Haullage</v>
      </c>
      <c r="D79" s="19">
        <f t="shared" ref="D79:N79" si="95">+INDEX($E152:$O152,1,D$75) * INDEX($V$78:$V$88,D$75,1)</f>
        <v>0</v>
      </c>
      <c r="E79" s="19">
        <f t="shared" si="95"/>
        <v>0</v>
      </c>
      <c r="F79" s="19">
        <f t="shared" si="95"/>
        <v>2916.86</v>
      </c>
      <c r="G79" s="19">
        <f t="shared" si="95"/>
        <v>0</v>
      </c>
      <c r="H79" s="19">
        <f t="shared" si="95"/>
        <v>276.18599999999998</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8746.92</v>
      </c>
      <c r="N80" s="14">
        <f t="shared" si="96"/>
        <v>0</v>
      </c>
      <c r="O80" s="86"/>
      <c r="T80" s="117" t="str">
        <f>+'Energy matrix'!B7</f>
        <v>Diesel</v>
      </c>
      <c r="U80" s="117"/>
      <c r="V80" s="118">
        <f>+INDEX('Energy matrix'!C7:N7,1,$D$2)</f>
        <v>2916.86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78722.28</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294.77726867701352</v>
      </c>
      <c r="N82" s="14">
        <f t="shared" si="98"/>
        <v>17725</v>
      </c>
      <c r="O82" s="86"/>
      <c r="T82" s="117" t="str">
        <f>+'Energy matrix'!B9</f>
        <v>LPG</v>
      </c>
      <c r="U82" s="117"/>
      <c r="V82" s="118">
        <f>+INDEX('Energy matrix'!C9:N9,1,$D$2)</f>
        <v>368.24799999999999</v>
      </c>
      <c r="W82" s="117"/>
    </row>
    <row r="83" spans="3:24" ht="12.75" customHeight="1">
      <c r="C83" s="17" t="s">
        <v>57</v>
      </c>
      <c r="D83" s="18">
        <f t="shared" ref="D83:N83" si="99">SUM(D77:D82)</f>
        <v>15931.112999999999</v>
      </c>
      <c r="E83" s="18">
        <f t="shared" si="99"/>
        <v>806.96</v>
      </c>
      <c r="F83" s="18">
        <f t="shared" si="99"/>
        <v>2916.86</v>
      </c>
      <c r="G83" s="18">
        <f t="shared" si="99"/>
        <v>0</v>
      </c>
      <c r="H83" s="18">
        <f t="shared" si="99"/>
        <v>368.24799999999999</v>
      </c>
      <c r="I83" s="18">
        <f t="shared" si="99"/>
        <v>94414.698000000004</v>
      </c>
      <c r="J83" s="18">
        <f t="shared" si="99"/>
        <v>943</v>
      </c>
      <c r="K83" s="18">
        <f t="shared" si="99"/>
        <v>39709</v>
      </c>
      <c r="L83" s="18">
        <f t="shared" si="99"/>
        <v>2134</v>
      </c>
      <c r="M83" s="18">
        <f t="shared" si="99"/>
        <v>87763.977268677016</v>
      </c>
      <c r="N83" s="18">
        <f t="shared" si="99"/>
        <v>17725</v>
      </c>
      <c r="O83" s="86"/>
      <c r="T83" s="117" t="str">
        <f>+'Energy matrix'!B11</f>
        <v>Natural gas</v>
      </c>
      <c r="U83" s="117"/>
      <c r="V83" s="118">
        <f>+INDEX('Energy matrix'!C11:N11,1,$D$2)</f>
        <v>94414.698000000004</v>
      </c>
      <c r="W83" s="117"/>
    </row>
    <row r="84" spans="3:24" ht="12.75" customHeight="1">
      <c r="E84" s="25"/>
      <c r="F84" s="25"/>
      <c r="G84" s="25"/>
      <c r="H84" s="25"/>
      <c r="I84" s="25"/>
      <c r="J84" s="25"/>
      <c r="K84" s="25"/>
      <c r="O84" s="86"/>
      <c r="T84" s="117" t="str">
        <f>+'Energy matrix'!B12</f>
        <v>Biogas</v>
      </c>
      <c r="U84" s="117"/>
      <c r="V84" s="118">
        <f>+INDEX('Energy matrix'!C12:N12,1,$D$2)</f>
        <v>943</v>
      </c>
      <c r="W84" s="117"/>
    </row>
    <row r="85" spans="3:24" ht="12.75" customHeight="1">
      <c r="E85" s="25"/>
      <c r="F85" s="25"/>
      <c r="G85" s="25"/>
      <c r="H85" s="25"/>
      <c r="I85" s="25"/>
      <c r="J85" s="25"/>
      <c r="K85" s="25"/>
      <c r="O85" s="86"/>
      <c r="T85" s="117" t="str">
        <f>+'Energy matrix'!B17</f>
        <v>Biomass</v>
      </c>
      <c r="U85" s="117"/>
      <c r="V85" s="118">
        <f>+INDEX('Energy matrix'!C17:N17,1,$D$2)</f>
        <v>39709</v>
      </c>
      <c r="W85" s="117"/>
    </row>
    <row r="86" spans="3:24" ht="12.75" customHeight="1">
      <c r="O86" s="86"/>
      <c r="T86" s="117" t="str">
        <f>+'Energy matrix'!B18</f>
        <v>Waste</v>
      </c>
      <c r="U86" s="117"/>
      <c r="V86" s="118">
        <f>+INDEX('Energy matrix'!C18:N18,1,$D$2)</f>
        <v>2134</v>
      </c>
      <c r="W86" s="117"/>
    </row>
    <row r="87" spans="3:24" ht="12.75" customHeight="1">
      <c r="O87" s="86"/>
      <c r="T87" s="117" t="str">
        <f>+'Energy matrix'!B19</f>
        <v>Electricity</v>
      </c>
      <c r="U87" s="117"/>
      <c r="V87" s="118">
        <f>+INDEX('Energy matrix'!C19:N19,1,$D$2)</f>
        <v>87469.2</v>
      </c>
      <c r="W87" s="117"/>
    </row>
    <row r="88" spans="3:24" ht="12.75" customHeight="1">
      <c r="O88" s="86"/>
      <c r="T88" s="122" t="str">
        <f>+'Energy matrix'!B20</f>
        <v>District Heating</v>
      </c>
      <c r="U88" s="122"/>
      <c r="V88" s="123">
        <f>+INDEX('Energy matrix'!C20:N20,1,$D$2)</f>
        <v>17725</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262418.07900000003</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15391.97</v>
      </c>
      <c r="E97" s="14">
        <f t="shared" si="110"/>
        <v>366.61500000000001</v>
      </c>
      <c r="F97" s="14">
        <f t="shared" si="110"/>
        <v>0</v>
      </c>
      <c r="G97" s="14">
        <f t="shared" si="110"/>
        <v>0</v>
      </c>
      <c r="H97" s="14">
        <f t="shared" si="110"/>
        <v>170.1225</v>
      </c>
      <c r="I97" s="14">
        <f t="shared" si="110"/>
        <v>86829.3</v>
      </c>
      <c r="J97" s="14" t="e">
        <f t="shared" si="110"/>
        <v>#REF!</v>
      </c>
      <c r="K97" s="14">
        <f t="shared" si="110"/>
        <v>22533</v>
      </c>
      <c r="L97" s="14">
        <f t="shared" si="110"/>
        <v>5482</v>
      </c>
      <c r="M97" s="14">
        <f t="shared" si="110"/>
        <v>0</v>
      </c>
      <c r="N97" s="14">
        <f t="shared" si="110"/>
        <v>0</v>
      </c>
      <c r="O97" s="86"/>
      <c r="R97" s="287"/>
      <c r="S97" s="287"/>
      <c r="T97" s="48" t="s">
        <v>209</v>
      </c>
      <c r="U97" s="48"/>
      <c r="V97" s="126" t="str">
        <f>+INDEX('Energy matrix'!C28:N28,1,$D$2)</f>
        <v>Paper, pulp and printing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15391.97</v>
      </c>
      <c r="W98" s="117"/>
    </row>
    <row r="99" spans="3:24" s="285" customFormat="1" ht="12.75" customHeight="1">
      <c r="C99" s="13" t="str">
        <f>$D$152</f>
        <v>Haullage</v>
      </c>
      <c r="D99" s="19">
        <f t="shared" ref="D99:N99" si="112">+INDEX($E152:$O152,1,D$95) * INDEX($V$98:$V$108,D$95,1)</f>
        <v>0</v>
      </c>
      <c r="E99" s="19">
        <f t="shared" si="112"/>
        <v>0</v>
      </c>
      <c r="F99" s="19">
        <f t="shared" si="112"/>
        <v>1070.3499999999999</v>
      </c>
      <c r="G99" s="19">
        <f t="shared" si="112"/>
        <v>0</v>
      </c>
      <c r="H99" s="19">
        <f t="shared" si="112"/>
        <v>510.36750000000001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366.61500000000001</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7676.2800000000007</v>
      </c>
      <c r="N100" s="14">
        <f t="shared" si="113"/>
        <v>0</v>
      </c>
      <c r="O100" s="86"/>
      <c r="R100" s="287"/>
      <c r="S100" s="287"/>
      <c r="T100" s="117" t="str">
        <f>'Energy matrix'!B31</f>
        <v>Diesel</v>
      </c>
      <c r="U100" s="117"/>
      <c r="V100" s="118">
        <f>+INDEX('Energy matrix'!C31:N31,1,$D$2)</f>
        <v>1070.3499999999999</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69086.52</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258.69595834876571</v>
      </c>
      <c r="N102" s="14">
        <f t="shared" si="115"/>
        <v>27747</v>
      </c>
      <c r="O102" s="86"/>
      <c r="R102" s="287"/>
      <c r="S102" s="287"/>
      <c r="T102" s="117" t="str">
        <f>'Energy matrix'!B33</f>
        <v>LPG</v>
      </c>
      <c r="U102" s="117"/>
      <c r="V102" s="118">
        <f>+INDEX('Energy matrix'!C33:N33,1,$D$2)</f>
        <v>680.49</v>
      </c>
      <c r="W102" s="117"/>
    </row>
    <row r="103" spans="3:24" s="285" customFormat="1" ht="12.75" customHeight="1">
      <c r="C103" s="17" t="s">
        <v>57</v>
      </c>
      <c r="D103" s="18">
        <f t="shared" ref="D103:N103" si="116">SUM(D97:D102)</f>
        <v>15391.97</v>
      </c>
      <c r="E103" s="18">
        <f t="shared" si="116"/>
        <v>366.61500000000001</v>
      </c>
      <c r="F103" s="18">
        <f t="shared" si="116"/>
        <v>1070.3499999999999</v>
      </c>
      <c r="G103" s="18">
        <f t="shared" si="116"/>
        <v>0</v>
      </c>
      <c r="H103" s="18">
        <f t="shared" si="116"/>
        <v>680.49</v>
      </c>
      <c r="I103" s="18">
        <f t="shared" si="116"/>
        <v>86829.3</v>
      </c>
      <c r="J103" s="18" t="e">
        <f t="shared" si="116"/>
        <v>#REF!</v>
      </c>
      <c r="K103" s="18">
        <f t="shared" si="116"/>
        <v>22533</v>
      </c>
      <c r="L103" s="18">
        <f t="shared" si="116"/>
        <v>5482</v>
      </c>
      <c r="M103" s="18">
        <f t="shared" si="116"/>
        <v>77021.495958348765</v>
      </c>
      <c r="N103" s="18">
        <f t="shared" si="116"/>
        <v>27747</v>
      </c>
      <c r="O103" s="86"/>
      <c r="R103" s="287"/>
      <c r="S103" s="287"/>
      <c r="T103" s="117" t="str">
        <f>'Energy matrix'!B35</f>
        <v>Natural gas</v>
      </c>
      <c r="U103" s="117"/>
      <c r="V103" s="118">
        <f>+INDEX('Energy matrix'!C35:N35,1,$D$2)</f>
        <v>86829.3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22533</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5482</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76762.8</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27747</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10776.85</v>
      </c>
      <c r="E117" s="14">
        <f t="shared" si="127"/>
        <v>403.43</v>
      </c>
      <c r="F117" s="14">
        <f t="shared" si="127"/>
        <v>0</v>
      </c>
      <c r="G117" s="14">
        <f t="shared" si="127"/>
        <v>0</v>
      </c>
      <c r="H117" s="14" t="e">
        <f t="shared" si="127"/>
        <v>#REF!</v>
      </c>
      <c r="I117" s="14">
        <f t="shared" si="127"/>
        <v>0</v>
      </c>
      <c r="J117" s="14">
        <f t="shared" si="127"/>
        <v>78489.357000000004</v>
      </c>
      <c r="K117" s="14">
        <f t="shared" si="127"/>
        <v>1340</v>
      </c>
      <c r="L117" s="14">
        <f t="shared" si="127"/>
        <v>21064</v>
      </c>
      <c r="M117" s="14">
        <f t="shared" si="127"/>
        <v>0</v>
      </c>
      <c r="N117" s="14">
        <f t="shared" si="127"/>
        <v>0</v>
      </c>
      <c r="O117" s="86"/>
      <c r="T117" s="48" t="s">
        <v>209</v>
      </c>
      <c r="U117" s="48"/>
      <c r="V117" s="126" t="str">
        <f>+INDEX('Energy matrix'!C52:N52,1,$D$2)</f>
        <v>Paper, pulp and printing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10776.85</v>
      </c>
      <c r="W118" s="117"/>
    </row>
    <row r="119" spans="3:31" ht="12.75" customHeight="1">
      <c r="C119" s="13" t="str">
        <f>$D$152</f>
        <v>Haullage</v>
      </c>
      <c r="D119" s="19">
        <f t="shared" ref="D119:N119" si="129">+INDEX($E152:$O152,1,D$115) * INDEX($V$118:$V$128,D$115,1)</f>
        <v>0</v>
      </c>
      <c r="E119" s="19">
        <f t="shared" si="129"/>
        <v>0</v>
      </c>
      <c r="F119" s="19">
        <f t="shared" si="129"/>
        <v>1116.1020000000001</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403.43</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1244.6000000000001</v>
      </c>
      <c r="N120" s="14">
        <f t="shared" si="130"/>
        <v>0</v>
      </c>
      <c r="O120" s="86"/>
      <c r="T120" s="117" t="str">
        <f>'Energy matrix'!B55</f>
        <v>Diesel</v>
      </c>
      <c r="U120" s="117"/>
      <c r="V120" s="118">
        <f>+INDEX('Energy matrix'!C55:N55,1,$D$2)</f>
        <v>1116.1020000000001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11201.4</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41.943882943414486</v>
      </c>
      <c r="N122" s="14">
        <f t="shared" si="132"/>
        <v>71236.800000000003</v>
      </c>
      <c r="O122" s="86"/>
      <c r="T122" s="117" t="e">
        <f>'Energy matrix'!#REF!</f>
        <v>#REF!</v>
      </c>
      <c r="U122" s="117"/>
      <c r="V122" s="118" t="e">
        <f>+_xlfn.SINGLE(INDEX('Energy matrix'!#REF!,1,$D$2))</f>
        <v>#REF!</v>
      </c>
      <c r="W122" s="117"/>
    </row>
    <row r="123" spans="3:31" ht="12.75" customHeight="1">
      <c r="C123" s="17" t="s">
        <v>57</v>
      </c>
      <c r="D123" s="18">
        <f t="shared" ref="D123:N123" si="133">SUM(D117:D122)</f>
        <v>10776.85</v>
      </c>
      <c r="E123" s="18">
        <f t="shared" si="133"/>
        <v>403.43</v>
      </c>
      <c r="F123" s="18">
        <f t="shared" si="133"/>
        <v>1116.1020000000001</v>
      </c>
      <c r="G123" s="18">
        <f t="shared" si="133"/>
        <v>0</v>
      </c>
      <c r="H123" s="18" t="e">
        <f t="shared" si="133"/>
        <v>#REF!</v>
      </c>
      <c r="I123" s="18">
        <f t="shared" si="133"/>
        <v>0</v>
      </c>
      <c r="J123" s="18">
        <f t="shared" si="133"/>
        <v>78489.357000000004</v>
      </c>
      <c r="K123" s="18">
        <f t="shared" si="133"/>
        <v>1340</v>
      </c>
      <c r="L123" s="18">
        <f t="shared" si="133"/>
        <v>21064</v>
      </c>
      <c r="M123" s="18">
        <f t="shared" si="133"/>
        <v>12487.943882943415</v>
      </c>
      <c r="N123" s="18">
        <f t="shared" si="133"/>
        <v>71236.800000000003</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78489.357000000004</v>
      </c>
      <c r="W124" s="117"/>
    </row>
    <row r="125" spans="3:31" ht="12.75" customHeight="1">
      <c r="E125" s="25"/>
      <c r="F125" s="25"/>
      <c r="G125" s="25"/>
      <c r="H125" s="25"/>
      <c r="I125" s="25"/>
      <c r="J125" s="25"/>
      <c r="K125" s="25"/>
      <c r="O125" s="86"/>
      <c r="T125" s="117" t="str">
        <f>'Energy matrix'!B60</f>
        <v>Biogas</v>
      </c>
      <c r="U125" s="117"/>
      <c r="V125" s="118">
        <f>+INDEX('Energy matrix'!C60:N60,1,$D$2)</f>
        <v>1340</v>
      </c>
      <c r="W125" s="117"/>
    </row>
    <row r="126" spans="3:31" ht="12.75" customHeight="1">
      <c r="O126" s="86"/>
      <c r="T126" s="117" t="str">
        <f>'Energy matrix'!B65</f>
        <v>Biomass</v>
      </c>
      <c r="U126" s="117"/>
      <c r="V126" s="118">
        <f>+INDEX('Energy matrix'!C65:N65,1,$D$2)</f>
        <v>21064</v>
      </c>
      <c r="W126" s="117"/>
    </row>
    <row r="127" spans="3:31" ht="12.75" customHeight="1">
      <c r="O127" s="86"/>
      <c r="T127" s="117" t="str">
        <f>'Energy matrix'!B66</f>
        <v>Waste</v>
      </c>
      <c r="U127" s="117"/>
      <c r="V127" s="118">
        <f>+INDEX('Energy matrix'!C66:N66,1,$D$2)</f>
        <v>12446</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71236.800000000003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509</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09 Paper, pulp and printing</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Z150" s="25"/>
      <c r="AA150" s="25"/>
    </row>
    <row r="151" spans="3:27">
      <c r="C151" s="15"/>
      <c r="D151" s="13" t="s">
        <v>535</v>
      </c>
      <c r="E151" s="22"/>
      <c r="F151" s="22"/>
      <c r="G151" s="22"/>
      <c r="H151" s="22">
        <v>0</v>
      </c>
      <c r="I151" s="22"/>
      <c r="J151" s="22"/>
      <c r="K151" s="22">
        <v>0</v>
      </c>
      <c r="L151" s="610"/>
      <c r="M151" s="22">
        <v>0</v>
      </c>
      <c r="N151" s="22"/>
      <c r="O151" s="22">
        <v>0</v>
      </c>
      <c r="P151" s="34"/>
      <c r="Q151" s="34"/>
      <c r="R151" s="25"/>
      <c r="S151" s="25"/>
      <c r="W151" s="285"/>
      <c r="X151" s="28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Z152" s="25"/>
      <c r="AA152" s="25"/>
    </row>
    <row r="153" spans="3:27">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Z153" s="25"/>
      <c r="AA153" s="25"/>
    </row>
    <row r="154" spans="3:27">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Z154" s="25"/>
      <c r="AA154" s="25"/>
    </row>
    <row r="155" spans="3:27">
      <c r="C155" s="16"/>
      <c r="D155" s="13" t="s">
        <v>539</v>
      </c>
      <c r="E155" s="22"/>
      <c r="F155" s="22"/>
      <c r="G155" s="22"/>
      <c r="H155" s="22"/>
      <c r="I155" s="22"/>
      <c r="J155" s="22"/>
      <c r="K155" s="22"/>
      <c r="L155" s="22"/>
      <c r="M155" s="22"/>
      <c r="N155" s="22">
        <v>3.3700693350003606E-3</v>
      </c>
      <c r="O155" s="22">
        <v>1</v>
      </c>
      <c r="P155" s="34"/>
      <c r="Q155" s="34"/>
      <c r="R155" s="25"/>
      <c r="S155" s="25"/>
      <c r="W155" s="285"/>
      <c r="X155" s="285"/>
      <c r="Z155" s="25"/>
      <c r="AA155" s="25"/>
    </row>
    <row r="156" spans="3:27">
      <c r="C156" s="17" t="str">
        <f>C150</f>
        <v>09 Paper, pulp and printing</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56"/>
  <sheetViews>
    <sheetView showGridLines="0" topLeftCell="A97" zoomScale="80" zoomScaleNormal="80" workbookViewId="0">
      <selection activeCell="N151" sqref="N15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10</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Wood products industry</v>
      </c>
      <c r="E5" s="25"/>
      <c r="F5" s="197"/>
      <c r="G5" s="198"/>
    </row>
    <row r="6" spans="3:28" ht="12.75" customHeight="1">
      <c r="C6" s="62"/>
      <c r="D6" s="70" t="str">
        <f>+INDEX(Commodities!$Y$6:$Y$17,D2)</f>
        <v>010 Wood and wood products</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010 Wood and wood products</v>
      </c>
      <c r="E9" s="25"/>
    </row>
    <row r="10" spans="3:28" ht="12.75" customHeight="1">
      <c r="C10" s="62" t="s">
        <v>154</v>
      </c>
      <c r="D10" s="70">
        <f>+ROW(Processes!$M$44) - ROW(Processes!$M$7)</f>
        <v>37</v>
      </c>
      <c r="E10" s="25"/>
    </row>
    <row r="11" spans="3:28" ht="12.75" customHeight="1">
      <c r="C11" s="62" t="s">
        <v>194</v>
      </c>
      <c r="D11" s="70">
        <f>+$D$10*$D$2-$D$10</f>
        <v>333</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Wood and wood products</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INDWDPHBNGAE1</v>
      </c>
      <c r="D26" s="146" t="str">
        <f ca="1">+OFFSET(Processes!E7,$D$11,0)</f>
        <v>Wood products industry Heat Medium Temp. Boiler - Nat. Gas Existing 1</v>
      </c>
      <c r="E26" s="149" t="str">
        <f>+Processes!O7</f>
        <v>INDSNG1,INDSNG2,INDNGA</v>
      </c>
      <c r="F26" s="149" t="str">
        <f ca="1">+OFFSET(Processes!$M$12,$D$11,0) &amp; Processes!P7</f>
        <v>IWDPH</v>
      </c>
      <c r="G26" s="322">
        <f>ROUNDUP(AN26/($Z26*$AA26)*G$21*W26,3)</f>
        <v>353.71199999999999</v>
      </c>
      <c r="H26" s="322">
        <f t="shared" ref="H26:I26" si="0">ROUNDUP(AO26/($Z26*$AA26)*H$21*X26,3)</f>
        <v>19.651</v>
      </c>
      <c r="I26" s="322">
        <f t="shared" si="0"/>
        <v>19.651</v>
      </c>
      <c r="J26" s="322">
        <f>ROUNDUP(BA26/($Z26*$AA26)*J$21*W26,3)</f>
        <v>289.822</v>
      </c>
      <c r="K26" s="322">
        <f>ROUNDUP(BB26/($Z26*$AA26)*K$21*X26,3)</f>
        <v>16.102</v>
      </c>
      <c r="L26" s="322">
        <f>ROUNDUP(BC26/($Z26*$AA26)*L$21*Y26,3)</f>
        <v>16.102</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6.0013331403290602</v>
      </c>
      <c r="AH26" s="236">
        <f t="shared" ref="AH26:AH41" si="9">((J26*Z26*AA26/W26)+(K26*Z26*AA26/X26))/$J$21</f>
        <v>4.8735195312184283</v>
      </c>
      <c r="AI26" s="236">
        <f t="shared" ref="AI26:AI41" si="10">((M26*AA26*Z26/W26)+(N26*Z26*AA26/X26))/$M$21</f>
        <v>0</v>
      </c>
      <c r="AJ26" s="285"/>
      <c r="AK26" s="530" t="str">
        <f ca="1">F26</f>
        <v>IWDPH</v>
      </c>
      <c r="AL26" s="350" t="s">
        <v>97</v>
      </c>
      <c r="AM26" s="313">
        <f>I77/1000</f>
        <v>6.3171729999999995</v>
      </c>
      <c r="AN26" s="310">
        <f>AM26*$AN$23</f>
        <v>5.6854556999999994</v>
      </c>
      <c r="AO26" s="311">
        <f>AM26*$AO$23</f>
        <v>0.31585865000000002</v>
      </c>
      <c r="AP26" s="311">
        <f>AM26*$AP$23</f>
        <v>0.31585865000000002</v>
      </c>
      <c r="AQ26" s="312">
        <f>IFERROR(G26*$Z26*$AA26/G$21,0)</f>
        <v>5.5717590569430575</v>
      </c>
      <c r="AR26" s="311">
        <f>IFERROR(H26*$Z26*$AA26/H$21,0)</f>
        <v>0.30954742057942064</v>
      </c>
      <c r="AS26" s="338">
        <f>IFERROR(I26*$Z26*$AA26/I$21,0)</f>
        <v>0.30954742057942064</v>
      </c>
      <c r="AT26" s="313">
        <f t="shared" ref="AT26:AV29" si="11">IFERROR(AQ26/W26,0)</f>
        <v>5.6854684254520995</v>
      </c>
      <c r="AU26" s="310">
        <f t="shared" si="11"/>
        <v>0.31586471487695983</v>
      </c>
      <c r="AV26" s="357">
        <f t="shared" si="11"/>
        <v>0.31586471487695983</v>
      </c>
      <c r="AW26" s="285"/>
      <c r="AX26" s="530" t="str">
        <f t="shared" ref="AX26:AX62" ca="1" si="12">AK26</f>
        <v>IWDPH</v>
      </c>
      <c r="AY26" s="350" t="s">
        <v>97</v>
      </c>
      <c r="AZ26" s="313">
        <f>I97/1000</f>
        <v>5.13</v>
      </c>
      <c r="BA26" s="310">
        <f>AZ26*$AN$23</f>
        <v>4.617</v>
      </c>
      <c r="BB26" s="311">
        <f>AZ26*$BB$23</f>
        <v>0.25650000000000001</v>
      </c>
      <c r="BC26" s="311">
        <f>AZ26*$BC$23</f>
        <v>0.25650000000000001</v>
      </c>
      <c r="BD26" s="313">
        <f t="shared" ref="BD26" si="13">IFERROR(J26*$Z26*AA26/J$21,0)</f>
        <v>4.5246666297029705</v>
      </c>
      <c r="BE26" s="310">
        <f t="shared" ref="BE26" si="14">IFERROR(K26*$Z26*AA26/K$21,0)</f>
        <v>0.25138251089108909</v>
      </c>
      <c r="BF26" s="357">
        <f>IFERROR(L26*$Z26*AA26/L$21,0)</f>
        <v>0.25138251089108909</v>
      </c>
      <c r="BG26" s="313">
        <f t="shared" ref="BG26:BG35" si="15">IFERROR(BD26/W26,0)</f>
        <v>4.6170067650030315</v>
      </c>
      <c r="BH26" s="310">
        <f t="shared" ref="BH26:BH35" si="16">IFERROR(BE26/X26,0)</f>
        <v>0.25651276621539704</v>
      </c>
      <c r="BI26" s="357">
        <f t="shared" ref="BI26:BI35" si="17">IFERROR(BF26/Y26,0)</f>
        <v>0.25651276621539704</v>
      </c>
      <c r="BJ26" s="285"/>
      <c r="BK26" s="530" t="str">
        <f ca="1">AK26</f>
        <v>IWDPH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INDWDPHBCOAE1</v>
      </c>
      <c r="D27" s="146" t="str">
        <f ca="1">+OFFSET(Processes!E8,$D$11,0)</f>
        <v>Wood products industry Heat Medium Temp. Boiler - Coal Existing 1</v>
      </c>
      <c r="E27" s="149" t="str">
        <f>+Processes!O8</f>
        <v>INDCOA</v>
      </c>
      <c r="F27" s="149" t="str">
        <f ca="1">+OFFSET(Processes!$M$12,$D$11,0) &amp; Processes!P8</f>
        <v>IWDPH</v>
      </c>
      <c r="G27" s="322">
        <f t="shared" ref="G27:G62" si="18">ROUNDUP(AN27/($Z27*$AA27)*G$21*W27,3)</f>
        <v>2.2349999999999999</v>
      </c>
      <c r="H27" s="322">
        <f t="shared" ref="H27:H62" si="19">ROUNDUP(AO27/($Z27*$AA27)*H$21*X27,3)</f>
        <v>0.125</v>
      </c>
      <c r="I27" s="322">
        <f t="shared" ref="I27:I61" si="20">ROUNDUP(AP27/($Z27*$AA27)*I$21*Y27,3)</f>
        <v>0.125</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3.9930509876804188E-2</v>
      </c>
      <c r="AH27" s="236">
        <f t="shared" si="9"/>
        <v>0</v>
      </c>
      <c r="AI27" s="236">
        <f t="shared" si="10"/>
        <v>0</v>
      </c>
      <c r="AJ27" s="285"/>
      <c r="AK27" s="290"/>
      <c r="AL27" s="291" t="s">
        <v>98</v>
      </c>
      <c r="AM27" s="307">
        <f>D77/1000</f>
        <v>4.2006000000000002E-2</v>
      </c>
      <c r="AN27" s="308">
        <f>AM27*$AN$23</f>
        <v>3.7805400000000003E-2</v>
      </c>
      <c r="AO27" s="309">
        <f t="shared" ref="AO27:AO29" si="27">AM27*$AO$23</f>
        <v>2.1003000000000003E-3</v>
      </c>
      <c r="AP27" s="309">
        <f>AM27*$AP$23</f>
        <v>2.1003000000000003E-3</v>
      </c>
      <c r="AQ27" s="306">
        <f t="shared" ref="AQ27:AQ62" si="28">IFERROR(G27*$Z27*$AA27/G$21,0)</f>
        <v>3.5206273726273732E-2</v>
      </c>
      <c r="AR27" s="309">
        <f t="shared" ref="AR27:AR62" si="29">IFERROR(H27*$Z27*$AA27/H$21,0)</f>
        <v>1.9690309690309693E-3</v>
      </c>
      <c r="AS27" s="540">
        <f t="shared" ref="AS27:AS62" si="30">IFERROR(I27*$Z27*$AA27/I$21,0)</f>
        <v>1.9690309690309693E-3</v>
      </c>
      <c r="AT27" s="307">
        <f t="shared" si="11"/>
        <v>3.7815546429939562E-2</v>
      </c>
      <c r="AU27" s="308">
        <f t="shared" si="11"/>
        <v>2.1149634468646287E-3</v>
      </c>
      <c r="AV27" s="353">
        <f t="shared" si="11"/>
        <v>2.1149634468646287E-3</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INDWDPHBDSLE1</v>
      </c>
      <c r="D28" s="146" t="str">
        <f ca="1">+OFFSET(Processes!E9,$D$11,0)</f>
        <v>Wood products industry Heat Medium Temp. Boiler - Diesel Existing 1</v>
      </c>
      <c r="E28" s="149" t="str">
        <f>+Processes!O9</f>
        <v>INDDSB1,INDDSB2,INDDSL</v>
      </c>
      <c r="F28" s="149" t="str">
        <f ca="1">+OFFSET(Processes!$M$12,$D$11,0) &amp; Processes!P9</f>
        <v>IWDPH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INDWDPHBWPEE1</v>
      </c>
      <c r="D29" s="146" t="str">
        <f ca="1">+OFFSET(Processes!E10,$D$11,0)</f>
        <v>Wood products industry Heat Medium Temp. Boiler - Wood Pellets Existing 1</v>
      </c>
      <c r="E29" s="149" t="str">
        <f>+Processes!O10</f>
        <v>INDWPE</v>
      </c>
      <c r="F29" s="149" t="str">
        <f ca="1">+OFFSET(Processes!$M$12,$D$11,0) &amp; Processes!P10</f>
        <v>IWDPH</v>
      </c>
      <c r="G29" s="321">
        <f t="shared" si="18"/>
        <v>2187.0040000000004</v>
      </c>
      <c r="H29" s="321">
        <f t="shared" si="19"/>
        <v>121.501</v>
      </c>
      <c r="I29" s="321">
        <f t="shared" si="20"/>
        <v>121.501</v>
      </c>
      <c r="J29" s="321">
        <f t="shared" si="21"/>
        <v>2414.0220000000004</v>
      </c>
      <c r="K29" s="321">
        <f t="shared" si="22"/>
        <v>134.113</v>
      </c>
      <c r="L29" s="321">
        <f t="shared" si="23"/>
        <v>134.113</v>
      </c>
      <c r="M29" s="321">
        <f t="shared" si="24"/>
        <v>0.24099999999999999</v>
      </c>
      <c r="N29" s="321">
        <f t="shared" si="25"/>
        <v>1.3999999999999999E-2</v>
      </c>
      <c r="O29" s="321">
        <f t="shared" si="26"/>
        <v>1.3999999999999999E-2</v>
      </c>
      <c r="P29" s="321">
        <f t="shared" si="1"/>
        <v>0.24099999999999999</v>
      </c>
      <c r="Q29" s="321">
        <f t="shared" si="2"/>
        <v>1.3999999999999999E-2</v>
      </c>
      <c r="R29" s="321">
        <f t="shared" si="3"/>
        <v>1.3999999999999999E-2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43.654433009967235</v>
      </c>
      <c r="AH29" s="236">
        <f t="shared" si="9"/>
        <v>47.756519653405938</v>
      </c>
      <c r="AI29" s="236">
        <f t="shared" si="10"/>
        <v>4.7791473024853502E-3</v>
      </c>
      <c r="AJ29" s="285"/>
      <c r="AK29" s="290"/>
      <c r="AL29" s="559" t="s">
        <v>99</v>
      </c>
      <c r="AM29" s="560">
        <f>K77/1000</f>
        <v>45.951999999999998</v>
      </c>
      <c r="AN29" s="561">
        <f>AM29*$AN$23</f>
        <v>41.3568</v>
      </c>
      <c r="AO29" s="562">
        <f t="shared" si="27"/>
        <v>2.2976000000000001</v>
      </c>
      <c r="AP29" s="562">
        <f>AM29*$AP$23</f>
        <v>2.2976000000000001</v>
      </c>
      <c r="AQ29" s="582">
        <f t="shared" si="28"/>
        <v>34.45022884315685</v>
      </c>
      <c r="AR29" s="562">
        <f t="shared" si="29"/>
        <v>1.9139138541458545</v>
      </c>
      <c r="AS29" s="563">
        <f t="shared" si="30"/>
        <v>1.9139138541458545</v>
      </c>
      <c r="AT29" s="560">
        <f t="shared" si="11"/>
        <v>41.356817338723708</v>
      </c>
      <c r="AU29" s="561">
        <f t="shared" si="11"/>
        <v>2.297615671243523</v>
      </c>
      <c r="AV29" s="566">
        <f t="shared" si="11"/>
        <v>2.297615671243523</v>
      </c>
      <c r="AW29" s="285"/>
      <c r="AX29" s="290"/>
      <c r="AY29" s="559" t="s">
        <v>99</v>
      </c>
      <c r="AZ29" s="560">
        <f>K97/1000</f>
        <v>50.27</v>
      </c>
      <c r="BA29" s="561">
        <f>AZ29*$AN$23</f>
        <v>45.243000000000002</v>
      </c>
      <c r="BB29" s="562">
        <f t="shared" si="31"/>
        <v>2.5135000000000005</v>
      </c>
      <c r="BC29" s="562">
        <f t="shared" si="32"/>
        <v>2.5135000000000005</v>
      </c>
      <c r="BD29" s="560">
        <f t="shared" si="33"/>
        <v>37.687424649504962</v>
      </c>
      <c r="BE29" s="561">
        <f t="shared" si="34"/>
        <v>2.0937562217821784</v>
      </c>
      <c r="BF29" s="566">
        <f t="shared" si="35"/>
        <v>2.0937562217821784</v>
      </c>
      <c r="BG29" s="560">
        <f t="shared" si="15"/>
        <v>45.243006782118805</v>
      </c>
      <c r="BH29" s="561">
        <f t="shared" si="16"/>
        <v>2.5135128712871291</v>
      </c>
      <c r="BI29" s="566">
        <f t="shared" si="17"/>
        <v>2.5135128712871291</v>
      </c>
      <c r="BJ29" s="285"/>
      <c r="BK29" s="290"/>
      <c r="BL29" s="559" t="s">
        <v>99</v>
      </c>
      <c r="BM29" s="560">
        <f>K117/1000</f>
        <v>5.0000000000000001E-3</v>
      </c>
      <c r="BN29" s="561">
        <f>BM29*$AN$23</f>
        <v>4.5000000000000005E-3</v>
      </c>
      <c r="BO29" s="562">
        <f t="shared" si="36"/>
        <v>2.5000000000000001E-4</v>
      </c>
      <c r="BP29" s="562">
        <f t="shared" si="37"/>
        <v>2.5000000000000001E-4</v>
      </c>
      <c r="BQ29" s="560">
        <f t="shared" si="38"/>
        <v>3.7624633663366335E-3</v>
      </c>
      <c r="BR29" s="561">
        <f t="shared" si="39"/>
        <v>2.1856633663366334E-4</v>
      </c>
      <c r="BS29" s="566">
        <f t="shared" si="40"/>
        <v>2.1856633663366334E-4</v>
      </c>
      <c r="BT29" s="560">
        <f t="shared" si="41"/>
        <v>4.5167627447018415E-3</v>
      </c>
      <c r="BU29" s="561">
        <f t="shared" si="42"/>
        <v>2.6238455778350943E-4</v>
      </c>
      <c r="BV29" s="566">
        <f t="shared" si="43"/>
        <v>2.6238455778350943E-4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INDWDPHBBGAE1</v>
      </c>
      <c r="D31" s="146" t="str">
        <f ca="1">+OFFSET(Processes!E12,$D$11,0)</f>
        <v>Wood products industry Heat Medium Temp. Boiler - Biogas Existing 1</v>
      </c>
      <c r="E31" s="149" t="str">
        <f>+Processes!O12</f>
        <v>INDBGA</v>
      </c>
      <c r="F31" s="172" t="str">
        <f ca="1">+OFFSET(Processes!$M$12,$D$11,0) &amp; Processes!P12</f>
        <v>IWDPH</v>
      </c>
      <c r="G31" s="322">
        <f t="shared" si="18"/>
        <v>0</v>
      </c>
      <c r="H31" s="322">
        <f t="shared" si="19"/>
        <v>0</v>
      </c>
      <c r="I31" s="322">
        <f t="shared" si="20"/>
        <v>0</v>
      </c>
      <c r="J31" s="322" t="e">
        <f t="shared" si="21"/>
        <v>#REF!</v>
      </c>
      <c r="K31" s="322" t="e">
        <f t="shared" si="22"/>
        <v>#REF!</v>
      </c>
      <c r="L31" s="322" t="e">
        <f t="shared" si="23"/>
        <v>#REF!</v>
      </c>
      <c r="M31" s="322">
        <f t="shared" si="24"/>
        <v>257.447</v>
      </c>
      <c r="N31" s="322">
        <f t="shared" si="25"/>
        <v>14.302999999999999</v>
      </c>
      <c r="O31" s="322">
        <f t="shared" si="26"/>
        <v>14.302999999999999</v>
      </c>
      <c r="P31" s="322">
        <f t="shared" si="1"/>
        <v>257.447</v>
      </c>
      <c r="Q31" s="322">
        <f t="shared" si="2"/>
        <v>14.302999999999999</v>
      </c>
      <c r="R31" s="322">
        <f t="shared" si="3"/>
        <v>14.302999999999999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4.3291109315013143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4.5569449999999998</v>
      </c>
      <c r="BN31" s="561">
        <f>BM31*$AN$23</f>
        <v>4.1012504999999999</v>
      </c>
      <c r="BO31" s="562">
        <f>BM31*$BB$23</f>
        <v>0.22784725</v>
      </c>
      <c r="BP31" s="562">
        <f>BM31*$BC$23</f>
        <v>0.22784725</v>
      </c>
      <c r="BQ31" s="560">
        <f t="shared" si="38"/>
        <v>4.0192319762376245</v>
      </c>
      <c r="BR31" s="561">
        <f t="shared" si="39"/>
        <v>0.22329673663366337</v>
      </c>
      <c r="BS31" s="566">
        <f t="shared" si="40"/>
        <v>0.22329673663366337</v>
      </c>
      <c r="BT31" s="560">
        <f t="shared" si="41"/>
        <v>4.101257118609821</v>
      </c>
      <c r="BU31" s="561">
        <f t="shared" si="42"/>
        <v>0.22785381289149323</v>
      </c>
      <c r="BV31" s="566">
        <f t="shared" si="43"/>
        <v>0.22785381289149323</v>
      </c>
      <c r="BW31" s="285"/>
      <c r="BX31" s="285"/>
      <c r="BY31" s="285"/>
    </row>
    <row r="32" spans="3:77" ht="12.75" customHeight="1">
      <c r="C32" s="146" t="str">
        <f ca="1">+IF(OFFSET(Processes!B13,$D$11,0)="*","*",OFFSET(Processes!D13,$D$11,0))</f>
        <v>INDWDPHBHFOE1</v>
      </c>
      <c r="D32" s="146" t="str">
        <f ca="1">+OFFSET(Processes!E13,$D$11,0)</f>
        <v>Wood products industry Heat Medium Temp. Boiler - Heavy Fuel Oil Existing 1</v>
      </c>
      <c r="E32" s="149" t="str">
        <f>+Processes!O13</f>
        <v>INDHFO</v>
      </c>
      <c r="F32" s="172" t="str">
        <f ca="1">+OFFSET(Processes!$M$12,$D$11,0) &amp; Processes!P13</f>
        <v>IWDPH</v>
      </c>
      <c r="G32" s="322">
        <f t="shared" si="18"/>
        <v>49.363</v>
      </c>
      <c r="H32" s="322">
        <f t="shared" si="19"/>
        <v>2.7429999999999999</v>
      </c>
      <c r="I32" s="322">
        <f t="shared" si="20"/>
        <v>2.7429999999999999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0.88161828289862687</v>
      </c>
      <c r="AH32" s="236">
        <f t="shared" si="9"/>
        <v>3.8719477619083065E-2</v>
      </c>
      <c r="AI32" s="236">
        <f t="shared" si="10"/>
        <v>3.8350560985207012E-2</v>
      </c>
      <c r="AJ32" s="285"/>
      <c r="AK32" s="290"/>
      <c r="AL32" s="559" t="s">
        <v>101</v>
      </c>
      <c r="AM32" s="560">
        <f>E77/1000</f>
        <v>0.92800400000000005</v>
      </c>
      <c r="AN32" s="561">
        <f t="shared" si="47"/>
        <v>0.83520360000000005</v>
      </c>
      <c r="AO32" s="562">
        <f>AM32*$AO$23</f>
        <v>4.6400200000000003E-2</v>
      </c>
      <c r="AP32" s="562">
        <f t="shared" si="49"/>
        <v>4.6400200000000003E-2</v>
      </c>
      <c r="AQ32" s="582">
        <f t="shared" si="28"/>
        <v>0.77757820579420589</v>
      </c>
      <c r="AR32" s="562">
        <f t="shared" si="29"/>
        <v>4.3208415584415592E-2</v>
      </c>
      <c r="AS32" s="563">
        <f t="shared" si="30"/>
        <v>4.3208415584415592E-2</v>
      </c>
      <c r="AT32" s="560">
        <f t="shared" si="50"/>
        <v>0.83520752502062934</v>
      </c>
      <c r="AU32" s="561">
        <f t="shared" si="50"/>
        <v>4.6410757877997415E-2</v>
      </c>
      <c r="AV32" s="566">
        <f t="shared" si="50"/>
        <v>4.6410757877997415E-2</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INDWDPHBLPGE1</v>
      </c>
      <c r="D33" s="146" t="str">
        <f ca="1">+OFFSET(Processes!E14,$D$11,0)</f>
        <v>Wood products industry Heat Medium Temp. Boiler - Liquified Petroleum Gas Existing 1</v>
      </c>
      <c r="E33" s="149" t="str">
        <f>+Processes!O14</f>
        <v>INDLPG</v>
      </c>
      <c r="F33" s="172" t="str">
        <f ca="1">+OFFSET(Processes!$M$12,$D$11,0) &amp; Processes!P14</f>
        <v>IWDPH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t="e">
        <f t="shared" si="10"/>
        <v>#REF!</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INDWDPHBWSTE1</v>
      </c>
      <c r="D34" s="146" t="str">
        <f ca="1">+OFFSET(Processes!E15,$D$11,0)</f>
        <v>Wood products industry Heat Medium Temp. Boiler - Waste Existing 1</v>
      </c>
      <c r="E34" s="149" t="str">
        <f>+Processes!O15</f>
        <v>INDWST</v>
      </c>
      <c r="F34" s="172" t="str">
        <f ca="1">+OFFSET(Processes!$M$12,$D$11,0) &amp; Processes!P15</f>
        <v>IWDPH</v>
      </c>
      <c r="G34" s="322">
        <f t="shared" si="18"/>
        <v>0</v>
      </c>
      <c r="H34" s="322">
        <f t="shared" si="19"/>
        <v>0</v>
      </c>
      <c r="I34" s="322">
        <f t="shared" si="20"/>
        <v>0</v>
      </c>
      <c r="J34" s="322">
        <f t="shared" si="21"/>
        <v>1.0199999999999998</v>
      </c>
      <c r="K34" s="322">
        <f t="shared" si="22"/>
        <v>5.7000000000000002E-2</v>
      </c>
      <c r="L34" s="322">
        <f t="shared" si="23"/>
        <v>5.7000000000000002E-2</v>
      </c>
      <c r="M34" s="322">
        <f t="shared" si="24"/>
        <v>2588.9660000000003</v>
      </c>
      <c r="N34" s="322">
        <f t="shared" si="25"/>
        <v>143.83199999999999</v>
      </c>
      <c r="O34" s="322">
        <f t="shared" si="26"/>
        <v>143.83199999999999</v>
      </c>
      <c r="P34" s="322">
        <f t="shared" si="1"/>
        <v>2588.9660000000003</v>
      </c>
      <c r="Q34" s="322">
        <f t="shared" si="2"/>
        <v>143.83199999999999</v>
      </c>
      <c r="R34" s="322">
        <f t="shared" si="3"/>
        <v>143.83199999999999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1.8060146122023588E-2</v>
      </c>
      <c r="AI34" s="236">
        <f t="shared" si="10"/>
        <v>45.826119964692502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1.9E-2</v>
      </c>
      <c r="BA34" s="561">
        <f>AZ34*$AN$23</f>
        <v>1.7100000000000001E-2</v>
      </c>
      <c r="BB34" s="562">
        <f t="shared" si="51"/>
        <v>9.5E-4</v>
      </c>
      <c r="BC34" s="562">
        <f t="shared" si="52"/>
        <v>9.5E-4</v>
      </c>
      <c r="BD34" s="560">
        <f t="shared" si="33"/>
        <v>1.5924118811881185E-2</v>
      </c>
      <c r="BE34" s="561">
        <f t="shared" si="34"/>
        <v>8.8987722772277235E-4</v>
      </c>
      <c r="BF34" s="566">
        <f t="shared" si="35"/>
        <v>8.8987722772277235E-4</v>
      </c>
      <c r="BG34" s="560">
        <f t="shared" si="15"/>
        <v>1.7104316661526515E-2</v>
      </c>
      <c r="BH34" s="561">
        <f t="shared" si="16"/>
        <v>9.5582946049707022E-4</v>
      </c>
      <c r="BI34" s="566">
        <f t="shared" si="17"/>
        <v>9.5582946049707022E-4</v>
      </c>
      <c r="BJ34" s="285"/>
      <c r="BK34" s="290"/>
      <c r="BL34" s="559" t="s">
        <v>102</v>
      </c>
      <c r="BM34" s="560">
        <f>$L117/1000</f>
        <v>48.238</v>
      </c>
      <c r="BN34" s="561">
        <f>BM34*$AN$23</f>
        <v>43.414200000000001</v>
      </c>
      <c r="BO34" s="562">
        <f t="shared" si="53"/>
        <v>2.4119000000000002</v>
      </c>
      <c r="BP34" s="562">
        <f t="shared" si="54"/>
        <v>2.4119000000000002</v>
      </c>
      <c r="BQ34" s="560">
        <f t="shared" si="38"/>
        <v>40.418629592079213</v>
      </c>
      <c r="BR34" s="561">
        <f t="shared" si="39"/>
        <v>2.2454880950495051</v>
      </c>
      <c r="BS34" s="566">
        <f t="shared" si="40"/>
        <v>2.2454880950495051</v>
      </c>
      <c r="BT34" s="560">
        <f t="shared" si="41"/>
        <v>43.41421008816242</v>
      </c>
      <c r="BU34" s="561">
        <f t="shared" si="42"/>
        <v>2.4119098765300806</v>
      </c>
      <c r="BV34" s="566">
        <f t="shared" si="43"/>
        <v>2.4119098765300806</v>
      </c>
      <c r="BW34" s="285"/>
      <c r="BX34" s="285"/>
      <c r="BY34" s="285"/>
    </row>
    <row r="35" spans="3:77" ht="12.75" customHeight="1">
      <c r="C35" s="173" t="str">
        <f ca="1">+IF(OFFSET(Processes!B16,$D$11,0)="*","*",OFFSET(Processes!D16,$D$11,0))</f>
        <v>INDWDPHBHETE1</v>
      </c>
      <c r="D35" s="146" t="str">
        <f ca="1">+OFFSET(Processes!E16,$D$11,0)</f>
        <v>Wood products industry Heat Medium Temp. Boiler - Dist. Heat Existing 1</v>
      </c>
      <c r="E35" s="149" t="str">
        <f>+Processes!O16</f>
        <v>INDHCE</v>
      </c>
      <c r="F35" s="172" t="str">
        <f ca="1">+OFFSET(Processes!$M$12,$D$11,0) &amp; Processes!P16</f>
        <v>IWDPH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INDWDPHBHETE2</v>
      </c>
      <c r="D36" s="146" t="str">
        <f ca="1">+OFFSET(Processes!E17,$D$11,0)</f>
        <v>Wood products industry Heat Medium Temp. Boiler - Dist. Heat Existing 2</v>
      </c>
      <c r="E36" s="149" t="str">
        <f>+Processes!O17</f>
        <v>INDHDE</v>
      </c>
      <c r="F36" s="172" t="str">
        <f ca="1">+OFFSET(Processes!$M$12,$D$11,0) &amp; Processes!P17</f>
        <v>IWDPH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INDWDPHBELCE1</v>
      </c>
      <c r="D37" s="148" t="str">
        <f ca="1">+OFFSET(Processes!E18,$D$11,0)</f>
        <v>Wood products industry Heat Medium Temp. Boiler - Electricity Existing 1</v>
      </c>
      <c r="E37" s="174" t="str">
        <f>+Processes!O18</f>
        <v>INDELC</v>
      </c>
      <c r="F37" s="174" t="str">
        <f ca="1">+OFFSET(Processes!$M$12,$D$11,0) &amp; Processes!P18</f>
        <v>IWDPH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INDWDCOBNGAE1</v>
      </c>
      <c r="D38" s="173" t="str">
        <f ca="1">+OFFSET(Processes!E19,$D$11,0)</f>
        <v>Wood products industry Heat High Temp. Boiler - Nat. Gas Existing 1</v>
      </c>
      <c r="E38" s="172" t="str">
        <f>+Processes!O19</f>
        <v>INDSNG1,INDSNG2,INDNGA</v>
      </c>
      <c r="F38" s="172" t="str">
        <f ca="1">+OFFSET(Processes!$M$12,$D$11,0) &amp; Processes!P19</f>
        <v>IWDCO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IWDCO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IWDCO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IWDCO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INDWDCOBCOAE1</v>
      </c>
      <c r="D39" s="173" t="str">
        <f ca="1">+OFFSET(Processes!E20,$D$11,0)</f>
        <v>Wood products industry Heat High Temp. Boiler - Coal Existing 1</v>
      </c>
      <c r="E39" s="172" t="str">
        <f>+Processes!O20</f>
        <v>INDCOA</v>
      </c>
      <c r="F39" s="172" t="str">
        <f ca="1">+OFFSET(Processes!$M$12,$D$11,0) &amp; Processes!P20</f>
        <v>IWDCO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INDWDCOBDSLE1</v>
      </c>
      <c r="D40" s="173" t="str">
        <f ca="1">+OFFSET(Processes!E21,$D$11,0)</f>
        <v>Wood products industry Heat High Temp. Boiler - Diesel Existing 1</v>
      </c>
      <c r="E40" s="172" t="str">
        <f>+Processes!O21</f>
        <v>INDDSB1,INDDSB2,INDDSL</v>
      </c>
      <c r="F40" s="172" t="str">
        <f ca="1">+OFFSET(Processes!$M$12,$D$11,0) &amp; Processes!P21</f>
        <v>IWDCO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INDWDCOBWPEE1</v>
      </c>
      <c r="D41" s="173" t="str">
        <f ca="1">+OFFSET(Processes!E22,$D$11,0)</f>
        <v>Wood products industry Heat High Temp. Boiler - Wood Pellets Existing 1</v>
      </c>
      <c r="E41" s="172" t="str">
        <f>+Processes!O22</f>
        <v>INDWPE</v>
      </c>
      <c r="F41" s="172" t="str">
        <f ca="1">+OFFSET(Processes!$M$12,$D$11,0) &amp; Processes!P22</f>
        <v>IWDCO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INDWDCOBHFOE1</v>
      </c>
      <c r="D43" s="173" t="str">
        <f ca="1">+OFFSET(Processes!E24,$D$11,0)</f>
        <v>Wood products industry Heat High Temp. Boiler - Heavy Fuel Oil Existing 1</v>
      </c>
      <c r="E43" s="172" t="str">
        <f>+Processes!O24</f>
        <v>INDHFO</v>
      </c>
      <c r="F43" s="172" t="str">
        <f ca="1">+OFFSET(Processes!$M$12,$D$11,0) &amp; Processes!P24</f>
        <v>IWDCO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INDWDCOBLPGE1</v>
      </c>
      <c r="D44" s="173" t="str">
        <f ca="1">+OFFSET(Processes!E25,$D$11,0)</f>
        <v>Wood products industry Heat High Temp. Boiler - Liquified Petroleum Gas Existing 1</v>
      </c>
      <c r="E44" s="172" t="str">
        <f>+Processes!O25</f>
        <v>INDLPG</v>
      </c>
      <c r="F44" s="172" t="str">
        <f ca="1">+OFFSET(Processes!$M$12,$D$11,0) &amp; Processes!P25</f>
        <v>IWDCO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INDWDCOBWSTE1</v>
      </c>
      <c r="D45" s="173" t="str">
        <f ca="1">+OFFSET(Processes!E26,$D$11,0)</f>
        <v>Wood products industry Heat High Temp. Boiler - Waste Existing 1</v>
      </c>
      <c r="E45" s="172" t="str">
        <f>+Processes!O26</f>
        <v>INDWST</v>
      </c>
      <c r="F45" s="172" t="str">
        <f ca="1">+OFFSET(Processes!$M$12,$D$11,0) &amp; Processes!P26</f>
        <v>IWDCO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INDWDCOBELCE1</v>
      </c>
      <c r="D46" s="148" t="str">
        <f ca="1">+OFFSET(Processes!E27,$D$11,0)</f>
        <v>Wood products industry Heat High Temp. Boiler - Electricity Existing 1</v>
      </c>
      <c r="E46" s="174" t="str">
        <f>+Processes!O27</f>
        <v>INDELC</v>
      </c>
      <c r="F46" s="174" t="str">
        <f ca="1">+OFFSET(Processes!$M$12,$D$11,0) &amp; Processes!P27</f>
        <v>IWDCO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INDWDSHBNGAE1</v>
      </c>
      <c r="D47" s="146" t="str">
        <f ca="1">+OFFSET(Processes!E28,$D$11,0)</f>
        <v>Wood products industry Heat Room Boiler - Nat. Gas Existing 1</v>
      </c>
      <c r="E47" s="149" t="str">
        <f>+Processes!O28</f>
        <v>INDSNG1,INDSNG2,INDNGA</v>
      </c>
      <c r="F47" s="149" t="str">
        <f ca="1">+OFFSET(Processes!$M$12,$D$11,0) &amp; Processes!P28</f>
        <v>IWDSH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IWDSH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IWDSH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IWDSH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INDWDSHBCOAE1</v>
      </c>
      <c r="D48" s="146" t="str">
        <f ca="1">+OFFSET(Processes!E29,$D$11,0)</f>
        <v>Wood products industry Heat Room Boiler - Coal Existing 1</v>
      </c>
      <c r="E48" s="149" t="str">
        <f>+Processes!O29</f>
        <v>INDCOA</v>
      </c>
      <c r="F48" s="149" t="str">
        <f ca="1">+OFFSET(Processes!$M$12,$D$11,0) &amp; Processes!P29</f>
        <v>IWDSH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INDWDSHBDSLE1</v>
      </c>
      <c r="D49" s="146" t="str">
        <f ca="1">+OFFSET(Processes!E30,$D$11,0)</f>
        <v>Wood products industry Heat Room Boiler - Diesel Existing 1</v>
      </c>
      <c r="E49" s="149" t="str">
        <f>+Processes!O30</f>
        <v>INDDSB1,INDDSB2,INDDSL</v>
      </c>
      <c r="F49" s="149" t="str">
        <f ca="1">+OFFSET(Processes!$M$12,$D$11,0) &amp; Processes!P30</f>
        <v>IWDSH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INDWDSHBWPEE1</v>
      </c>
      <c r="D50" s="146" t="str">
        <f ca="1">+OFFSET(Processes!E31,$D$11,0)</f>
        <v>Wood products industry Heat Room Boiler - Wood Pellets Existing 1</v>
      </c>
      <c r="E50" s="149" t="str">
        <f>+Processes!O31</f>
        <v>INDWPE</v>
      </c>
      <c r="F50" s="149" t="str">
        <f ca="1">+OFFSET(Processes!$M$12,$D$11,0) &amp; Processes!P31</f>
        <v>IWDSH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INDWDSHBBGAE1</v>
      </c>
      <c r="D52" s="146" t="str">
        <f ca="1">+OFFSET(Processes!E33,$D$11,0)</f>
        <v>Wood products industry Heat Room Boiler - Biogas Existing 1</v>
      </c>
      <c r="E52" s="149" t="str">
        <f>+Processes!O33</f>
        <v>INDBGA</v>
      </c>
      <c r="F52" s="149" t="str">
        <f ca="1">+OFFSET(Processes!$M$12,$D$11,0) &amp; Processes!P33</f>
        <v>IWDSH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INDWDSHBHFOE1</v>
      </c>
      <c r="D53" s="146" t="str">
        <f ca="1">+OFFSET(Processes!E34,$D$11,0)</f>
        <v>Wood products industry Heat Room Boiler - Heavy Fuel Oil Existing 1</v>
      </c>
      <c r="E53" s="149" t="str">
        <f>+Processes!O34</f>
        <v>INDHFO</v>
      </c>
      <c r="F53" s="149" t="str">
        <f ca="1">+OFFSET(Processes!$M$12,$D$11,0) &amp; Processes!P34</f>
        <v>IWDSH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INDWDSHBLPGE1</v>
      </c>
      <c r="D54" s="146" t="str">
        <f ca="1">+OFFSET(Processes!E35,$D$11,0)</f>
        <v>Wood products industry Heat Room Boiler - Liquified Petroleum Gas Existing 1</v>
      </c>
      <c r="E54" s="149" t="str">
        <f>+Processes!O35</f>
        <v>INDLPG</v>
      </c>
      <c r="F54" s="149" t="str">
        <f ca="1">+OFFSET(Processes!$M$12,$D$11,0) &amp; Processes!P35</f>
        <v>IWDSH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INDWDSHBWSTE1</v>
      </c>
      <c r="D55" s="146" t="str">
        <f ca="1">+OFFSET(Processes!E36,$D$11,0)</f>
        <v>Wood products industry Heat Room Boiler - Waste Existing 1</v>
      </c>
      <c r="E55" s="149" t="str">
        <f>+Processes!O36</f>
        <v>INDWST</v>
      </c>
      <c r="F55" s="149" t="str">
        <f ca="1">+OFFSET(Processes!$M$12,$D$11,0) &amp; Processes!P36</f>
        <v>IWDSH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INDWDSHBHETE1</v>
      </c>
      <c r="D56" s="146" t="str">
        <f ca="1">+OFFSET(Processes!E37,$D$11,0)</f>
        <v>Wood products industry Heat Room Boiler - Dist. Heat Existing 1</v>
      </c>
      <c r="E56" s="149" t="str">
        <f>+Processes!O37</f>
        <v>INDHCE</v>
      </c>
      <c r="F56" s="149" t="str">
        <f ca="1">+OFFSET(Processes!$M$12,$D$11,0) &amp; Processes!P37</f>
        <v>IWDSH</v>
      </c>
      <c r="G56" s="321">
        <f t="shared" si="18"/>
        <v>254.989</v>
      </c>
      <c r="H56" s="321">
        <f t="shared" si="19"/>
        <v>0</v>
      </c>
      <c r="I56" s="321">
        <f t="shared" si="20"/>
        <v>0</v>
      </c>
      <c r="J56" s="321">
        <f t="shared" si="21"/>
        <v>174.51400000000001</v>
      </c>
      <c r="K56" s="321">
        <f t="shared" si="22"/>
        <v>0</v>
      </c>
      <c r="L56" s="321">
        <f t="shared" si="23"/>
        <v>0</v>
      </c>
      <c r="M56" s="321">
        <f t="shared" si="24"/>
        <v>1010.554</v>
      </c>
      <c r="N56" s="321">
        <f t="shared" si="25"/>
        <v>0</v>
      </c>
      <c r="O56" s="321">
        <f t="shared" si="26"/>
        <v>0</v>
      </c>
      <c r="P56" s="321">
        <f t="shared" si="1"/>
        <v>1010.554</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4.1840103146853158</v>
      </c>
      <c r="AH56" s="236">
        <f t="shared" si="83"/>
        <v>2.8380123267326733</v>
      </c>
      <c r="AI56" s="236">
        <f t="shared" si="84"/>
        <v>16.434009356435645</v>
      </c>
      <c r="AJ56" s="285"/>
      <c r="AK56" s="356"/>
      <c r="AL56" s="559" t="s">
        <v>103</v>
      </c>
      <c r="AM56" s="560">
        <f>N82/1000</f>
        <v>4.1840000000000002</v>
      </c>
      <c r="AN56" s="613">
        <f>AM56</f>
        <v>4.1840000000000002</v>
      </c>
      <c r="AO56" s="614">
        <v>0</v>
      </c>
      <c r="AP56" s="614">
        <v>0</v>
      </c>
      <c r="AQ56" s="582">
        <f t="shared" si="28"/>
        <v>4.0166499020979032</v>
      </c>
      <c r="AR56" s="562">
        <f t="shared" si="29"/>
        <v>0</v>
      </c>
      <c r="AS56" s="563">
        <f t="shared" si="30"/>
        <v>0</v>
      </c>
      <c r="AT56" s="560">
        <f t="shared" si="85"/>
        <v>4.1840103146853158</v>
      </c>
      <c r="AU56" s="561">
        <f t="shared" si="85"/>
        <v>0</v>
      </c>
      <c r="AV56" s="566">
        <f t="shared" si="85"/>
        <v>0</v>
      </c>
      <c r="AW56" s="285"/>
      <c r="AX56" s="356"/>
      <c r="AY56" s="559" t="s">
        <v>103</v>
      </c>
      <c r="AZ56" s="560">
        <f>N102/1000</f>
        <v>2.8380000000000001</v>
      </c>
      <c r="BA56" s="613">
        <f>AZ56</f>
        <v>2.8380000000000001</v>
      </c>
      <c r="BB56" s="614">
        <v>0</v>
      </c>
      <c r="BC56" s="614">
        <v>0</v>
      </c>
      <c r="BD56" s="560">
        <f t="shared" si="33"/>
        <v>2.7244918336633663</v>
      </c>
      <c r="BE56" s="561">
        <f t="shared" si="34"/>
        <v>0</v>
      </c>
      <c r="BF56" s="566">
        <f t="shared" si="35"/>
        <v>0</v>
      </c>
      <c r="BG56" s="560">
        <f t="shared" si="62"/>
        <v>2.8380123267326733</v>
      </c>
      <c r="BH56" s="561">
        <f t="shared" si="63"/>
        <v>0</v>
      </c>
      <c r="BI56" s="566">
        <f t="shared" si="64"/>
        <v>0</v>
      </c>
      <c r="BJ56" s="285"/>
      <c r="BK56" s="356"/>
      <c r="BL56" s="559" t="s">
        <v>103</v>
      </c>
      <c r="BM56" s="560">
        <f>N122/1000</f>
        <v>16.434000000000001</v>
      </c>
      <c r="BN56" s="613">
        <f>BM56</f>
        <v>16.434000000000001</v>
      </c>
      <c r="BO56" s="614">
        <v>0</v>
      </c>
      <c r="BP56" s="614">
        <v>0</v>
      </c>
      <c r="BQ56" s="560">
        <f t="shared" si="38"/>
        <v>15.776648982178218</v>
      </c>
      <c r="BR56" s="561">
        <f t="shared" si="39"/>
        <v>0</v>
      </c>
      <c r="BS56" s="566">
        <f t="shared" si="40"/>
        <v>0</v>
      </c>
      <c r="BT56" s="560">
        <f t="shared" si="65"/>
        <v>16.434009356435645</v>
      </c>
      <c r="BU56" s="561">
        <f t="shared" si="66"/>
        <v>0</v>
      </c>
      <c r="BV56" s="566">
        <f t="shared" si="67"/>
        <v>0</v>
      </c>
      <c r="BW56" s="285"/>
      <c r="BX56" s="285"/>
      <c r="BY56" s="285"/>
    </row>
    <row r="57" spans="3:77" ht="12.75" customHeight="1">
      <c r="C57" s="173" t="str">
        <f ca="1">+IF(OFFSET(Processes!B38,$D$11,0)="*","*",OFFSET(Processes!D38,$D$11,0))</f>
        <v>INDWDSHBHETE2</v>
      </c>
      <c r="D57" s="146" t="str">
        <f ca="1">+OFFSET(Processes!E38,$D$11,0)</f>
        <v>Wood products industry Heat Room Boiler - Dist. Heat Existing 2</v>
      </c>
      <c r="E57" s="149" t="str">
        <f>+Processes!O38</f>
        <v>INDHDE</v>
      </c>
      <c r="F57" s="149" t="str">
        <f ca="1">+OFFSET(Processes!$M$12,$D$11,0) &amp; Processes!P38</f>
        <v>IWDSH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INDWDSHBELCE1</v>
      </c>
      <c r="D58" s="148" t="str">
        <f ca="1">+OFFSET(Processes!E39,$D$11,0)</f>
        <v>Wood products industry Heat Room Boiler - Electricity Existing 1</v>
      </c>
      <c r="E58" s="172" t="str">
        <f>+Processes!O39</f>
        <v>INDELC</v>
      </c>
      <c r="F58" s="174" t="str">
        <f ca="1">+OFFSET(Processes!$M$12,$D$11,0) &amp; Processes!P39</f>
        <v>IWDSH</v>
      </c>
      <c r="G58" s="324">
        <f t="shared" si="18"/>
        <v>2.9699999999999998</v>
      </c>
      <c r="H58" s="324">
        <f t="shared" si="19"/>
        <v>0.16500000000000001</v>
      </c>
      <c r="I58" s="324">
        <f t="shared" si="20"/>
        <v>0.16500000000000001</v>
      </c>
      <c r="J58" s="324">
        <f t="shared" si="21"/>
        <v>2.9849999999999999</v>
      </c>
      <c r="K58" s="324">
        <f t="shared" si="22"/>
        <v>0.16600000000000001</v>
      </c>
      <c r="L58" s="324">
        <f t="shared" si="23"/>
        <v>0.16600000000000001</v>
      </c>
      <c r="M58" s="324">
        <f t="shared" si="24"/>
        <v>2.8000000000000001E-2</v>
      </c>
      <c r="N58" s="324">
        <f t="shared" si="25"/>
        <v>2E-3</v>
      </c>
      <c r="O58" s="324">
        <f t="shared" si="26"/>
        <v>2E-3</v>
      </c>
      <c r="P58" s="324">
        <f t="shared" si="1"/>
        <v>2.8000000000000001E-2</v>
      </c>
      <c r="Q58" s="324">
        <f t="shared" si="2"/>
        <v>2E-3</v>
      </c>
      <c r="R58" s="324">
        <f t="shared" si="3"/>
        <v>2E-3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5.1982417582417589E-2</v>
      </c>
      <c r="AH58" s="236">
        <f t="shared" si="83"/>
        <v>5.1782144867118296E-2</v>
      </c>
      <c r="AI58" s="236">
        <f t="shared" si="84"/>
        <v>4.9300677436164668E-4</v>
      </c>
      <c r="AJ58" s="285"/>
      <c r="AK58" s="355"/>
      <c r="AL58" s="567" t="s">
        <v>61</v>
      </c>
      <c r="AM58" s="560">
        <f>M82/1000</f>
        <v>5.4716445723065853E-2</v>
      </c>
      <c r="AN58" s="561">
        <f t="shared" si="77"/>
        <v>4.9244801150759271E-2</v>
      </c>
      <c r="AO58" s="562">
        <f t="shared" si="78"/>
        <v>2.7358222861532926E-3</v>
      </c>
      <c r="AP58" s="562">
        <f t="shared" si="79"/>
        <v>2.7358222861532926E-3</v>
      </c>
      <c r="AQ58" s="582">
        <f t="shared" si="28"/>
        <v>4.6784175824175829E-2</v>
      </c>
      <c r="AR58" s="562">
        <f t="shared" si="29"/>
        <v>2.5991208791208793E-3</v>
      </c>
      <c r="AS58" s="563">
        <f t="shared" si="30"/>
        <v>2.5991208791208793E-3</v>
      </c>
      <c r="AT58" s="560">
        <f t="shared" ref="AT58:AV62" si="87">IFERROR(AQ58/W58,0)</f>
        <v>4.9246500867553507E-2</v>
      </c>
      <c r="AU58" s="561">
        <f t="shared" si="87"/>
        <v>2.7359167148640834E-3</v>
      </c>
      <c r="AV58" s="566">
        <f t="shared" si="87"/>
        <v>2.7359167148640834E-3</v>
      </c>
      <c r="AW58" s="285"/>
      <c r="AX58" s="355"/>
      <c r="AY58" s="567" t="s">
        <v>61</v>
      </c>
      <c r="AZ58" s="560">
        <f>M102/1000</f>
        <v>5.4498065230157836E-2</v>
      </c>
      <c r="BA58" s="561">
        <f>AZ58*$AN$23</f>
        <v>4.9048258707142051E-2</v>
      </c>
      <c r="BB58" s="562">
        <f t="shared" si="60"/>
        <v>2.724903261507892E-3</v>
      </c>
      <c r="BC58" s="562">
        <f t="shared" si="61"/>
        <v>2.724903261507892E-3</v>
      </c>
      <c r="BD58" s="560">
        <f t="shared" si="33"/>
        <v>4.6601465346534657E-2</v>
      </c>
      <c r="BE58" s="561">
        <f t="shared" si="34"/>
        <v>2.5915722772277229E-3</v>
      </c>
      <c r="BF58" s="566">
        <f t="shared" si="35"/>
        <v>2.5915722772277229E-3</v>
      </c>
      <c r="BG58" s="560">
        <f t="shared" ref="BG58:BI62" si="88">IFERROR(BD58/W58,0)</f>
        <v>4.9054174048983851E-2</v>
      </c>
      <c r="BH58" s="561">
        <f t="shared" si="88"/>
        <v>2.7279708181344453E-3</v>
      </c>
      <c r="BI58" s="566">
        <f t="shared" si="88"/>
        <v>2.7279708181344453E-3</v>
      </c>
      <c r="BJ58" s="285"/>
      <c r="BK58" s="355"/>
      <c r="BL58" s="567" t="s">
        <v>61</v>
      </c>
      <c r="BM58" s="560">
        <f>M122/1000</f>
        <v>5.021403309150537E-4</v>
      </c>
      <c r="BN58" s="561">
        <f>BM58*$AN$23</f>
        <v>4.5192629782354833E-4</v>
      </c>
      <c r="BO58" s="562">
        <f t="shared" si="53"/>
        <v>2.5107016545752685E-5</v>
      </c>
      <c r="BP58" s="562">
        <f t="shared" si="54"/>
        <v>2.5107016545752685E-5</v>
      </c>
      <c r="BQ58" s="560">
        <f t="shared" si="38"/>
        <v>4.3713267326732672E-4</v>
      </c>
      <c r="BR58" s="561">
        <f t="shared" si="39"/>
        <v>3.1223762376237629E-5</v>
      </c>
      <c r="BS58" s="566">
        <f t="shared" si="40"/>
        <v>3.1223762376237629E-5</v>
      </c>
      <c r="BT58" s="560">
        <f t="shared" ref="BT58:BV62" si="89">IFERROR(BQ58/W58,0)</f>
        <v>4.6013965607087025E-4</v>
      </c>
      <c r="BU58" s="561">
        <f t="shared" si="89"/>
        <v>3.2867118290776455E-5</v>
      </c>
      <c r="BV58" s="566">
        <f t="shared" si="89"/>
        <v>3.2867118290776455E-5</v>
      </c>
      <c r="BW58" s="285"/>
      <c r="BX58" s="285"/>
      <c r="BY58" s="285"/>
    </row>
    <row r="59" spans="3:77" ht="12.75" customHeight="1">
      <c r="C59" s="175" t="str">
        <f ca="1">+IF(OFFSET(Processes!B40,$D$11,0)="*","*",OFFSET(Processes!D40,$D$11,0))</f>
        <v>INDWDLAAELCE1</v>
      </c>
      <c r="D59" s="146" t="str">
        <f ca="1">+OFFSET(Processes!E40,$D$11,0)</f>
        <v>Wood products industry Electricity Light Appliance - Electricity Existing 1</v>
      </c>
      <c r="E59" s="176" t="str">
        <f>+Processes!O40</f>
        <v>INDELC</v>
      </c>
      <c r="F59" s="149" t="str">
        <f ca="1">+OFFSET(Processes!$M$12,$D$11,0) &amp; Processes!P40</f>
        <v>IWDLA</v>
      </c>
      <c r="G59" s="323">
        <f t="shared" si="18"/>
        <v>92.76400000000001</v>
      </c>
      <c r="H59" s="323">
        <f t="shared" si="19"/>
        <v>5.1539999999999999</v>
      </c>
      <c r="I59" s="323">
        <f t="shared" si="20"/>
        <v>5.1539999999999999</v>
      </c>
      <c r="J59" s="323">
        <f t="shared" si="21"/>
        <v>93.225000000000009</v>
      </c>
      <c r="K59" s="323">
        <f t="shared" si="22"/>
        <v>5.1800000000000006</v>
      </c>
      <c r="L59" s="323">
        <f t="shared" si="23"/>
        <v>5.1800000000000006</v>
      </c>
      <c r="M59" s="323">
        <f t="shared" si="24"/>
        <v>0.85899999999999999</v>
      </c>
      <c r="N59" s="323">
        <f t="shared" si="25"/>
        <v>4.8000000000000001E-2</v>
      </c>
      <c r="O59" s="323">
        <f t="shared" si="26"/>
        <v>4.8000000000000001E-2</v>
      </c>
      <c r="P59" s="323">
        <f t="shared" si="1"/>
        <v>0.85899999999999999</v>
      </c>
      <c r="Q59" s="323">
        <f t="shared" si="2"/>
        <v>4.8000000000000001E-2</v>
      </c>
      <c r="R59" s="323">
        <f t="shared" si="3"/>
        <v>4.8000000000000001E-2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1.5424285954045958</v>
      </c>
      <c r="AH59" s="236">
        <f t="shared" si="83"/>
        <v>1.5362871683168318</v>
      </c>
      <c r="AI59" s="236">
        <f t="shared" si="84"/>
        <v>1.4159976237623762E-2</v>
      </c>
      <c r="AJ59" s="285"/>
      <c r="AK59" s="531" t="str">
        <f ca="1">F59</f>
        <v>IWDLA</v>
      </c>
      <c r="AL59" s="578" t="s">
        <v>61</v>
      </c>
      <c r="AM59" s="579">
        <f>M80/1000</f>
        <v>1.6236000000000002</v>
      </c>
      <c r="AN59" s="580">
        <f t="shared" si="77"/>
        <v>1.4612400000000001</v>
      </c>
      <c r="AO59" s="583">
        <f t="shared" si="78"/>
        <v>8.1180000000000016E-2</v>
      </c>
      <c r="AP59" s="583">
        <f t="shared" si="79"/>
        <v>8.1180000000000016E-2</v>
      </c>
      <c r="AQ59" s="584">
        <f t="shared" si="28"/>
        <v>1.4612415104895109</v>
      </c>
      <c r="AR59" s="583">
        <f t="shared" si="29"/>
        <v>8.1187084915084931E-2</v>
      </c>
      <c r="AS59" s="585">
        <f t="shared" si="30"/>
        <v>8.1187084915084931E-2</v>
      </c>
      <c r="AT59" s="579">
        <f t="shared" si="87"/>
        <v>1.4612415104895109</v>
      </c>
      <c r="AU59" s="580">
        <f t="shared" si="87"/>
        <v>8.1187084915084931E-2</v>
      </c>
      <c r="AV59" s="581">
        <f t="shared" si="87"/>
        <v>8.1187084915084931E-2</v>
      </c>
      <c r="AW59" s="285"/>
      <c r="AX59" s="531" t="str">
        <f t="shared" ca="1" si="12"/>
        <v>IWDLA</v>
      </c>
      <c r="AY59" s="578" t="s">
        <v>61</v>
      </c>
      <c r="AZ59" s="579">
        <f>M100/1000</f>
        <v>1.6171200000000001</v>
      </c>
      <c r="BA59" s="580">
        <f>AZ59*$AN$23</f>
        <v>1.455408</v>
      </c>
      <c r="BB59" s="583">
        <f t="shared" si="60"/>
        <v>8.0856000000000011E-2</v>
      </c>
      <c r="BC59" s="583">
        <f t="shared" si="61"/>
        <v>8.0856000000000011E-2</v>
      </c>
      <c r="BD59" s="579">
        <f t="shared" si="33"/>
        <v>1.4554176237623764</v>
      </c>
      <c r="BE59" s="580">
        <f t="shared" si="34"/>
        <v>8.0869544554455455E-2</v>
      </c>
      <c r="BF59" s="581">
        <f t="shared" si="35"/>
        <v>8.0869544554455455E-2</v>
      </c>
      <c r="BG59" s="579">
        <f t="shared" si="88"/>
        <v>1.4554176237623764</v>
      </c>
      <c r="BH59" s="580">
        <f t="shared" si="88"/>
        <v>8.0869544554455455E-2</v>
      </c>
      <c r="BI59" s="581">
        <f t="shared" si="88"/>
        <v>8.0869544554455455E-2</v>
      </c>
      <c r="BJ59" s="285"/>
      <c r="BK59" s="531" t="str">
        <f ca="1">AK59</f>
        <v>IWDLA</v>
      </c>
      <c r="BL59" s="578" t="s">
        <v>61</v>
      </c>
      <c r="BM59" s="579">
        <f>M120/1000</f>
        <v>1.49E-2</v>
      </c>
      <c r="BN59" s="580">
        <f>BM59*$AN$23</f>
        <v>1.341E-2</v>
      </c>
      <c r="BO59" s="583">
        <f t="shared" si="53"/>
        <v>7.45E-4</v>
      </c>
      <c r="BP59" s="583">
        <f t="shared" si="54"/>
        <v>7.45E-4</v>
      </c>
      <c r="BQ59" s="579">
        <f t="shared" si="38"/>
        <v>1.341060594059406E-2</v>
      </c>
      <c r="BR59" s="580">
        <f t="shared" si="39"/>
        <v>7.493702970297031E-4</v>
      </c>
      <c r="BS59" s="581">
        <f t="shared" si="40"/>
        <v>7.493702970297031E-4</v>
      </c>
      <c r="BT59" s="579">
        <f t="shared" si="89"/>
        <v>1.341060594059406E-2</v>
      </c>
      <c r="BU59" s="580">
        <f t="shared" si="89"/>
        <v>7.493702970297031E-4</v>
      </c>
      <c r="BV59" s="581">
        <f t="shared" si="89"/>
        <v>7.493702970297031E-4</v>
      </c>
      <c r="BW59" s="285"/>
      <c r="BX59" s="285"/>
      <c r="BY59" s="285"/>
    </row>
    <row r="60" spans="3:77" ht="12.75" customHeight="1">
      <c r="C60" s="148" t="str">
        <f ca="1">+IF(OFFSET(Processes!B41,$D$11,0)="*","*",OFFSET(Processes!D41,$D$11,0))</f>
        <v>INDWDEMMELCE1</v>
      </c>
      <c r="D60" s="148" t="str">
        <f ca="1">+OFFSET(Processes!E41,$D$11,0)</f>
        <v>Wood products industry Electricity Motors - Electricity Existing 1</v>
      </c>
      <c r="E60" s="174" t="str">
        <f>+Processes!O41</f>
        <v>INDELC</v>
      </c>
      <c r="F60" s="174" t="str">
        <f ca="1">+OFFSET(Processes!$M$12,$D$11,0) &amp; Processes!P41</f>
        <v>IWDEM</v>
      </c>
      <c r="G60" s="324">
        <f t="shared" si="18"/>
        <v>834.87599999999998</v>
      </c>
      <c r="H60" s="324">
        <f t="shared" si="19"/>
        <v>46.381999999999998</v>
      </c>
      <c r="I60" s="324">
        <f t="shared" si="20"/>
        <v>46.381999999999998</v>
      </c>
      <c r="J60" s="324">
        <f t="shared" si="21"/>
        <v>839.02</v>
      </c>
      <c r="K60" s="324">
        <f t="shared" si="22"/>
        <v>46.613</v>
      </c>
      <c r="L60" s="324">
        <f t="shared" si="23"/>
        <v>46.613</v>
      </c>
      <c r="M60" s="324">
        <f t="shared" si="24"/>
        <v>7.7310000000000008</v>
      </c>
      <c r="N60" s="324">
        <f t="shared" si="25"/>
        <v>0.43</v>
      </c>
      <c r="O60" s="324">
        <f t="shared" si="26"/>
        <v>0.43</v>
      </c>
      <c r="P60" s="324">
        <f t="shared" si="1"/>
        <v>7.7310000000000008</v>
      </c>
      <c r="Q60" s="324">
        <f t="shared" si="2"/>
        <v>0.43</v>
      </c>
      <c r="R60" s="324">
        <f t="shared" si="3"/>
        <v>0.43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13.881794349650351</v>
      </c>
      <c r="AH60" s="236">
        <f t="shared" si="83"/>
        <v>13.826397172277229</v>
      </c>
      <c r="AI60" s="236">
        <f t="shared" si="84"/>
        <v>0.12740856237623763</v>
      </c>
      <c r="AJ60" s="285"/>
      <c r="AK60" s="536" t="str">
        <f ca="1">F60</f>
        <v>IWDEM</v>
      </c>
      <c r="AL60" s="578" t="s">
        <v>61</v>
      </c>
      <c r="AM60" s="579">
        <f>M81/1000</f>
        <v>14.612399999999999</v>
      </c>
      <c r="AN60" s="580">
        <f t="shared" si="77"/>
        <v>13.151159999999999</v>
      </c>
      <c r="AO60" s="583">
        <f t="shared" si="78"/>
        <v>0.73062000000000005</v>
      </c>
      <c r="AP60" s="583">
        <f t="shared" si="79"/>
        <v>0.73062000000000005</v>
      </c>
      <c r="AQ60" s="584">
        <f t="shared" si="28"/>
        <v>13.151173594405597</v>
      </c>
      <c r="AR60" s="583">
        <f t="shared" si="29"/>
        <v>0.73062075524475534</v>
      </c>
      <c r="AS60" s="585">
        <f t="shared" si="30"/>
        <v>0.73062075524475534</v>
      </c>
      <c r="AT60" s="579">
        <f t="shared" si="87"/>
        <v>13.151173594405597</v>
      </c>
      <c r="AU60" s="580">
        <f t="shared" si="87"/>
        <v>0.73062075524475534</v>
      </c>
      <c r="AV60" s="581">
        <f t="shared" si="87"/>
        <v>0.73062075524475534</v>
      </c>
      <c r="AW60" s="285"/>
      <c r="AX60" s="536" t="str">
        <f t="shared" ca="1" si="12"/>
        <v>IWDEM</v>
      </c>
      <c r="AY60" s="578" t="s">
        <v>61</v>
      </c>
      <c r="AZ60" s="579">
        <f>M101/1000</f>
        <v>14.554080000000003</v>
      </c>
      <c r="BA60" s="580">
        <f>AZ60*$AN$23</f>
        <v>13.098672000000002</v>
      </c>
      <c r="BB60" s="583">
        <f t="shared" si="60"/>
        <v>0.72770400000000013</v>
      </c>
      <c r="BC60" s="583">
        <f t="shared" si="61"/>
        <v>0.72770400000000013</v>
      </c>
      <c r="BD60" s="579">
        <f t="shared" si="33"/>
        <v>13.098680554455447</v>
      </c>
      <c r="BE60" s="580">
        <f t="shared" si="34"/>
        <v>0.72771661782178221</v>
      </c>
      <c r="BF60" s="581">
        <f t="shared" si="35"/>
        <v>0.72771661782178221</v>
      </c>
      <c r="BG60" s="579">
        <f t="shared" si="88"/>
        <v>13.098680554455447</v>
      </c>
      <c r="BH60" s="580">
        <f t="shared" si="88"/>
        <v>0.72771661782178221</v>
      </c>
      <c r="BI60" s="581">
        <f t="shared" si="88"/>
        <v>0.72771661782178221</v>
      </c>
      <c r="BJ60" s="285"/>
      <c r="BK60" s="536" t="str">
        <f ca="1">AK60</f>
        <v>IWDEM</v>
      </c>
      <c r="BL60" s="578" t="s">
        <v>61</v>
      </c>
      <c r="BM60" s="579">
        <f>M121/1000</f>
        <v>0.1341</v>
      </c>
      <c r="BN60" s="580">
        <f>BM60*$AN$23</f>
        <v>0.12069000000000001</v>
      </c>
      <c r="BO60" s="583">
        <f t="shared" si="53"/>
        <v>6.705E-3</v>
      </c>
      <c r="BP60" s="583">
        <f t="shared" si="54"/>
        <v>6.705E-3</v>
      </c>
      <c r="BQ60" s="579">
        <f t="shared" si="38"/>
        <v>0.12069545346534655</v>
      </c>
      <c r="BR60" s="580">
        <f t="shared" si="39"/>
        <v>6.7131089108910889E-3</v>
      </c>
      <c r="BS60" s="581">
        <f t="shared" si="40"/>
        <v>6.7131089108910889E-3</v>
      </c>
      <c r="BT60" s="579">
        <f t="shared" si="89"/>
        <v>0.12069545346534655</v>
      </c>
      <c r="BU60" s="580">
        <f t="shared" si="89"/>
        <v>6.7131089108910889E-3</v>
      </c>
      <c r="BV60" s="581">
        <f t="shared" si="89"/>
        <v>6.7131089108910889E-3</v>
      </c>
      <c r="BW60" s="285"/>
      <c r="BX60" s="285"/>
      <c r="BY60" s="285"/>
    </row>
    <row r="61" spans="3:77" ht="12.75" customHeight="1">
      <c r="C61" s="173" t="str">
        <f ca="1">+IF(OFFSET(Processes!B42,$D$11,0)="*","*",OFFSET(Processes!D42,$D$11,0))</f>
        <v>INDWDTFTDSLE1</v>
      </c>
      <c r="D61" s="173" t="str">
        <f ca="1">+OFFSET(Processes!E42,$D$11,0)</f>
        <v>Wood products industry Tractors, Trucks, Fishing boats, Forest machines - Diesel Existing 1</v>
      </c>
      <c r="E61" s="172" t="str">
        <f>+Processes!O42</f>
        <v>INDDSB1,INDDSB2,INDDSL</v>
      </c>
      <c r="F61" s="173" t="str">
        <f ca="1">+OFFSET(Processes!$M$12,$D$11,0) &amp; Processes!P42</f>
        <v>IWDTF</v>
      </c>
      <c r="G61" s="323">
        <f t="shared" si="18"/>
        <v>100.483</v>
      </c>
      <c r="H61" s="323">
        <f t="shared" si="19"/>
        <v>5.5830000000000002</v>
      </c>
      <c r="I61" s="323">
        <f t="shared" si="20"/>
        <v>5.5830000000000002</v>
      </c>
      <c r="J61" s="323">
        <f t="shared" si="21"/>
        <v>27.150000000000002</v>
      </c>
      <c r="K61" s="323">
        <f t="shared" si="22"/>
        <v>1.5089999999999999</v>
      </c>
      <c r="L61" s="323">
        <f t="shared" si="23"/>
        <v>1.5089999999999999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1.6707779100899103</v>
      </c>
      <c r="AH61" s="236">
        <f t="shared" si="83"/>
        <v>0.44742090297029713</v>
      </c>
      <c r="AI61" s="236">
        <f t="shared" si="84"/>
        <v>0.53016387326732672</v>
      </c>
      <c r="AJ61" s="285"/>
      <c r="AK61" s="536" t="str">
        <f ca="1">F61</f>
        <v>IWDTF</v>
      </c>
      <c r="AL61" s="578" t="s">
        <v>59</v>
      </c>
      <c r="AM61" s="579">
        <f>F79/1000</f>
        <v>1.7586949999999999</v>
      </c>
      <c r="AN61" s="580">
        <f t="shared" si="77"/>
        <v>1.5828255</v>
      </c>
      <c r="AO61" s="583">
        <f t="shared" si="78"/>
        <v>8.7934750000000006E-2</v>
      </c>
      <c r="AP61" s="583">
        <f t="shared" si="79"/>
        <v>8.7934750000000006E-2</v>
      </c>
      <c r="AQ61" s="584">
        <f t="shared" si="28"/>
        <v>1.5828331108891112</v>
      </c>
      <c r="AR61" s="583">
        <f t="shared" si="29"/>
        <v>8.7944799200799215E-2</v>
      </c>
      <c r="AS61" s="585">
        <f t="shared" si="30"/>
        <v>8.7944799200799215E-2</v>
      </c>
      <c r="AT61" s="579">
        <f t="shared" si="87"/>
        <v>1.5828331108891112</v>
      </c>
      <c r="AU61" s="580">
        <f t="shared" si="87"/>
        <v>8.7944799200799215E-2</v>
      </c>
      <c r="AV61" s="581">
        <f t="shared" si="87"/>
        <v>8.7944799200799215E-2</v>
      </c>
      <c r="AW61" s="285"/>
      <c r="AX61" s="536" t="str">
        <f t="shared" ca="1" si="12"/>
        <v>IWDTF</v>
      </c>
      <c r="AY61" s="578" t="s">
        <v>59</v>
      </c>
      <c r="AZ61" s="579">
        <f>F99/1000</f>
        <v>0.47095399999999998</v>
      </c>
      <c r="BA61" s="580">
        <f>AZ61*$AN$23</f>
        <v>0.42385859999999997</v>
      </c>
      <c r="BB61" s="583">
        <f t="shared" si="60"/>
        <v>2.3547700000000001E-2</v>
      </c>
      <c r="BC61" s="583">
        <f t="shared" si="61"/>
        <v>2.3547700000000001E-2</v>
      </c>
      <c r="BD61" s="579">
        <f t="shared" si="33"/>
        <v>0.42386257425742579</v>
      </c>
      <c r="BE61" s="580">
        <f t="shared" si="34"/>
        <v>2.3558328712871286E-2</v>
      </c>
      <c r="BF61" s="581">
        <f t="shared" si="35"/>
        <v>2.3558328712871286E-2</v>
      </c>
      <c r="BG61" s="579">
        <f t="shared" si="88"/>
        <v>0.42386257425742579</v>
      </c>
      <c r="BH61" s="580">
        <f t="shared" si="88"/>
        <v>2.3558328712871286E-2</v>
      </c>
      <c r="BI61" s="581">
        <f t="shared" si="88"/>
        <v>2.3558328712871286E-2</v>
      </c>
      <c r="BJ61" s="285"/>
      <c r="BK61" s="536" t="str">
        <f ca="1">AK61</f>
        <v>IWDTF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INDWDFLTLPGE1</v>
      </c>
      <c r="D62" s="173" t="str">
        <f ca="1">+OFFSET(Processes!E43,$D$11,0)</f>
        <v>Wood products industry Forklifts - LPG Existing 1</v>
      </c>
      <c r="E62" s="172" t="str">
        <f>+Processes!O43</f>
        <v>INDLPG,INDSNG1,INDSNG2</v>
      </c>
      <c r="F62" s="173" t="str">
        <f ca="1">+OFFSET(Processes!$M$12,$D$11,0) &amp; Processes!P43</f>
        <v>IWDFL</v>
      </c>
      <c r="G62" s="323">
        <f t="shared" si="18"/>
        <v>1.9729999999999999</v>
      </c>
      <c r="H62" s="323">
        <f t="shared" si="19"/>
        <v>0.11</v>
      </c>
      <c r="I62" s="323">
        <f>ROUNDUP(AP62/($Z62*$AA62)*I$21*Y62,3)</f>
        <v>0.11</v>
      </c>
      <c r="J62" s="323">
        <f t="shared" si="21"/>
        <v>1.962</v>
      </c>
      <c r="K62" s="323">
        <f t="shared" si="22"/>
        <v>0.109</v>
      </c>
      <c r="L62" s="323">
        <f t="shared" si="23"/>
        <v>0.109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t="e">
        <f t="shared" si="84"/>
        <v>#REF!</v>
      </c>
      <c r="AJ62" s="285"/>
      <c r="AK62" s="536" t="str">
        <f ca="1">F62</f>
        <v>IWDFL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IWDFL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IWDFL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42.006</v>
      </c>
      <c r="E77" s="14">
        <f t="shared" si="93"/>
        <v>928.00400000000002</v>
      </c>
      <c r="F77" s="14">
        <f t="shared" si="93"/>
        <v>0</v>
      </c>
      <c r="G77" s="14">
        <f t="shared" si="93"/>
        <v>0</v>
      </c>
      <c r="H77" s="14">
        <f t="shared" si="93"/>
        <v>11.50775</v>
      </c>
      <c r="I77" s="14">
        <f t="shared" si="93"/>
        <v>6317.1729999999998</v>
      </c>
      <c r="J77" s="14">
        <f t="shared" si="93"/>
        <v>0</v>
      </c>
      <c r="K77" s="14">
        <f t="shared" si="93"/>
        <v>45952</v>
      </c>
      <c r="L77" s="14">
        <f t="shared" si="93"/>
        <v>0</v>
      </c>
      <c r="M77" s="14">
        <f t="shared" si="93"/>
        <v>0</v>
      </c>
      <c r="N77" s="14">
        <f t="shared" si="93"/>
        <v>0</v>
      </c>
      <c r="O77" s="86"/>
      <c r="T77" s="48" t="s">
        <v>209</v>
      </c>
      <c r="U77" s="48"/>
      <c r="V77" s="126" t="str">
        <f>+INDEX('Energy matrix'!C4:N4,1,$D$2)</f>
        <v>Wood and wood products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42.006</v>
      </c>
      <c r="W78" s="117"/>
    </row>
    <row r="79" spans="3:66" ht="12.75" customHeight="1">
      <c r="C79" s="13" t="str">
        <f>$D$152</f>
        <v>Haullage</v>
      </c>
      <c r="D79" s="19">
        <f t="shared" ref="D79:N79" si="95">+INDEX($E152:$O152,1,D$75) * INDEX($V$78:$V$88,D$75,1)</f>
        <v>0</v>
      </c>
      <c r="E79" s="19">
        <f t="shared" si="95"/>
        <v>0</v>
      </c>
      <c r="F79" s="19">
        <f t="shared" si="95"/>
        <v>1758.6949999999999</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928.00400000000002</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1623.6000000000001</v>
      </c>
      <c r="N80" s="14">
        <f t="shared" si="96"/>
        <v>0</v>
      </c>
      <c r="O80" s="86"/>
      <c r="T80" s="117" t="str">
        <f>+'Energy matrix'!B7</f>
        <v>Diesel</v>
      </c>
      <c r="U80" s="117"/>
      <c r="V80" s="118">
        <f>+INDEX('Energy matrix'!C7:N7,1,$D$2)</f>
        <v>1758.6949999999999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14612.4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54.716445723065853</v>
      </c>
      <c r="N82" s="14">
        <f t="shared" si="98"/>
        <v>4184</v>
      </c>
      <c r="O82" s="86"/>
      <c r="T82" s="117" t="str">
        <f>+'Energy matrix'!B9</f>
        <v>LPG</v>
      </c>
      <c r="U82" s="117"/>
      <c r="V82" s="118">
        <f>+INDEX('Energy matrix'!C9:N9,1,$D$2)</f>
        <v>46.030999999999999</v>
      </c>
      <c r="W82" s="117"/>
    </row>
    <row r="83" spans="3:24" ht="12.75" customHeight="1">
      <c r="C83" s="17" t="s">
        <v>57</v>
      </c>
      <c r="D83" s="18">
        <f t="shared" ref="D83:N83" si="99">SUM(D77:D82)</f>
        <v>42.006</v>
      </c>
      <c r="E83" s="18">
        <f t="shared" si="99"/>
        <v>928.00400000000002</v>
      </c>
      <c r="F83" s="18">
        <f t="shared" si="99"/>
        <v>1758.6949999999999</v>
      </c>
      <c r="G83" s="18">
        <f t="shared" si="99"/>
        <v>0</v>
      </c>
      <c r="H83" s="18">
        <f t="shared" si="99"/>
        <v>46.030999999999999</v>
      </c>
      <c r="I83" s="18">
        <f t="shared" si="99"/>
        <v>6317.1729999999998</v>
      </c>
      <c r="J83" s="18">
        <f t="shared" si="99"/>
        <v>0</v>
      </c>
      <c r="K83" s="18">
        <f t="shared" si="99"/>
        <v>45952</v>
      </c>
      <c r="L83" s="18">
        <f t="shared" si="99"/>
        <v>0</v>
      </c>
      <c r="M83" s="18">
        <f t="shared" si="99"/>
        <v>16290.716445723066</v>
      </c>
      <c r="N83" s="18">
        <f t="shared" si="99"/>
        <v>4184</v>
      </c>
      <c r="O83" s="86"/>
      <c r="T83" s="117" t="str">
        <f>+'Energy matrix'!B11</f>
        <v>Natural gas</v>
      </c>
      <c r="U83" s="117"/>
      <c r="V83" s="118">
        <f>+INDEX('Energy matrix'!C11:N11,1,$D$2)</f>
        <v>6317.1729999999998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matrix'!B17</f>
        <v>Biomass</v>
      </c>
      <c r="U85" s="117"/>
      <c r="V85" s="118">
        <f>+INDEX('Energy matrix'!C17:N17,1,$D$2)</f>
        <v>45952</v>
      </c>
      <c r="W85" s="117"/>
    </row>
    <row r="86" spans="3:24" ht="12.75" customHeight="1">
      <c r="O86" s="86"/>
      <c r="T86" s="117" t="str">
        <f>+'Energy matrix'!B18</f>
        <v>Waste</v>
      </c>
      <c r="U86" s="117"/>
      <c r="V86" s="118">
        <f>+INDEX('Energy matrix'!C18:N18,1,$D$2)</f>
        <v>0</v>
      </c>
      <c r="W86" s="117"/>
    </row>
    <row r="87" spans="3:24" ht="12.75" customHeight="1">
      <c r="O87" s="86"/>
      <c r="T87" s="117" t="str">
        <f>+'Energy matrix'!B19</f>
        <v>Electricity</v>
      </c>
      <c r="U87" s="117"/>
      <c r="V87" s="118">
        <f>+INDEX('Energy matrix'!C19:N19,1,$D$2)</f>
        <v>16236</v>
      </c>
      <c r="W87" s="117"/>
    </row>
    <row r="88" spans="3:24" ht="12.75" customHeight="1">
      <c r="O88" s="86"/>
      <c r="T88" s="122" t="str">
        <f>+'Energy matrix'!B20</f>
        <v>District Heating</v>
      </c>
      <c r="U88" s="122"/>
      <c r="V88" s="123">
        <f>+INDEX('Energy matrix'!C20:N20,1,$D$2)</f>
        <v>4184</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75463.909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40.734999999999999</v>
      </c>
      <c r="F97" s="14">
        <f t="shared" si="110"/>
        <v>0</v>
      </c>
      <c r="G97" s="14">
        <f t="shared" si="110"/>
        <v>0</v>
      </c>
      <c r="H97" s="14">
        <f t="shared" si="110"/>
        <v>11.3415</v>
      </c>
      <c r="I97" s="14">
        <f t="shared" si="110"/>
        <v>5130</v>
      </c>
      <c r="J97" s="14" t="e">
        <f t="shared" si="110"/>
        <v>#REF!</v>
      </c>
      <c r="K97" s="14">
        <f t="shared" si="110"/>
        <v>50270</v>
      </c>
      <c r="L97" s="14">
        <f t="shared" si="110"/>
        <v>19</v>
      </c>
      <c r="M97" s="14">
        <f t="shared" si="110"/>
        <v>0</v>
      </c>
      <c r="N97" s="14">
        <f t="shared" si="110"/>
        <v>0</v>
      </c>
      <c r="O97" s="86"/>
      <c r="R97" s="287"/>
      <c r="S97" s="287"/>
      <c r="T97" s="48" t="s">
        <v>209</v>
      </c>
      <c r="U97" s="48"/>
      <c r="V97" s="126" t="str">
        <f>+INDEX('Energy matrix'!C28:N28,1,$D$2)</f>
        <v>Wood and wood products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0</v>
      </c>
      <c r="W98" s="117"/>
    </row>
    <row r="99" spans="3:24" s="285" customFormat="1" ht="12.75" customHeight="1">
      <c r="C99" s="13" t="str">
        <f>$D$152</f>
        <v>Haullage</v>
      </c>
      <c r="D99" s="19">
        <f t="shared" ref="D99:N99" si="112">+INDEX($E152:$O152,1,D$95) * INDEX($V$98:$V$108,D$95,1)</f>
        <v>0</v>
      </c>
      <c r="E99" s="19">
        <f t="shared" si="112"/>
        <v>0</v>
      </c>
      <c r="F99" s="19">
        <f t="shared" si="112"/>
        <v>470.95400000000001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1617.1200000000001</v>
      </c>
      <c r="N100" s="14">
        <f t="shared" si="113"/>
        <v>0</v>
      </c>
      <c r="O100" s="86"/>
      <c r="R100" s="287"/>
      <c r="S100" s="287"/>
      <c r="T100" s="117" t="str">
        <f>'Energy matrix'!B31</f>
        <v>Diesel</v>
      </c>
      <c r="U100" s="117"/>
      <c r="V100" s="118">
        <f>+INDEX('Energy matrix'!C31:N31,1,$D$2)</f>
        <v>470.95400000000001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14554.080000000002</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54.498065230157835</v>
      </c>
      <c r="N102" s="14">
        <f t="shared" si="115"/>
        <v>2838</v>
      </c>
      <c r="O102" s="86"/>
      <c r="R102" s="287"/>
      <c r="S102" s="287"/>
      <c r="T102" s="117" t="str">
        <f>'Energy matrix'!B33</f>
        <v>LPG</v>
      </c>
      <c r="U102" s="117"/>
      <c r="V102" s="118">
        <f>+INDEX('Energy matrix'!C33:N33,1,$D$2)</f>
        <v>45.366</v>
      </c>
      <c r="W102" s="117"/>
    </row>
    <row r="103" spans="3:24" s="285" customFormat="1" ht="12.75" customHeight="1">
      <c r="C103" s="17" t="s">
        <v>57</v>
      </c>
      <c r="D103" s="18">
        <f t="shared" ref="D103:N103" si="116">SUM(D97:D102)</f>
        <v>0</v>
      </c>
      <c r="E103" s="18">
        <f t="shared" si="116"/>
        <v>40.734999999999999</v>
      </c>
      <c r="F103" s="18">
        <f t="shared" si="116"/>
        <v>470.95400000000001</v>
      </c>
      <c r="G103" s="18">
        <f t="shared" si="116"/>
        <v>0</v>
      </c>
      <c r="H103" s="18">
        <f t="shared" si="116"/>
        <v>45.366</v>
      </c>
      <c r="I103" s="18">
        <f t="shared" si="116"/>
        <v>5130</v>
      </c>
      <c r="J103" s="18" t="e">
        <f t="shared" si="116"/>
        <v>#REF!</v>
      </c>
      <c r="K103" s="18">
        <f t="shared" si="116"/>
        <v>50270</v>
      </c>
      <c r="L103" s="18">
        <f t="shared" si="116"/>
        <v>19</v>
      </c>
      <c r="M103" s="18">
        <f t="shared" si="116"/>
        <v>16225.698065230161</v>
      </c>
      <c r="N103" s="18">
        <f t="shared" si="116"/>
        <v>2838</v>
      </c>
      <c r="O103" s="86"/>
      <c r="R103" s="287"/>
      <c r="S103" s="287"/>
      <c r="T103" s="117" t="str">
        <f>'Energy matrix'!B35</f>
        <v>Natural gas</v>
      </c>
      <c r="U103" s="117"/>
      <c r="V103" s="118">
        <f>+INDEX('Energy matrix'!C35:N35,1,$D$2)</f>
        <v>5130</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50270</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19</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16171.2</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2838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0</v>
      </c>
      <c r="E117" s="14">
        <f t="shared" si="127"/>
        <v>40.343000000000004</v>
      </c>
      <c r="F117" s="14">
        <f t="shared" si="127"/>
        <v>0</v>
      </c>
      <c r="G117" s="14">
        <f t="shared" si="127"/>
        <v>0</v>
      </c>
      <c r="H117" s="14" t="e">
        <f t="shared" si="127"/>
        <v>#REF!</v>
      </c>
      <c r="I117" s="14">
        <f t="shared" si="127"/>
        <v>0</v>
      </c>
      <c r="J117" s="14">
        <f t="shared" si="127"/>
        <v>4556.9449999999997</v>
      </c>
      <c r="K117" s="14">
        <f t="shared" si="127"/>
        <v>5</v>
      </c>
      <c r="L117" s="14">
        <f t="shared" si="127"/>
        <v>48238</v>
      </c>
      <c r="M117" s="14">
        <f t="shared" si="127"/>
        <v>0</v>
      </c>
      <c r="N117" s="14">
        <f t="shared" si="127"/>
        <v>0</v>
      </c>
      <c r="O117" s="86"/>
      <c r="T117" s="48" t="s">
        <v>209</v>
      </c>
      <c r="U117" s="48"/>
      <c r="V117" s="126" t="str">
        <f>+INDEX('Energy matrix'!C52:N52,1,$D$2)</f>
        <v>Wood and wood products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0</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14.9</v>
      </c>
      <c r="N120" s="14">
        <f t="shared" si="130"/>
        <v>0</v>
      </c>
      <c r="O120" s="86"/>
      <c r="T120" s="117" t="str">
        <f>'Energy matrix'!B55</f>
        <v>Diesel</v>
      </c>
      <c r="U120" s="117"/>
      <c r="V120" s="118">
        <f>+INDEX('Energy matrix'!C55:N55,1,$D$2)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134.1</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0.50214033091505372</v>
      </c>
      <c r="N122" s="14">
        <f t="shared" si="132"/>
        <v>16434</v>
      </c>
      <c r="O122" s="86"/>
      <c r="T122" s="117" t="e">
        <f>'Energy matrix'!#REF!</f>
        <v>#REF!</v>
      </c>
      <c r="U122" s="117"/>
      <c r="V122" s="118" t="e">
        <f>+_xlfn.SINGLE(INDEX('Energy matrix'!#REF!,1,$D$2))</f>
        <v>#REF!</v>
      </c>
      <c r="W122" s="117"/>
    </row>
    <row r="123" spans="3:31" ht="12.75" customHeight="1">
      <c r="C123" s="17" t="s">
        <v>57</v>
      </c>
      <c r="D123" s="18">
        <f t="shared" ref="D123:N123" si="133">SUM(D117:D122)</f>
        <v>0</v>
      </c>
      <c r="E123" s="18">
        <f t="shared" si="133"/>
        <v>40.343000000000004</v>
      </c>
      <c r="F123" s="18">
        <f t="shared" si="133"/>
        <v>558.05100000000004</v>
      </c>
      <c r="G123" s="18">
        <f t="shared" si="133"/>
        <v>0</v>
      </c>
      <c r="H123" s="18" t="e">
        <f t="shared" si="133"/>
        <v>#REF!</v>
      </c>
      <c r="I123" s="18">
        <f t="shared" si="133"/>
        <v>0</v>
      </c>
      <c r="J123" s="18">
        <f t="shared" si="133"/>
        <v>4556.9449999999997</v>
      </c>
      <c r="K123" s="18">
        <f t="shared" si="133"/>
        <v>5</v>
      </c>
      <c r="L123" s="18">
        <f t="shared" si="133"/>
        <v>48238</v>
      </c>
      <c r="M123" s="18">
        <f t="shared" si="133"/>
        <v>149.50214033091504</v>
      </c>
      <c r="N123" s="18">
        <f t="shared" si="133"/>
        <v>16434</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4556.9449999999997</v>
      </c>
      <c r="W124" s="117"/>
    </row>
    <row r="125" spans="3:31" ht="12.75" customHeight="1">
      <c r="E125" s="25"/>
      <c r="F125" s="25"/>
      <c r="G125" s="25"/>
      <c r="H125" s="25"/>
      <c r="I125" s="25"/>
      <c r="J125" s="25"/>
      <c r="K125" s="25"/>
      <c r="O125" s="86"/>
      <c r="T125" s="117" t="str">
        <f>'Energy matrix'!B60</f>
        <v>Biogas</v>
      </c>
      <c r="U125" s="117"/>
      <c r="V125" s="118">
        <f>+INDEX('Energy matrix'!C60:N60,1,$D$2)</f>
        <v>5</v>
      </c>
      <c r="W125" s="117"/>
    </row>
    <row r="126" spans="3:31" ht="12.75" customHeight="1">
      <c r="O126" s="86"/>
      <c r="T126" s="117" t="str">
        <f>'Energy matrix'!B65</f>
        <v>Biomass</v>
      </c>
      <c r="U126" s="117"/>
      <c r="V126" s="118">
        <f>+INDEX('Energy matrix'!C65:N65,1,$D$2)</f>
        <v>48238</v>
      </c>
      <c r="W126" s="117"/>
    </row>
    <row r="127" spans="3:31" ht="12.75" customHeight="1">
      <c r="O127" s="86"/>
      <c r="T127" s="117" t="str">
        <f>'Energy matrix'!B66</f>
        <v>Waste</v>
      </c>
      <c r="U127" s="117"/>
      <c r="V127" s="118">
        <f>+INDEX('Energy matrix'!C66:N66,1,$D$2)</f>
        <v>149</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16434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010 Wood and wood products</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c r="O151" s="22">
        <v>0</v>
      </c>
      <c r="P151" s="34"/>
      <c r="Q151" s="34"/>
      <c r="R151" s="25"/>
      <c r="S151" s="25"/>
      <c r="W151" s="285"/>
      <c r="X151" s="285"/>
      <c r="Y151" s="2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3.3700693350003606E-3</v>
      </c>
      <c r="O155" s="22">
        <v>1</v>
      </c>
      <c r="P155" s="34"/>
      <c r="Q155" s="34"/>
      <c r="R155" s="25"/>
      <c r="S155" s="25"/>
      <c r="W155" s="285"/>
      <c r="X155" s="285"/>
      <c r="Y155" s="25"/>
      <c r="Z155" s="25"/>
      <c r="AA155" s="25"/>
    </row>
    <row r="156" spans="3:27">
      <c r="C156" s="17" t="str">
        <f>C150</f>
        <v>010 Wood and wood products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56"/>
  <sheetViews>
    <sheetView showGridLines="0" topLeftCell="D102"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3</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Aluminium industry</v>
      </c>
      <c r="E5" s="25"/>
      <c r="F5" s="197"/>
      <c r="G5" s="198"/>
    </row>
    <row r="6" spans="3:29" ht="12.75" customHeight="1">
      <c r="C6" s="62"/>
      <c r="D6" s="70" t="str">
        <f>+INDEX(Commodities!$Y$6:$Y$17,D2)</f>
        <v>03 Non-ferrous metal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03 Non-ferrous metal</v>
      </c>
      <c r="E9" s="25"/>
    </row>
    <row r="10" spans="3:29" ht="12.75" customHeight="1">
      <c r="C10" s="62" t="s">
        <v>154</v>
      </c>
      <c r="D10" s="70">
        <f>+ROW(Processes!$M$44) - ROW(Processes!$M$7)</f>
        <v>37</v>
      </c>
      <c r="E10" s="25"/>
    </row>
    <row r="11" spans="3:29" ht="12.75" customHeight="1">
      <c r="C11" s="62" t="s">
        <v>194</v>
      </c>
      <c r="D11" s="70">
        <f>+$D$10*$D$2-$D$10</f>
        <v>74</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Non-ferrous metal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INDADPHBNGAE1</v>
      </c>
      <c r="D26" s="146" t="str">
        <f ca="1">+OFFSET(Processes!E7,$D$11,0)</f>
        <v>Aluminium industry Heat Medium Temp. Boiler - Nat. Gas Existing 1</v>
      </c>
      <c r="E26" s="149" t="str">
        <f>+Processes!O7</f>
        <v>INDSNG1,INDSNG2,INDNGA</v>
      </c>
      <c r="F26" s="149" t="str">
        <f ca="1">+OFFSET(Processes!$M$12,$D$11,0) &amp; Processes!P7</f>
        <v>IADPH</v>
      </c>
      <c r="G26" s="322">
        <f>ROUNDUP(AN26/($Z26*$AA26)*G$21*W26,3)</f>
        <v>2002.69</v>
      </c>
      <c r="H26" s="322">
        <f t="shared" ref="H26:I26" si="0">ROUNDUP(AO26/($Z26*$AA26)*H$21*X26,3)</f>
        <v>0</v>
      </c>
      <c r="I26" s="322">
        <f t="shared" si="0"/>
        <v>0</v>
      </c>
      <c r="J26" s="322">
        <f>ROUNDUP(BA26/($Z26*$AA26)*J$21*W26,3)</f>
        <v>2124.4550000000004</v>
      </c>
      <c r="K26" s="322">
        <f>ROUNDUP(BB26/($Z26*$AA26)*K$21*X26,3)</f>
        <v>0</v>
      </c>
      <c r="L26" s="322">
        <f>ROUNDUP(BC26/($Z26*$AA26)*L$21*Y26,3)</f>
        <v>0</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32.190682705050051</v>
      </c>
      <c r="AH26" s="236">
        <f t="shared" ref="AH26:AH41" si="9">((J26*Z26*AA26/W26)+(K26*Z26*AA26/X26))/$J$21</f>
        <v>33.84361127500506</v>
      </c>
      <c r="AI26" s="236">
        <f t="shared" ref="AI26:AI41" si="10">((M26*AA26*Z26/W26)+(N26*Z26*AA26/X26))/$M$21</f>
        <v>0</v>
      </c>
      <c r="AJ26" s="236"/>
      <c r="AK26" s="530" t="str">
        <f ca="1">F26</f>
        <v>IADPH</v>
      </c>
      <c r="AL26" s="350" t="s">
        <v>97</v>
      </c>
      <c r="AM26" s="313">
        <f>I77/1000</f>
        <v>32.190674000000001</v>
      </c>
      <c r="AN26" s="310">
        <f>AM26*$AN$23</f>
        <v>32.190674000000001</v>
      </c>
      <c r="AO26" s="311">
        <f>AM26*$AO$23</f>
        <v>0</v>
      </c>
      <c r="AP26" s="311">
        <f>AM26*$AP$23</f>
        <v>0</v>
      </c>
      <c r="AQ26" s="312">
        <f>IFERROR(G26*$Z26*$AA26/G$21,0)</f>
        <v>31.546869050949056</v>
      </c>
      <c r="AR26" s="311">
        <f>IFERROR(H26*$Z26*$AA26/H$21,0)</f>
        <v>0</v>
      </c>
      <c r="AS26" s="338">
        <f>IFERROR(I26*$Z26*$AA26/I$21,0)</f>
        <v>0</v>
      </c>
      <c r="AT26" s="313">
        <f t="shared" ref="AT26:AV29" si="11">IFERROR(AQ26/W26,0)</f>
        <v>32.190682705050058</v>
      </c>
      <c r="AU26" s="310">
        <f t="shared" si="11"/>
        <v>0</v>
      </c>
      <c r="AV26" s="357">
        <f t="shared" si="11"/>
        <v>0</v>
      </c>
      <c r="AW26" s="285"/>
      <c r="AX26" s="530" t="str">
        <f t="shared" ref="AX26:AX62" ca="1" si="12">AK26</f>
        <v>IADPH</v>
      </c>
      <c r="AY26" s="350" t="s">
        <v>97</v>
      </c>
      <c r="AZ26" s="313">
        <f>I97/1000</f>
        <v>33.843599999999995</v>
      </c>
      <c r="BA26" s="310">
        <f>AZ26*$AN$23</f>
        <v>33.843599999999995</v>
      </c>
      <c r="BB26" s="311">
        <f>AZ26*$BB$23</f>
        <v>0</v>
      </c>
      <c r="BC26" s="311">
        <f>AZ26*$BC$23</f>
        <v>0</v>
      </c>
      <c r="BD26" s="313">
        <f t="shared" ref="BD26" si="13">IFERROR(J26*$Z26*AA26/J$21,0)</f>
        <v>33.166739049504962</v>
      </c>
      <c r="BE26" s="310">
        <f t="shared" ref="BE26" si="14">IFERROR(K26*$Z26*AA26/K$21,0)</f>
        <v>0</v>
      </c>
      <c r="BF26" s="357">
        <f>IFERROR(L26*$Z26*AA26/L$21,0)</f>
        <v>0</v>
      </c>
      <c r="BG26" s="313">
        <f t="shared" ref="BG26:BG35" si="15">IFERROR(BD26/W26,0)</f>
        <v>33.843611275005067</v>
      </c>
      <c r="BH26" s="310">
        <f t="shared" ref="BH26:BH35" si="16">IFERROR(BE26/X26,0)</f>
        <v>0</v>
      </c>
      <c r="BI26" s="357">
        <f t="shared" ref="BI26:BI35" si="17">IFERROR(BF26/Y26,0)</f>
        <v>0</v>
      </c>
      <c r="BJ26" s="285"/>
      <c r="BK26" s="530" t="str">
        <f ca="1">AK26</f>
        <v>IADPH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INDADPHBCOAE1</v>
      </c>
      <c r="D27" s="146" t="str">
        <f ca="1">+OFFSET(Processes!E8,$D$11,0)</f>
        <v>Aluminium industry Heat Medium Temp. Boiler - Coal Existing 1</v>
      </c>
      <c r="E27" s="149" t="str">
        <f>+Processes!O8</f>
        <v>INDCOA</v>
      </c>
      <c r="F27" s="149" t="str">
        <f ca="1">+OFFSET(Processes!$M$12,$D$11,0) &amp; Processes!P8</f>
        <v>IADPH</v>
      </c>
      <c r="G27" s="322">
        <f t="shared" ref="G27:G62" si="18">ROUNDUP(AN27/($Z27*$AA27)*G$21*W27,3)</f>
        <v>61.683999999999997</v>
      </c>
      <c r="H27" s="322">
        <f t="shared" ref="H27:H62" si="19">ROUNDUP(AO27/($Z27*$AA27)*H$21*X27,3)</f>
        <v>0</v>
      </c>
      <c r="I27" s="322">
        <f t="shared" ref="I27:I61" si="20">ROUNDUP(AP27/($Z27*$AA27)*I$21*Y27,3)</f>
        <v>0</v>
      </c>
      <c r="J27" s="322">
        <f t="shared" ref="J27:J62" si="21">ROUNDUP(BA27/($Z27*$AA27)*J$21*W27,3)</f>
        <v>80.093000000000004</v>
      </c>
      <c r="K27" s="322">
        <f t="shared" ref="K27:K62" si="22">ROUNDUP(BB27/($Z27*$AA27)*K$21*X27,3)</f>
        <v>0</v>
      </c>
      <c r="L27" s="322">
        <f t="shared" ref="L27:L62" si="23">ROUNDUP(BC27/($Z27*$AA27)*L$21*Y27,3)</f>
        <v>0</v>
      </c>
      <c r="M27" s="322">
        <f t="shared" ref="M27:M62" si="24">ROUNDUP(BN27/($Z27*$AA27)*M$21*W27,3)</f>
        <v>65.454999999999998</v>
      </c>
      <c r="N27" s="322">
        <f t="shared" ref="N27:N62" si="25">ROUNDUP(BO27/($Z27*$AA27)*N$21*X27,3)</f>
        <v>0</v>
      </c>
      <c r="O27" s="322">
        <f t="shared" ref="O27:O62" si="26">ROUNDUP(BP27/($Z27*$AA27)*O$21*Y27,3)</f>
        <v>0</v>
      </c>
      <c r="P27" s="322">
        <f t="shared" si="1"/>
        <v>65.454999999999998</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1.0436752420511821</v>
      </c>
      <c r="AH27" s="236">
        <f t="shared" si="9"/>
        <v>1.3430745435016112</v>
      </c>
      <c r="AI27" s="236">
        <f t="shared" si="10"/>
        <v>1.0976108304708023</v>
      </c>
      <c r="AJ27" s="236"/>
      <c r="AK27" s="290"/>
      <c r="AL27" s="291" t="s">
        <v>98</v>
      </c>
      <c r="AM27" s="307">
        <f>D77/1000</f>
        <v>1.043671</v>
      </c>
      <c r="AN27" s="308">
        <f>AM27*$AN$23</f>
        <v>1.043671</v>
      </c>
      <c r="AO27" s="309">
        <f t="shared" ref="AO27:AO29" si="27">AM27*$AO$23</f>
        <v>0</v>
      </c>
      <c r="AP27" s="309">
        <f>AM27*$AP$23</f>
        <v>0</v>
      </c>
      <c r="AQ27" s="306">
        <f t="shared" ref="AQ27:AQ62" si="28">IFERROR(G27*$Z27*$AA27/G$21,0)</f>
        <v>0.97166165034965046</v>
      </c>
      <c r="AR27" s="309">
        <f t="shared" ref="AR27:AR62" si="29">IFERROR(H27*$Z27*$AA27/H$21,0)</f>
        <v>0</v>
      </c>
      <c r="AS27" s="540">
        <f t="shared" ref="AS27:AS62" si="30">IFERROR(I27*$Z27*$AA27/I$21,0)</f>
        <v>0</v>
      </c>
      <c r="AT27" s="307">
        <f t="shared" si="11"/>
        <v>1.0436752420511821</v>
      </c>
      <c r="AU27" s="308">
        <f t="shared" si="11"/>
        <v>0</v>
      </c>
      <c r="AV27" s="353">
        <f t="shared" si="11"/>
        <v>0</v>
      </c>
      <c r="AW27" s="285"/>
      <c r="AX27" s="290"/>
      <c r="AY27" s="291" t="s">
        <v>98</v>
      </c>
      <c r="AZ27" s="307">
        <f>D97/1000</f>
        <v>1.3430580000000001</v>
      </c>
      <c r="BA27" s="308">
        <f>AZ27*$AN$23</f>
        <v>1.3430580000000001</v>
      </c>
      <c r="BB27" s="309">
        <f t="shared" ref="BB27:BB29" si="31">AZ27*$BB$23</f>
        <v>0</v>
      </c>
      <c r="BC27" s="309">
        <f t="shared" ref="BC27:BC29" si="32">AZ27*$BC$23</f>
        <v>0</v>
      </c>
      <c r="BD27" s="307">
        <f t="shared" ref="BD27:BD62" si="33">IFERROR(J27*$Z27*AA27/J$21,0)</f>
        <v>1.2504024</v>
      </c>
      <c r="BE27" s="308">
        <f t="shared" ref="BE27:BE62" si="34">IFERROR(K27*$Z27*AA27/K$21,0)</f>
        <v>0</v>
      </c>
      <c r="BF27" s="353">
        <f t="shared" ref="BF27:BF62" si="35">IFERROR(L27*$Z27*AA27/L$21,0)</f>
        <v>0</v>
      </c>
      <c r="BG27" s="307">
        <f t="shared" si="15"/>
        <v>1.3430745435016114</v>
      </c>
      <c r="BH27" s="308">
        <f t="shared" si="16"/>
        <v>0</v>
      </c>
      <c r="BI27" s="353">
        <f t="shared" si="17"/>
        <v>0</v>
      </c>
      <c r="BJ27" s="285"/>
      <c r="BK27" s="290"/>
      <c r="BL27" s="291" t="s">
        <v>98</v>
      </c>
      <c r="BM27" s="307">
        <f>D117/1000</f>
        <v>1.0975979999999999</v>
      </c>
      <c r="BN27" s="308">
        <f>BM27*$AN$23</f>
        <v>1.0975979999999999</v>
      </c>
      <c r="BO27" s="309">
        <f t="shared" ref="BO27:BO29" si="36">BM27*$BB$23</f>
        <v>0</v>
      </c>
      <c r="BP27" s="309">
        <f t="shared" ref="BP27:BP29" si="37">BM27*$BC$23</f>
        <v>0</v>
      </c>
      <c r="BQ27" s="307">
        <f t="shared" ref="BQ27:BQ62" si="38">IFERROR(M27*$Z27*$AA27/M$21,0)</f>
        <v>1.0218756831683169</v>
      </c>
      <c r="BR27" s="308">
        <f t="shared" ref="BR27:BR62" si="39">IFERROR(N27*$Z27*$AA27/N$21,0)</f>
        <v>0</v>
      </c>
      <c r="BS27" s="353">
        <f t="shared" ref="BS27:BS62" si="40">IFERROR(O27*$Z27*$AA27/O$21,0)</f>
        <v>0</v>
      </c>
      <c r="BT27" s="307">
        <f t="shared" ref="BT27:BT35" si="41">IFERROR(BQ27/W27,0)</f>
        <v>1.0976108304708023</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INDADPHBDSLE1</v>
      </c>
      <c r="D28" s="146" t="str">
        <f ca="1">+OFFSET(Processes!E9,$D$11,0)</f>
        <v>Aluminium industry Heat Medium Temp. Boiler - Diesel Existing 1</v>
      </c>
      <c r="E28" s="149" t="str">
        <f>+Processes!O9</f>
        <v>INDDSB1,INDDSB2,INDDSL</v>
      </c>
      <c r="F28" s="149" t="str">
        <f ca="1">+OFFSET(Processes!$M$12,$D$11,0) &amp; Processes!P9</f>
        <v>IADPH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INDADPHBWPEE1</v>
      </c>
      <c r="D29" s="146" t="str">
        <f ca="1">+OFFSET(Processes!E10,$D$11,0)</f>
        <v>Aluminium industry Heat Medium Temp. Boiler - Wood Pellets Existing 1</v>
      </c>
      <c r="E29" s="149" t="str">
        <f>+Processes!O10</f>
        <v>INDWPE</v>
      </c>
      <c r="F29" s="149" t="str">
        <f ca="1">+OFFSET(Processes!$M$12,$D$11,0) &amp; Processes!P10</f>
        <v>IADPH</v>
      </c>
      <c r="G29" s="321">
        <f t="shared" si="18"/>
        <v>0</v>
      </c>
      <c r="H29" s="321">
        <f t="shared" si="19"/>
        <v>0</v>
      </c>
      <c r="I29" s="321">
        <f t="shared" si="20"/>
        <v>0</v>
      </c>
      <c r="J29" s="321">
        <f t="shared" si="21"/>
        <v>0</v>
      </c>
      <c r="K29" s="321">
        <f t="shared" si="22"/>
        <v>0</v>
      </c>
      <c r="L29" s="321">
        <f t="shared" si="23"/>
        <v>0</v>
      </c>
      <c r="M29" s="321">
        <f t="shared" si="24"/>
        <v>0.53400000000000003</v>
      </c>
      <c r="N29" s="321">
        <f t="shared" si="25"/>
        <v>0</v>
      </c>
      <c r="O29" s="321">
        <f t="shared" si="26"/>
        <v>0</v>
      </c>
      <c r="P29" s="321">
        <f t="shared" si="1"/>
        <v>0.53400000000000003</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1.0008096704028146E-2</v>
      </c>
      <c r="AJ29" s="236"/>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0.01</v>
      </c>
      <c r="BN29" s="561">
        <f>BM29*$AN$23</f>
        <v>0.01</v>
      </c>
      <c r="BO29" s="562">
        <f t="shared" si="36"/>
        <v>0</v>
      </c>
      <c r="BP29" s="562">
        <f t="shared" si="37"/>
        <v>0</v>
      </c>
      <c r="BQ29" s="560">
        <f t="shared" si="38"/>
        <v>8.3367445544554452E-3</v>
      </c>
      <c r="BR29" s="561">
        <f t="shared" si="39"/>
        <v>0</v>
      </c>
      <c r="BS29" s="566">
        <f t="shared" si="40"/>
        <v>0</v>
      </c>
      <c r="BT29" s="560">
        <f t="shared" si="41"/>
        <v>1.0008096704028146E-2</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INDADPHBBGAE1</v>
      </c>
      <c r="D31" s="146" t="str">
        <f ca="1">+OFFSET(Processes!E12,$D$11,0)</f>
        <v>Aluminium industry Heat Medium Temp. Boiler - Biogas Existing 1</v>
      </c>
      <c r="E31" s="149" t="str">
        <f>+Processes!O12</f>
        <v>INDBGA</v>
      </c>
      <c r="F31" s="172" t="str">
        <f ca="1">+OFFSET(Processes!$M$12,$D$11,0) &amp; Processes!P12</f>
        <v>IADPH</v>
      </c>
      <c r="G31" s="322">
        <f t="shared" si="18"/>
        <v>1.0579999999999998</v>
      </c>
      <c r="H31" s="322">
        <f t="shared" si="19"/>
        <v>0</v>
      </c>
      <c r="I31" s="322">
        <f t="shared" si="20"/>
        <v>0</v>
      </c>
      <c r="J31" s="322" t="e">
        <f t="shared" si="21"/>
        <v>#REF!</v>
      </c>
      <c r="K31" s="322" t="e">
        <f t="shared" si="22"/>
        <v>#REF!</v>
      </c>
      <c r="L31" s="322" t="e">
        <f t="shared" si="23"/>
        <v>#REF!</v>
      </c>
      <c r="M31" s="322">
        <f t="shared" si="24"/>
        <v>2226.183</v>
      </c>
      <c r="N31" s="322">
        <f t="shared" si="25"/>
        <v>0</v>
      </c>
      <c r="O31" s="322">
        <f t="shared" si="26"/>
        <v>0</v>
      </c>
      <c r="P31" s="322">
        <f t="shared" si="1"/>
        <v>2226.183</v>
      </c>
      <c r="Q31" s="322">
        <f t="shared" si="2"/>
        <v>0</v>
      </c>
      <c r="R31" s="322">
        <f t="shared" si="3"/>
        <v>0</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1.7005998083549103E-2</v>
      </c>
      <c r="AH31" s="236" t="e">
        <f t="shared" si="9"/>
        <v>#REF!</v>
      </c>
      <c r="AI31" s="236">
        <f t="shared" si="10"/>
        <v>35.464188264295814</v>
      </c>
      <c r="AJ31" s="236"/>
      <c r="AK31" s="290"/>
      <c r="AL31" s="559" t="s">
        <v>100</v>
      </c>
      <c r="AM31" s="560">
        <f>J77/1000</f>
        <v>1.7000000000000001E-2</v>
      </c>
      <c r="AN31" s="561">
        <f t="shared" ref="AN31:AN41" si="47">AM31*$AN$23</f>
        <v>1.7000000000000001E-2</v>
      </c>
      <c r="AO31" s="562">
        <f t="shared" ref="AO31:AO33" si="48">AM31*$AO$23</f>
        <v>0</v>
      </c>
      <c r="AP31" s="562">
        <f t="shared" ref="AP31:AP37" si="49">AM31*$AP$23</f>
        <v>0</v>
      </c>
      <c r="AQ31" s="582">
        <f t="shared" si="28"/>
        <v>1.6665878121878121E-2</v>
      </c>
      <c r="AR31" s="562">
        <f t="shared" si="29"/>
        <v>0</v>
      </c>
      <c r="AS31" s="563">
        <f>IFERROR(I31*$Z31*$AA31/I$21,0)</f>
        <v>0</v>
      </c>
      <c r="AT31" s="560">
        <f t="shared" ref="AT31:AV34" si="50">IFERROR(AQ31/W31,0)</f>
        <v>1.7005998083549103E-2</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35.464179999999999</v>
      </c>
      <c r="BN31" s="561">
        <f>BM31*$AN$23</f>
        <v>35.464179999999999</v>
      </c>
      <c r="BO31" s="562">
        <f>BM31*$BB$23</f>
        <v>0</v>
      </c>
      <c r="BP31" s="562">
        <f>BM31*$BC$23</f>
        <v>0</v>
      </c>
      <c r="BQ31" s="560">
        <f t="shared" si="38"/>
        <v>34.754904499009903</v>
      </c>
      <c r="BR31" s="561">
        <f t="shared" si="39"/>
        <v>0</v>
      </c>
      <c r="BS31" s="566">
        <f t="shared" si="40"/>
        <v>0</v>
      </c>
      <c r="BT31" s="560">
        <f t="shared" si="41"/>
        <v>35.464188264295821</v>
      </c>
      <c r="BU31" s="561">
        <f t="shared" si="42"/>
        <v>0</v>
      </c>
      <c r="BV31" s="566">
        <f t="shared" si="43"/>
        <v>0</v>
      </c>
      <c r="BW31" s="285"/>
      <c r="BX31" s="285"/>
      <c r="BY31" s="285"/>
    </row>
    <row r="32" spans="3:77" ht="12.75" customHeight="1">
      <c r="C32" s="146" t="str">
        <f ca="1">+IF(OFFSET(Processes!B13,$D$11,0)="*","*",OFFSET(Processes!D13,$D$11,0))</f>
        <v>INDADPHBHFOE1</v>
      </c>
      <c r="D32" s="146" t="str">
        <f ca="1">+OFFSET(Processes!E13,$D$11,0)</f>
        <v>Aluminium industry Heat Medium Temp. Boiler - Heavy Fuel Oil Existing 1</v>
      </c>
      <c r="E32" s="149" t="str">
        <f>+Processes!O13</f>
        <v>INDHFO</v>
      </c>
      <c r="F32" s="172" t="str">
        <f ca="1">+OFFSET(Processes!$M$12,$D$11,0) &amp; Processes!P13</f>
        <v>IADPH</v>
      </c>
      <c r="G32" s="322">
        <f t="shared" si="18"/>
        <v>57.232999999999997</v>
      </c>
      <c r="H32" s="322">
        <f t="shared" si="19"/>
        <v>0</v>
      </c>
      <c r="I32" s="322">
        <f t="shared" si="20"/>
        <v>0</v>
      </c>
      <c r="J32" s="322">
        <f t="shared" si="21"/>
        <v>72.876000000000005</v>
      </c>
      <c r="K32" s="322">
        <f t="shared" si="22"/>
        <v>0</v>
      </c>
      <c r="L32" s="322">
        <f t="shared" si="23"/>
        <v>0</v>
      </c>
      <c r="M32" s="322">
        <f t="shared" si="24"/>
        <v>40.899000000000001</v>
      </c>
      <c r="N32" s="322">
        <f t="shared" si="25"/>
        <v>0</v>
      </c>
      <c r="O32" s="322">
        <f t="shared" si="26"/>
        <v>0</v>
      </c>
      <c r="P32" s="322">
        <f t="shared" si="1"/>
        <v>40.899000000000001</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0.96836562363522638</v>
      </c>
      <c r="AH32" s="236">
        <f t="shared" si="9"/>
        <v>1.2220531186523595</v>
      </c>
      <c r="AI32" s="236">
        <f t="shared" si="10"/>
        <v>0.68583279131350305</v>
      </c>
      <c r="AJ32" s="236"/>
      <c r="AK32" s="290"/>
      <c r="AL32" s="559" t="s">
        <v>101</v>
      </c>
      <c r="AM32" s="560">
        <f>E77/1000</f>
        <v>0.96835199999999999</v>
      </c>
      <c r="AN32" s="561">
        <f t="shared" si="47"/>
        <v>0.96835199999999999</v>
      </c>
      <c r="AO32" s="562">
        <f>AM32*$AO$23</f>
        <v>0</v>
      </c>
      <c r="AP32" s="562">
        <f t="shared" si="49"/>
        <v>0</v>
      </c>
      <c r="AQ32" s="582">
        <f t="shared" si="28"/>
        <v>0.9015483956043957</v>
      </c>
      <c r="AR32" s="562">
        <f t="shared" si="29"/>
        <v>0</v>
      </c>
      <c r="AS32" s="563">
        <f t="shared" si="30"/>
        <v>0</v>
      </c>
      <c r="AT32" s="560">
        <f t="shared" si="50"/>
        <v>0.96836562363522638</v>
      </c>
      <c r="AU32" s="561">
        <f t="shared" si="50"/>
        <v>0</v>
      </c>
      <c r="AV32" s="566">
        <f t="shared" si="50"/>
        <v>0</v>
      </c>
      <c r="AW32" s="285"/>
      <c r="AX32" s="290"/>
      <c r="AY32" s="559" t="s">
        <v>101</v>
      </c>
      <c r="AZ32" s="560">
        <f>E97/1000</f>
        <v>1.2220499999999999</v>
      </c>
      <c r="BA32" s="561">
        <f>AZ32*$AN$23</f>
        <v>1.2220499999999999</v>
      </c>
      <c r="BB32" s="562">
        <f t="shared" ref="BB32:BB34" si="51">AZ32*$BB$23</f>
        <v>0</v>
      </c>
      <c r="BC32" s="562">
        <f t="shared" ref="BC32:BC34" si="52">AZ32*$BC$23</f>
        <v>0</v>
      </c>
      <c r="BD32" s="560">
        <f>IFERROR(J32*$Z32*AA32/J$21,0)</f>
        <v>1.1377314534653467</v>
      </c>
      <c r="BE32" s="561">
        <f t="shared" si="34"/>
        <v>0</v>
      </c>
      <c r="BF32" s="566">
        <f t="shared" si="35"/>
        <v>0</v>
      </c>
      <c r="BG32" s="560">
        <f t="shared" si="15"/>
        <v>1.2220531186523595</v>
      </c>
      <c r="BH32" s="561">
        <f t="shared" si="16"/>
        <v>0</v>
      </c>
      <c r="BI32" s="566">
        <f t="shared" si="17"/>
        <v>0</v>
      </c>
      <c r="BJ32" s="285"/>
      <c r="BK32" s="290"/>
      <c r="BL32" s="559" t="s">
        <v>101</v>
      </c>
      <c r="BM32" s="560">
        <f>E117/1000</f>
        <v>0.68583099999999997</v>
      </c>
      <c r="BN32" s="561">
        <f>BM32*$AN$23</f>
        <v>0.68583099999999997</v>
      </c>
      <c r="BO32" s="562">
        <f t="shared" ref="BO32:BO62" si="53">BM32*$BB$23</f>
        <v>0</v>
      </c>
      <c r="BP32" s="562">
        <f t="shared" ref="BP32:BP62" si="54">BM32*$BC$23</f>
        <v>0</v>
      </c>
      <c r="BQ32" s="560">
        <f t="shared" si="38"/>
        <v>0.63851032871287128</v>
      </c>
      <c r="BR32" s="561">
        <f t="shared" si="39"/>
        <v>0</v>
      </c>
      <c r="BS32" s="566">
        <f t="shared" si="40"/>
        <v>0</v>
      </c>
      <c r="BT32" s="560">
        <f t="shared" si="41"/>
        <v>0.68583279131350305</v>
      </c>
      <c r="BU32" s="561">
        <f t="shared" si="42"/>
        <v>0</v>
      </c>
      <c r="BV32" s="566">
        <f t="shared" si="43"/>
        <v>0</v>
      </c>
      <c r="BW32" s="285"/>
      <c r="BX32" s="285"/>
      <c r="BY32" s="285"/>
    </row>
    <row r="33" spans="3:77" ht="12.75" customHeight="1">
      <c r="C33" s="146" t="str">
        <f ca="1">+IF(OFFSET(Processes!B14,$D$11,0)="*","*",OFFSET(Processes!D14,$D$11,0))</f>
        <v>INDADPHBLPGE1</v>
      </c>
      <c r="D33" s="146" t="str">
        <f ca="1">+OFFSET(Processes!E14,$D$11,0)</f>
        <v>Aluminium industry Heat Medium Temp. Boiler - Liquified Petroleum Gas Existing 1</v>
      </c>
      <c r="E33" s="149" t="str">
        <f>+Processes!O14</f>
        <v>INDLPG</v>
      </c>
      <c r="F33" s="172" t="str">
        <f ca="1">+OFFSET(Processes!$M$12,$D$11,0) &amp; Processes!P14</f>
        <v>IADPH</v>
      </c>
      <c r="G33" s="322">
        <f t="shared" si="18"/>
        <v>0</v>
      </c>
      <c r="H33" s="322">
        <f t="shared" si="19"/>
        <v>0</v>
      </c>
      <c r="I33" s="322">
        <f t="shared" si="20"/>
        <v>0</v>
      </c>
      <c r="J33" s="322">
        <f t="shared" si="21"/>
        <v>0</v>
      </c>
      <c r="K33" s="322">
        <f t="shared" si="22"/>
        <v>0</v>
      </c>
      <c r="L33" s="322">
        <f t="shared" si="23"/>
        <v>0</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t="e">
        <f t="shared" si="10"/>
        <v>#REF!</v>
      </c>
      <c r="AJ33" s="236"/>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INDADPHBWSTE1</v>
      </c>
      <c r="D34" s="146" t="str">
        <f ca="1">+OFFSET(Processes!E15,$D$11,0)</f>
        <v>Aluminium industry Heat Medium Temp. Boiler - Waste Existing 1</v>
      </c>
      <c r="E34" s="149" t="str">
        <f>+Processes!O15</f>
        <v>INDWST</v>
      </c>
      <c r="F34" s="172" t="str">
        <f ca="1">+OFFSET(Processes!$M$12,$D$11,0) &amp; Processes!P15</f>
        <v>IADPH</v>
      </c>
      <c r="G34" s="322">
        <f t="shared" si="18"/>
        <v>18.441000000000003</v>
      </c>
      <c r="H34" s="322">
        <f t="shared" si="19"/>
        <v>0</v>
      </c>
      <c r="I34" s="322">
        <f t="shared" si="20"/>
        <v>0</v>
      </c>
      <c r="J34" s="322">
        <f t="shared" si="21"/>
        <v>15.266999999999999</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0.31201632738904495</v>
      </c>
      <c r="AH34" s="236">
        <f t="shared" si="9"/>
        <v>0.25601137497208371</v>
      </c>
      <c r="AI34" s="236">
        <f t="shared" si="10"/>
        <v>0</v>
      </c>
      <c r="AJ34" s="236"/>
      <c r="AK34" s="290"/>
      <c r="AL34" s="559" t="s">
        <v>102</v>
      </c>
      <c r="AM34" s="560">
        <f>$L77/1000</f>
        <v>0.312</v>
      </c>
      <c r="AN34" s="561">
        <f t="shared" si="47"/>
        <v>0.312</v>
      </c>
      <c r="AO34" s="562">
        <f t="shared" ref="AO34" si="55">AM34*$AO$23</f>
        <v>0</v>
      </c>
      <c r="AP34" s="562">
        <f t="shared" si="49"/>
        <v>0</v>
      </c>
      <c r="AQ34" s="582">
        <f t="shared" si="28"/>
        <v>0.29048720079920087</v>
      </c>
      <c r="AR34" s="562">
        <f t="shared" si="29"/>
        <v>0</v>
      </c>
      <c r="AS34" s="563">
        <f t="shared" si="30"/>
        <v>0</v>
      </c>
      <c r="AT34" s="560">
        <f t="shared" si="50"/>
        <v>0.312016327389045</v>
      </c>
      <c r="AU34" s="561">
        <f t="shared" si="50"/>
        <v>0</v>
      </c>
      <c r="AV34" s="566">
        <f t="shared" si="50"/>
        <v>0</v>
      </c>
      <c r="AW34" s="285"/>
      <c r="AX34" s="290"/>
      <c r="AY34" s="559" t="s">
        <v>102</v>
      </c>
      <c r="AZ34" s="560">
        <f>$L97/1000</f>
        <v>0.25600000000000001</v>
      </c>
      <c r="BA34" s="561">
        <f>AZ34*$AN$23</f>
        <v>0.25600000000000001</v>
      </c>
      <c r="BB34" s="562">
        <f t="shared" si="51"/>
        <v>0</v>
      </c>
      <c r="BC34" s="562">
        <f t="shared" si="52"/>
        <v>0</v>
      </c>
      <c r="BD34" s="560">
        <f t="shared" si="33"/>
        <v>0.23834659009900991</v>
      </c>
      <c r="BE34" s="561">
        <f t="shared" si="34"/>
        <v>0</v>
      </c>
      <c r="BF34" s="566">
        <f t="shared" si="35"/>
        <v>0</v>
      </c>
      <c r="BG34" s="560">
        <f t="shared" si="15"/>
        <v>0.25601137497208371</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INDADPHBHETE1</v>
      </c>
      <c r="D35" s="146" t="str">
        <f ca="1">+OFFSET(Processes!E16,$D$11,0)</f>
        <v>Aluminium industry Heat Medium Temp. Boiler - Dist. Heat Existing 1</v>
      </c>
      <c r="E35" s="149" t="str">
        <f>+Processes!O16</f>
        <v>INDHCE</v>
      </c>
      <c r="F35" s="172" t="str">
        <f ca="1">+OFFSET(Processes!$M$12,$D$11,0) &amp; Processes!P16</f>
        <v>IADPH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INDADPHBHETE2</v>
      </c>
      <c r="D36" s="146" t="str">
        <f ca="1">+OFFSET(Processes!E17,$D$11,0)</f>
        <v>Aluminium industry Heat Medium Temp. Boiler - Dist. Heat Existing 2</v>
      </c>
      <c r="E36" s="149" t="str">
        <f>+Processes!O17</f>
        <v>INDHDE</v>
      </c>
      <c r="F36" s="172" t="str">
        <f ca="1">+OFFSET(Processes!$M$12,$D$11,0) &amp; Processes!P17</f>
        <v>IADPH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INDADPHBELCE1</v>
      </c>
      <c r="D37" s="148" t="str">
        <f ca="1">+OFFSET(Processes!E18,$D$11,0)</f>
        <v>Aluminium industry Heat Medium Temp. Boiler - Electricity Existing 1</v>
      </c>
      <c r="E37" s="174" t="str">
        <f>+Processes!O18</f>
        <v>INDELC</v>
      </c>
      <c r="F37" s="174" t="str">
        <f ca="1">+OFFSET(Processes!$M$12,$D$11,0) &amp; Processes!P18</f>
        <v>IADPH</v>
      </c>
      <c r="G37" s="324">
        <f t="shared" si="18"/>
        <v>1741.9449999999999</v>
      </c>
      <c r="H37" s="324">
        <f t="shared" si="19"/>
        <v>0</v>
      </c>
      <c r="I37" s="324">
        <f t="shared" si="20"/>
        <v>0</v>
      </c>
      <c r="J37" s="324">
        <f t="shared" si="21"/>
        <v>2044.337</v>
      </c>
      <c r="K37" s="324">
        <f t="shared" si="22"/>
        <v>0</v>
      </c>
      <c r="L37" s="324">
        <f t="shared" si="23"/>
        <v>0</v>
      </c>
      <c r="M37" s="324">
        <f t="shared" si="24"/>
        <v>8.516</v>
      </c>
      <c r="N37" s="324">
        <f t="shared" si="25"/>
        <v>0</v>
      </c>
      <c r="O37" s="324">
        <f t="shared" si="26"/>
        <v>0</v>
      </c>
      <c r="P37" s="324">
        <f t="shared" si="1"/>
        <v>8.516</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29.473200011588844</v>
      </c>
      <c r="AH37" s="236">
        <f t="shared" si="9"/>
        <v>34.281360206740338</v>
      </c>
      <c r="AI37" s="236">
        <f t="shared" si="10"/>
        <v>0.14280427518584299</v>
      </c>
      <c r="AJ37" s="236"/>
      <c r="AK37" s="352"/>
      <c r="AL37" s="567" t="s">
        <v>61</v>
      </c>
      <c r="AM37" s="568">
        <f>M77/1000</f>
        <v>29.473200000000002</v>
      </c>
      <c r="AN37" s="561">
        <f t="shared" si="47"/>
        <v>29.473200000000002</v>
      </c>
      <c r="AO37" s="562">
        <f t="shared" ref="AO37" si="58">AM37*$AO$23</f>
        <v>0</v>
      </c>
      <c r="AP37" s="562">
        <f t="shared" si="49"/>
        <v>0</v>
      </c>
      <c r="AQ37" s="582">
        <f t="shared" si="28"/>
        <v>27.439549210789213</v>
      </c>
      <c r="AR37" s="562">
        <f t="shared" si="29"/>
        <v>0</v>
      </c>
      <c r="AS37" s="563">
        <f t="shared" si="30"/>
        <v>0</v>
      </c>
      <c r="AT37" s="568">
        <f t="shared" ref="AT37:AV41" si="59">IFERROR(AQ37/W37,0)</f>
        <v>29.473200011588844</v>
      </c>
      <c r="AU37" s="569">
        <f t="shared" si="59"/>
        <v>0</v>
      </c>
      <c r="AV37" s="570">
        <f t="shared" si="59"/>
        <v>0</v>
      </c>
      <c r="AW37" s="285"/>
      <c r="AX37" s="352"/>
      <c r="AY37" s="567" t="s">
        <v>61</v>
      </c>
      <c r="AZ37" s="568">
        <f>M97/1000</f>
        <v>34.281359999999999</v>
      </c>
      <c r="BA37" s="561">
        <f>AZ37*$AN$23</f>
        <v>34.281359999999999</v>
      </c>
      <c r="BB37" s="562">
        <f t="shared" ref="BB37:BB62" si="60">AZ37*$BB$23</f>
        <v>0</v>
      </c>
      <c r="BC37" s="562">
        <f t="shared" ref="BC37:BC62" si="61">AZ37*$BC$23</f>
        <v>0</v>
      </c>
      <c r="BD37" s="568">
        <f t="shared" si="33"/>
        <v>31.915946352475249</v>
      </c>
      <c r="BE37" s="569">
        <f t="shared" si="34"/>
        <v>0</v>
      </c>
      <c r="BF37" s="570">
        <f>IFERROR(L37*$Z37*AA37/L$21,0)</f>
        <v>0</v>
      </c>
      <c r="BG37" s="568">
        <f t="shared" ref="BG37:BG56" si="62">IFERROR(BD37/W37,0)</f>
        <v>34.281360206740331</v>
      </c>
      <c r="BH37" s="569">
        <f t="shared" ref="BH37:BH56" si="63">IFERROR(BE37/X37,0)</f>
        <v>0</v>
      </c>
      <c r="BI37" s="570">
        <f t="shared" ref="BI37:BI56" si="64">IFERROR(BF37/Y37,0)</f>
        <v>0</v>
      </c>
      <c r="BJ37" s="285"/>
      <c r="BK37" s="352"/>
      <c r="BL37" s="567" t="s">
        <v>61</v>
      </c>
      <c r="BM37" s="568">
        <f>M117/1000</f>
        <v>0.14279999999999998</v>
      </c>
      <c r="BN37" s="561">
        <f>BM37*$AN$23</f>
        <v>0.14279999999999998</v>
      </c>
      <c r="BO37" s="562">
        <f t="shared" si="53"/>
        <v>0</v>
      </c>
      <c r="BP37" s="562">
        <f t="shared" si="54"/>
        <v>0</v>
      </c>
      <c r="BQ37" s="568">
        <f t="shared" si="38"/>
        <v>0.13295078019801979</v>
      </c>
      <c r="BR37" s="569">
        <f t="shared" si="39"/>
        <v>0</v>
      </c>
      <c r="BS37" s="570">
        <f t="shared" si="40"/>
        <v>0</v>
      </c>
      <c r="BT37" s="568">
        <f t="shared" ref="BT37:BT56" si="65">IFERROR(BQ37/W37,0)</f>
        <v>0.14280427518584296</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INDADCOBNGAE1</v>
      </c>
      <c r="D38" s="173" t="str">
        <f ca="1">+OFFSET(Processes!E19,$D$11,0)</f>
        <v>Aluminium industry Heat High Temp. Boiler - Nat. Gas Existing 1</v>
      </c>
      <c r="E38" s="172" t="str">
        <f>+Processes!O19</f>
        <v>INDSNG1,INDSNG2,INDNGA</v>
      </c>
      <c r="F38" s="172" t="str">
        <f ca="1">+OFFSET(Processes!$M$12,$D$11,0) &amp; Processes!P19</f>
        <v>IADCO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IADCO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IADCO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IADCO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INDADCOBCOAE1</v>
      </c>
      <c r="D39" s="173" t="str">
        <f ca="1">+OFFSET(Processes!E20,$D$11,0)</f>
        <v>Aluminium industry Heat High Temp. Boiler - Coal Existing 1</v>
      </c>
      <c r="E39" s="172" t="str">
        <f>+Processes!O20</f>
        <v>INDCOA</v>
      </c>
      <c r="F39" s="172" t="str">
        <f ca="1">+OFFSET(Processes!$M$12,$D$11,0) &amp; Processes!P20</f>
        <v>IADCO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INDADCOBDSLE1</v>
      </c>
      <c r="D40" s="173" t="str">
        <f ca="1">+OFFSET(Processes!E21,$D$11,0)</f>
        <v>Aluminium industry Heat High Temp. Boiler - Diesel Existing 1</v>
      </c>
      <c r="E40" s="172" t="str">
        <f>+Processes!O21</f>
        <v>INDDSB1,INDDSB2,INDDSL</v>
      </c>
      <c r="F40" s="172" t="str">
        <f ca="1">+OFFSET(Processes!$M$12,$D$11,0) &amp; Processes!P21</f>
        <v>IADCO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INDADCOBWPEE1</v>
      </c>
      <c r="D41" s="173" t="str">
        <f ca="1">+OFFSET(Processes!E22,$D$11,0)</f>
        <v>Aluminium industry Heat High Temp. Boiler - Wood Pellets Existing 1</v>
      </c>
      <c r="E41" s="172" t="str">
        <f>+Processes!O22</f>
        <v>INDWPE</v>
      </c>
      <c r="F41" s="172" t="str">
        <f ca="1">+OFFSET(Processes!$M$12,$D$11,0) &amp; Processes!P22</f>
        <v>IADCO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INDADCOBHFOE1</v>
      </c>
      <c r="D43" s="173" t="str">
        <f ca="1">+OFFSET(Processes!E24,$D$11,0)</f>
        <v>Aluminium industry Heat High Temp. Boiler - Heavy Fuel Oil Existing 1</v>
      </c>
      <c r="E43" s="172" t="str">
        <f>+Processes!O24</f>
        <v>INDHFO</v>
      </c>
      <c r="F43" s="172" t="str">
        <f ca="1">+OFFSET(Processes!$M$12,$D$11,0) &amp; Processes!P24</f>
        <v>IADCO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INDADCOBLPGE1</v>
      </c>
      <c r="D44" s="173" t="str">
        <f ca="1">+OFFSET(Processes!E25,$D$11,0)</f>
        <v>Aluminium industry Heat High Temp. Boiler - Liquified Petroleum Gas Existing 1</v>
      </c>
      <c r="E44" s="172" t="str">
        <f>+Processes!O25</f>
        <v>INDLPG</v>
      </c>
      <c r="F44" s="172" t="str">
        <f ca="1">+OFFSET(Processes!$M$12,$D$11,0) &amp; Processes!P25</f>
        <v>IADCO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INDADCOBWSTE1</v>
      </c>
      <c r="D45" s="173" t="str">
        <f ca="1">+OFFSET(Processes!E26,$D$11,0)</f>
        <v>Aluminium industry Heat High Temp. Boiler - Waste Existing 1</v>
      </c>
      <c r="E45" s="172" t="str">
        <f>+Processes!O26</f>
        <v>INDWST</v>
      </c>
      <c r="F45" s="172" t="str">
        <f ca="1">+OFFSET(Processes!$M$12,$D$11,0) &amp; Processes!P26</f>
        <v>IADCO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INDADCOBELCE1</v>
      </c>
      <c r="D46" s="148" t="str">
        <f ca="1">+OFFSET(Processes!E27,$D$11,0)</f>
        <v>Aluminium industry Heat High Temp. Boiler - Electricity Existing 1</v>
      </c>
      <c r="E46" s="174" t="str">
        <f>+Processes!O27</f>
        <v>INDELC</v>
      </c>
      <c r="F46" s="174" t="str">
        <f ca="1">+OFFSET(Processes!$M$12,$D$11,0) &amp; Processes!P27</f>
        <v>IADCO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36"/>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INDADSHBNGAE1</v>
      </c>
      <c r="D47" s="146" t="str">
        <f ca="1">+OFFSET(Processes!E28,$D$11,0)</f>
        <v>Aluminium industry Heat Room Boiler - Nat. Gas Existing 1</v>
      </c>
      <c r="E47" s="149" t="str">
        <f>+Processes!O28</f>
        <v>INDSNG1,INDSNG2,INDNGA</v>
      </c>
      <c r="F47" s="149" t="str">
        <f ca="1">+OFFSET(Processes!$M$12,$D$11,0) &amp; Processes!P28</f>
        <v>IADSH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IADSH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IADSH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IADSH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INDADSHBCOAE1</v>
      </c>
      <c r="D48" s="146" t="str">
        <f ca="1">+OFFSET(Processes!E29,$D$11,0)</f>
        <v>Aluminium industry Heat Room Boiler - Coal Existing 1</v>
      </c>
      <c r="E48" s="149" t="str">
        <f>+Processes!O29</f>
        <v>INDCOA</v>
      </c>
      <c r="F48" s="149" t="str">
        <f ca="1">+OFFSET(Processes!$M$12,$D$11,0) &amp; Processes!P29</f>
        <v>IADSH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INDADSHBDSLE1</v>
      </c>
      <c r="D49" s="146" t="str">
        <f ca="1">+OFFSET(Processes!E30,$D$11,0)</f>
        <v>Aluminium industry Heat Room Boiler - Diesel Existing 1</v>
      </c>
      <c r="E49" s="149" t="str">
        <f>+Processes!O30</f>
        <v>INDDSB1,INDDSB2,INDDSL</v>
      </c>
      <c r="F49" s="149" t="str">
        <f ca="1">+OFFSET(Processes!$M$12,$D$11,0) &amp; Processes!P30</f>
        <v>IADSH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INDADSHBWPEE1</v>
      </c>
      <c r="D50" s="146" t="str">
        <f ca="1">+OFFSET(Processes!E31,$D$11,0)</f>
        <v>Aluminium industry Heat Room Boiler - Wood Pellets Existing 1</v>
      </c>
      <c r="E50" s="149" t="str">
        <f>+Processes!O31</f>
        <v>INDWPE</v>
      </c>
      <c r="F50" s="149" t="str">
        <f ca="1">+OFFSET(Processes!$M$12,$D$11,0) &amp; Processes!P31</f>
        <v>IADSH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INDADSHBBGAE1</v>
      </c>
      <c r="D52" s="146" t="str">
        <f ca="1">+OFFSET(Processes!E33,$D$11,0)</f>
        <v>Aluminium industry Heat Room Boiler - Biogas Existing 1</v>
      </c>
      <c r="E52" s="149" t="str">
        <f>+Processes!O33</f>
        <v>INDBGA</v>
      </c>
      <c r="F52" s="149" t="str">
        <f ca="1">+OFFSET(Processes!$M$12,$D$11,0) &amp; Processes!P33</f>
        <v>IADSH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INDADSHBHFOE1</v>
      </c>
      <c r="D53" s="146" t="str">
        <f ca="1">+OFFSET(Processes!E34,$D$11,0)</f>
        <v>Aluminium industry Heat Room Boiler - Heavy Fuel Oil Existing 1</v>
      </c>
      <c r="E53" s="149" t="str">
        <f>+Processes!O34</f>
        <v>INDHFO</v>
      </c>
      <c r="F53" s="149" t="str">
        <f ca="1">+OFFSET(Processes!$M$12,$D$11,0) &amp; Processes!P34</f>
        <v>IADSH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INDADSHBLPGE1</v>
      </c>
      <c r="D54" s="146" t="str">
        <f ca="1">+OFFSET(Processes!E35,$D$11,0)</f>
        <v>Aluminium industry Heat Room Boiler - Liquified Petroleum Gas Existing 1</v>
      </c>
      <c r="E54" s="149" t="str">
        <f>+Processes!O35</f>
        <v>INDLPG</v>
      </c>
      <c r="F54" s="149" t="str">
        <f ca="1">+OFFSET(Processes!$M$12,$D$11,0) &amp; Processes!P35</f>
        <v>IADSH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INDADSHBWSTE1</v>
      </c>
      <c r="D55" s="146" t="str">
        <f ca="1">+OFFSET(Processes!E36,$D$11,0)</f>
        <v>Aluminium industry Heat Room Boiler - Waste Existing 1</v>
      </c>
      <c r="E55" s="149" t="str">
        <f>+Processes!O36</f>
        <v>INDWST</v>
      </c>
      <c r="F55" s="149" t="str">
        <f ca="1">+OFFSET(Processes!$M$12,$D$11,0) &amp; Processes!P36</f>
        <v>IADSH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INDADSHBHETE1</v>
      </c>
      <c r="D56" s="146" t="str">
        <f ca="1">+OFFSET(Processes!E37,$D$11,0)</f>
        <v>Aluminium industry Heat Room Boiler - Dist. Heat Existing 1</v>
      </c>
      <c r="E56" s="149" t="str">
        <f>+Processes!O37</f>
        <v>INDHCE</v>
      </c>
      <c r="F56" s="149" t="str">
        <f ca="1">+OFFSET(Processes!$M$12,$D$11,0) &amp; Processes!P37</f>
        <v>IADSH</v>
      </c>
      <c r="G56" s="321">
        <f t="shared" si="18"/>
        <v>156.68700000000001</v>
      </c>
      <c r="H56" s="321">
        <f t="shared" si="19"/>
        <v>0</v>
      </c>
      <c r="I56" s="321">
        <f t="shared" si="20"/>
        <v>0</v>
      </c>
      <c r="J56" s="321">
        <f t="shared" si="21"/>
        <v>68.195000000000007</v>
      </c>
      <c r="K56" s="321">
        <f t="shared" si="22"/>
        <v>0</v>
      </c>
      <c r="L56" s="321">
        <f t="shared" si="23"/>
        <v>0</v>
      </c>
      <c r="M56" s="321">
        <f t="shared" si="24"/>
        <v>3379.2110000000002</v>
      </c>
      <c r="N56" s="321">
        <f t="shared" si="25"/>
        <v>0</v>
      </c>
      <c r="O56" s="321">
        <f t="shared" si="26"/>
        <v>0</v>
      </c>
      <c r="P56" s="321">
        <f t="shared" si="1"/>
        <v>3379.2110000000002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2.5710129620379627</v>
      </c>
      <c r="AH56" s="236">
        <f t="shared" si="83"/>
        <v>1.1090127475247527</v>
      </c>
      <c r="AI56" s="236">
        <f t="shared" si="84"/>
        <v>54.954000668316844</v>
      </c>
      <c r="AJ56" s="236"/>
      <c r="AK56" s="356"/>
      <c r="AL56" s="559" t="s">
        <v>103</v>
      </c>
      <c r="AM56" s="560">
        <f>N82/1000</f>
        <v>2.5710000000000002</v>
      </c>
      <c r="AN56" s="613">
        <f>AM56</f>
        <v>2.5710000000000002</v>
      </c>
      <c r="AO56" s="614">
        <v>0</v>
      </c>
      <c r="AP56" s="614">
        <v>0</v>
      </c>
      <c r="AQ56" s="582">
        <f t="shared" si="28"/>
        <v>2.4681724435564441</v>
      </c>
      <c r="AR56" s="562">
        <f t="shared" si="29"/>
        <v>0</v>
      </c>
      <c r="AS56" s="563">
        <f t="shared" si="30"/>
        <v>0</v>
      </c>
      <c r="AT56" s="560">
        <f t="shared" si="85"/>
        <v>2.5710129620379627</v>
      </c>
      <c r="AU56" s="561">
        <f t="shared" si="85"/>
        <v>0</v>
      </c>
      <c r="AV56" s="566">
        <f t="shared" si="85"/>
        <v>0</v>
      </c>
      <c r="AW56" s="285"/>
      <c r="AX56" s="356"/>
      <c r="AY56" s="559" t="s">
        <v>103</v>
      </c>
      <c r="AZ56" s="560">
        <f>N102/1000</f>
        <v>1.109</v>
      </c>
      <c r="BA56" s="613">
        <f>AZ56</f>
        <v>1.109</v>
      </c>
      <c r="BB56" s="614">
        <v>0</v>
      </c>
      <c r="BC56" s="614">
        <v>0</v>
      </c>
      <c r="BD56" s="560">
        <f t="shared" si="33"/>
        <v>1.0646522376237626</v>
      </c>
      <c r="BE56" s="561">
        <f t="shared" si="34"/>
        <v>0</v>
      </c>
      <c r="BF56" s="566">
        <f t="shared" si="35"/>
        <v>0</v>
      </c>
      <c r="BG56" s="560">
        <f t="shared" si="62"/>
        <v>1.1090127475247527</v>
      </c>
      <c r="BH56" s="561">
        <f t="shared" si="63"/>
        <v>0</v>
      </c>
      <c r="BI56" s="566">
        <f t="shared" si="64"/>
        <v>0</v>
      </c>
      <c r="BJ56" s="285"/>
      <c r="BK56" s="356"/>
      <c r="BL56" s="559" t="s">
        <v>103</v>
      </c>
      <c r="BM56" s="560">
        <f>N122/1000</f>
        <v>54.954000000000001</v>
      </c>
      <c r="BN56" s="613">
        <f>BM56</f>
        <v>54.954000000000001</v>
      </c>
      <c r="BO56" s="614">
        <v>0</v>
      </c>
      <c r="BP56" s="614">
        <v>0</v>
      </c>
      <c r="BQ56" s="560">
        <f t="shared" si="38"/>
        <v>52.755840641584165</v>
      </c>
      <c r="BR56" s="561">
        <f t="shared" si="39"/>
        <v>0</v>
      </c>
      <c r="BS56" s="566">
        <f t="shared" si="40"/>
        <v>0</v>
      </c>
      <c r="BT56" s="560">
        <f t="shared" si="65"/>
        <v>54.954000668316837</v>
      </c>
      <c r="BU56" s="561">
        <f t="shared" si="66"/>
        <v>0</v>
      </c>
      <c r="BV56" s="566">
        <f t="shared" si="67"/>
        <v>0</v>
      </c>
      <c r="BW56" s="285"/>
      <c r="BX56" s="285"/>
      <c r="BY56" s="285"/>
    </row>
    <row r="57" spans="3:77" ht="12.75" customHeight="1">
      <c r="C57" s="173" t="str">
        <f ca="1">+IF(OFFSET(Processes!B38,$D$11,0)="*","*",OFFSET(Processes!D38,$D$11,0))</f>
        <v>INDADSHBHETE2</v>
      </c>
      <c r="D57" s="146" t="str">
        <f ca="1">+OFFSET(Processes!E38,$D$11,0)</f>
        <v>Aluminium industry Heat Room Boiler - Dist. Heat Existing 2</v>
      </c>
      <c r="E57" s="149" t="str">
        <f>+Processes!O38</f>
        <v>INDHDE</v>
      </c>
      <c r="F57" s="149" t="str">
        <f ca="1">+OFFSET(Processes!$M$12,$D$11,0) &amp; Processes!P38</f>
        <v>IADSH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INDADSHBELCE1</v>
      </c>
      <c r="D58" s="148" t="str">
        <f ca="1">+OFFSET(Processes!E39,$D$11,0)</f>
        <v>Aluminium industry Heat Room Boiler - Electricity Existing 1</v>
      </c>
      <c r="E58" s="172" t="str">
        <f>+Processes!O39</f>
        <v>INDELC</v>
      </c>
      <c r="F58" s="174" t="str">
        <f ca="1">+OFFSET(Processes!$M$12,$D$11,0) &amp; Processes!P39</f>
        <v>IADSH</v>
      </c>
      <c r="G58" s="324">
        <f t="shared" si="18"/>
        <v>44.437999999999995</v>
      </c>
      <c r="H58" s="324">
        <f t="shared" si="19"/>
        <v>0</v>
      </c>
      <c r="I58" s="324">
        <f t="shared" si="20"/>
        <v>0</v>
      </c>
      <c r="J58" s="324">
        <f t="shared" si="21"/>
        <v>52.152000000000001</v>
      </c>
      <c r="K58" s="324">
        <f t="shared" si="22"/>
        <v>0</v>
      </c>
      <c r="L58" s="324">
        <f t="shared" si="23"/>
        <v>0</v>
      </c>
      <c r="M58" s="324">
        <f t="shared" si="24"/>
        <v>0.218</v>
      </c>
      <c r="N58" s="324">
        <f t="shared" si="25"/>
        <v>0</v>
      </c>
      <c r="O58" s="324">
        <f t="shared" si="26"/>
        <v>0</v>
      </c>
      <c r="P58" s="324">
        <f t="shared" si="1"/>
        <v>0.218</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0.73684040590987965</v>
      </c>
      <c r="AH58" s="236">
        <f t="shared" si="83"/>
        <v>0.85704297655028661</v>
      </c>
      <c r="AI58" s="236">
        <f t="shared" si="84"/>
        <v>3.5825158936946331E-3</v>
      </c>
      <c r="AJ58" s="236"/>
      <c r="AK58" s="355"/>
      <c r="AL58" s="567" t="s">
        <v>61</v>
      </c>
      <c r="AM58" s="560">
        <f>M82/1000</f>
        <v>0.73682999999999987</v>
      </c>
      <c r="AN58" s="561">
        <f t="shared" si="77"/>
        <v>0.73682999999999987</v>
      </c>
      <c r="AO58" s="562">
        <f t="shared" si="78"/>
        <v>0</v>
      </c>
      <c r="AP58" s="562">
        <f t="shared" si="79"/>
        <v>0</v>
      </c>
      <c r="AQ58" s="582">
        <f t="shared" si="28"/>
        <v>0.69999838561438565</v>
      </c>
      <c r="AR58" s="562">
        <f t="shared" si="29"/>
        <v>0</v>
      </c>
      <c r="AS58" s="563">
        <f t="shared" si="30"/>
        <v>0</v>
      </c>
      <c r="AT58" s="560">
        <f t="shared" ref="AT58:AV62" si="87">IFERROR(AQ58/W58,0)</f>
        <v>0.73684040590987965</v>
      </c>
      <c r="AU58" s="561">
        <f t="shared" si="87"/>
        <v>0</v>
      </c>
      <c r="AV58" s="566">
        <f t="shared" si="87"/>
        <v>0</v>
      </c>
      <c r="AW58" s="285"/>
      <c r="AX58" s="355"/>
      <c r="AY58" s="567" t="s">
        <v>61</v>
      </c>
      <c r="AZ58" s="560">
        <f>M102/1000</f>
        <v>0.85703399999999996</v>
      </c>
      <c r="BA58" s="561">
        <f>AZ58*$AN$23</f>
        <v>0.85703399999999996</v>
      </c>
      <c r="BB58" s="562">
        <f t="shared" si="60"/>
        <v>0</v>
      </c>
      <c r="BC58" s="562">
        <f t="shared" si="61"/>
        <v>0</v>
      </c>
      <c r="BD58" s="560">
        <f t="shared" si="33"/>
        <v>0.81419082772277229</v>
      </c>
      <c r="BE58" s="561">
        <f t="shared" si="34"/>
        <v>0</v>
      </c>
      <c r="BF58" s="566">
        <f t="shared" si="35"/>
        <v>0</v>
      </c>
      <c r="BG58" s="560">
        <f t="shared" ref="BG58:BI62" si="88">IFERROR(BD58/W58,0)</f>
        <v>0.85704297655028672</v>
      </c>
      <c r="BH58" s="561">
        <f t="shared" si="88"/>
        <v>0</v>
      </c>
      <c r="BI58" s="566">
        <f t="shared" si="88"/>
        <v>0</v>
      </c>
      <c r="BJ58" s="285"/>
      <c r="BK58" s="355"/>
      <c r="BL58" s="567" t="s">
        <v>61</v>
      </c>
      <c r="BM58" s="560">
        <f>M122/1000</f>
        <v>3.5699999999999998E-3</v>
      </c>
      <c r="BN58" s="561">
        <f>BM58*$AN$23</f>
        <v>3.5699999999999998E-3</v>
      </c>
      <c r="BO58" s="562">
        <f t="shared" si="53"/>
        <v>0</v>
      </c>
      <c r="BP58" s="562">
        <f t="shared" si="54"/>
        <v>0</v>
      </c>
      <c r="BQ58" s="560">
        <f t="shared" si="38"/>
        <v>3.403390099009901E-3</v>
      </c>
      <c r="BR58" s="561">
        <f t="shared" si="39"/>
        <v>0</v>
      </c>
      <c r="BS58" s="566">
        <f t="shared" si="40"/>
        <v>0</v>
      </c>
      <c r="BT58" s="560">
        <f t="shared" ref="BT58:BV62" si="89">IFERROR(BQ58/W58,0)</f>
        <v>3.5825158936946327E-3</v>
      </c>
      <c r="BU58" s="561">
        <f t="shared" si="89"/>
        <v>0</v>
      </c>
      <c r="BV58" s="566">
        <f t="shared" si="89"/>
        <v>0</v>
      </c>
      <c r="BW58" s="285"/>
      <c r="BX58" s="285"/>
      <c r="BY58" s="285"/>
    </row>
    <row r="59" spans="3:77" ht="12.75" customHeight="1">
      <c r="C59" s="175" t="str">
        <f ca="1">+IF(OFFSET(Processes!B40,$D$11,0)="*","*",OFFSET(Processes!D40,$D$11,0))</f>
        <v>INDADLAAELCE1</v>
      </c>
      <c r="D59" s="146" t="str">
        <f ca="1">+OFFSET(Processes!E40,$D$11,0)</f>
        <v>Aluminium industry Electricity Light Appliance - Electricity Existing 1</v>
      </c>
      <c r="E59" s="176" t="str">
        <f>+Processes!O40</f>
        <v>INDELC</v>
      </c>
      <c r="F59" s="149" t="str">
        <f ca="1">+OFFSET(Processes!$M$12,$D$11,0) &amp; Processes!P40</f>
        <v>IADLA</v>
      </c>
      <c r="G59" s="323">
        <f t="shared" si="18"/>
        <v>202.697</v>
      </c>
      <c r="H59" s="323">
        <f t="shared" si="19"/>
        <v>0</v>
      </c>
      <c r="I59" s="323">
        <f t="shared" si="20"/>
        <v>0</v>
      </c>
      <c r="J59" s="323">
        <f t="shared" si="21"/>
        <v>237.88400000000001</v>
      </c>
      <c r="K59" s="323">
        <f t="shared" si="22"/>
        <v>0</v>
      </c>
      <c r="L59" s="323">
        <f t="shared" si="23"/>
        <v>0</v>
      </c>
      <c r="M59" s="323">
        <f t="shared" si="24"/>
        <v>0.99099999999999999</v>
      </c>
      <c r="N59" s="323">
        <f t="shared" si="25"/>
        <v>0</v>
      </c>
      <c r="O59" s="323">
        <f t="shared" si="26"/>
        <v>0</v>
      </c>
      <c r="P59" s="323">
        <f t="shared" si="1"/>
        <v>0.99099999999999999</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3.1929333626373633</v>
      </c>
      <c r="AH59" s="236">
        <f t="shared" si="83"/>
        <v>3.7138167445544559</v>
      </c>
      <c r="AI59" s="236">
        <f t="shared" si="84"/>
        <v>1.5471374257425742E-2</v>
      </c>
      <c r="AJ59" s="236"/>
      <c r="AK59" s="531" t="str">
        <f ca="1">F59</f>
        <v>IADLA</v>
      </c>
      <c r="AL59" s="578" t="s">
        <v>61</v>
      </c>
      <c r="AM59" s="579">
        <f>M80/1000</f>
        <v>3.1929300000000005</v>
      </c>
      <c r="AN59" s="580">
        <f t="shared" si="77"/>
        <v>3.1929300000000005</v>
      </c>
      <c r="AO59" s="583">
        <f t="shared" si="78"/>
        <v>0</v>
      </c>
      <c r="AP59" s="583">
        <f t="shared" si="79"/>
        <v>0</v>
      </c>
      <c r="AQ59" s="584">
        <f t="shared" si="28"/>
        <v>3.1929333626373633</v>
      </c>
      <c r="AR59" s="583">
        <f t="shared" si="29"/>
        <v>0</v>
      </c>
      <c r="AS59" s="585">
        <f t="shared" si="30"/>
        <v>0</v>
      </c>
      <c r="AT59" s="579">
        <f t="shared" si="87"/>
        <v>3.1929333626373633</v>
      </c>
      <c r="AU59" s="580">
        <f t="shared" si="87"/>
        <v>0</v>
      </c>
      <c r="AV59" s="581">
        <f t="shared" si="87"/>
        <v>0</v>
      </c>
      <c r="AW59" s="285"/>
      <c r="AX59" s="531" t="str">
        <f t="shared" ca="1" si="12"/>
        <v>IADLA</v>
      </c>
      <c r="AY59" s="578" t="s">
        <v>61</v>
      </c>
      <c r="AZ59" s="579">
        <f>M100/1000</f>
        <v>3.7138139999999997</v>
      </c>
      <c r="BA59" s="580">
        <f>AZ59*$AN$23</f>
        <v>3.7138139999999997</v>
      </c>
      <c r="BB59" s="583">
        <f t="shared" si="60"/>
        <v>0</v>
      </c>
      <c r="BC59" s="583">
        <f t="shared" si="61"/>
        <v>0</v>
      </c>
      <c r="BD59" s="579">
        <f t="shared" si="33"/>
        <v>3.7138167445544559</v>
      </c>
      <c r="BE59" s="580">
        <f t="shared" si="34"/>
        <v>0</v>
      </c>
      <c r="BF59" s="581">
        <f t="shared" si="35"/>
        <v>0</v>
      </c>
      <c r="BG59" s="579">
        <f t="shared" si="88"/>
        <v>3.7138167445544559</v>
      </c>
      <c r="BH59" s="580">
        <f t="shared" si="88"/>
        <v>0</v>
      </c>
      <c r="BI59" s="581">
        <f t="shared" si="88"/>
        <v>0</v>
      </c>
      <c r="BJ59" s="285"/>
      <c r="BK59" s="531" t="str">
        <f ca="1">AK59</f>
        <v>IADLA</v>
      </c>
      <c r="BL59" s="578" t="s">
        <v>61</v>
      </c>
      <c r="BM59" s="579">
        <f>M120/1000</f>
        <v>1.5470000000000001E-2</v>
      </c>
      <c r="BN59" s="580">
        <f>BM59*$AN$23</f>
        <v>1.5470000000000001E-2</v>
      </c>
      <c r="BO59" s="583">
        <f t="shared" si="53"/>
        <v>0</v>
      </c>
      <c r="BP59" s="583">
        <f t="shared" si="54"/>
        <v>0</v>
      </c>
      <c r="BQ59" s="579">
        <f t="shared" si="38"/>
        <v>1.5471374257425742E-2</v>
      </c>
      <c r="BR59" s="580">
        <f t="shared" si="39"/>
        <v>0</v>
      </c>
      <c r="BS59" s="581">
        <f t="shared" si="40"/>
        <v>0</v>
      </c>
      <c r="BT59" s="579">
        <f t="shared" si="89"/>
        <v>1.5471374257425742E-2</v>
      </c>
      <c r="BU59" s="580">
        <f t="shared" si="89"/>
        <v>0</v>
      </c>
      <c r="BV59" s="581">
        <f t="shared" si="89"/>
        <v>0</v>
      </c>
      <c r="BW59" s="285"/>
      <c r="BX59" s="285"/>
      <c r="BY59" s="285"/>
    </row>
    <row r="60" spans="3:77" ht="12.75" customHeight="1">
      <c r="C60" s="148" t="str">
        <f ca="1">+IF(OFFSET(Processes!B41,$D$11,0)="*","*",OFFSET(Processes!D41,$D$11,0))</f>
        <v>INDADEMMELCE1</v>
      </c>
      <c r="D60" s="148" t="str">
        <f ca="1">+OFFSET(Processes!E41,$D$11,0)</f>
        <v>Aluminium industry Electricity Motors - Electricity Existing 1</v>
      </c>
      <c r="E60" s="174" t="str">
        <f>+Processes!O41</f>
        <v>INDELC</v>
      </c>
      <c r="F60" s="174" t="str">
        <f ca="1">+OFFSET(Processes!$M$12,$D$11,0) &amp; Processes!P41</f>
        <v>IADEM</v>
      </c>
      <c r="G60" s="324">
        <f t="shared" si="18"/>
        <v>997.89199999999994</v>
      </c>
      <c r="H60" s="324">
        <f t="shared" si="19"/>
        <v>0</v>
      </c>
      <c r="I60" s="324">
        <f t="shared" si="20"/>
        <v>0</v>
      </c>
      <c r="J60" s="324">
        <f t="shared" si="21"/>
        <v>1171.1209999999999</v>
      </c>
      <c r="K60" s="324">
        <f t="shared" si="22"/>
        <v>0</v>
      </c>
      <c r="L60" s="324">
        <f t="shared" si="23"/>
        <v>0</v>
      </c>
      <c r="M60" s="324">
        <f t="shared" si="24"/>
        <v>4.8790000000000004</v>
      </c>
      <c r="N60" s="324">
        <f t="shared" si="25"/>
        <v>0</v>
      </c>
      <c r="O60" s="324">
        <f t="shared" si="26"/>
        <v>0</v>
      </c>
      <c r="P60" s="324">
        <f t="shared" si="1"/>
        <v>4.8790000000000004</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15.719042013986016</v>
      </c>
      <c r="AH60" s="236">
        <f t="shared" si="83"/>
        <v>18.283401908910889</v>
      </c>
      <c r="AI60" s="236">
        <f t="shared" si="84"/>
        <v>7.6170368316831688E-2</v>
      </c>
      <c r="AJ60" s="236"/>
      <c r="AK60" s="536" t="str">
        <f ca="1">F60</f>
        <v>IADEM</v>
      </c>
      <c r="AL60" s="578" t="s">
        <v>61</v>
      </c>
      <c r="AM60" s="579">
        <f>M81/1000</f>
        <v>15.719040000000001</v>
      </c>
      <c r="AN60" s="580">
        <f t="shared" si="77"/>
        <v>15.719040000000001</v>
      </c>
      <c r="AO60" s="583">
        <f t="shared" si="78"/>
        <v>0</v>
      </c>
      <c r="AP60" s="583">
        <f t="shared" si="79"/>
        <v>0</v>
      </c>
      <c r="AQ60" s="584">
        <f t="shared" si="28"/>
        <v>15.719042013986016</v>
      </c>
      <c r="AR60" s="583">
        <f t="shared" si="29"/>
        <v>0</v>
      </c>
      <c r="AS60" s="585">
        <f t="shared" si="30"/>
        <v>0</v>
      </c>
      <c r="AT60" s="579">
        <f t="shared" si="87"/>
        <v>15.719042013986016</v>
      </c>
      <c r="AU60" s="580">
        <f t="shared" si="87"/>
        <v>0</v>
      </c>
      <c r="AV60" s="581">
        <f t="shared" si="87"/>
        <v>0</v>
      </c>
      <c r="AW60" s="285"/>
      <c r="AX60" s="536" t="str">
        <f t="shared" ca="1" si="12"/>
        <v>IADEM</v>
      </c>
      <c r="AY60" s="578" t="s">
        <v>61</v>
      </c>
      <c r="AZ60" s="579">
        <f>M101/1000</f>
        <v>18.283391999999999</v>
      </c>
      <c r="BA60" s="580">
        <f>AZ60*$AN$23</f>
        <v>18.283391999999999</v>
      </c>
      <c r="BB60" s="583">
        <f t="shared" si="60"/>
        <v>0</v>
      </c>
      <c r="BC60" s="583">
        <f t="shared" si="61"/>
        <v>0</v>
      </c>
      <c r="BD60" s="579">
        <f t="shared" si="33"/>
        <v>18.283401908910889</v>
      </c>
      <c r="BE60" s="580">
        <f t="shared" si="34"/>
        <v>0</v>
      </c>
      <c r="BF60" s="581">
        <f t="shared" si="35"/>
        <v>0</v>
      </c>
      <c r="BG60" s="579">
        <f t="shared" si="88"/>
        <v>18.283401908910889</v>
      </c>
      <c r="BH60" s="580">
        <f t="shared" si="88"/>
        <v>0</v>
      </c>
      <c r="BI60" s="581">
        <f t="shared" si="88"/>
        <v>0</v>
      </c>
      <c r="BJ60" s="285"/>
      <c r="BK60" s="536" t="str">
        <f ca="1">AK60</f>
        <v>IADEM</v>
      </c>
      <c r="BL60" s="578" t="s">
        <v>61</v>
      </c>
      <c r="BM60" s="579">
        <f>M121/1000</f>
        <v>7.6159999999999992E-2</v>
      </c>
      <c r="BN60" s="580">
        <f>BM60*$AN$23</f>
        <v>7.6159999999999992E-2</v>
      </c>
      <c r="BO60" s="583">
        <f t="shared" si="53"/>
        <v>0</v>
      </c>
      <c r="BP60" s="583">
        <f t="shared" si="54"/>
        <v>0</v>
      </c>
      <c r="BQ60" s="579">
        <f t="shared" si="38"/>
        <v>7.6170368316831688E-2</v>
      </c>
      <c r="BR60" s="580">
        <f t="shared" si="39"/>
        <v>0</v>
      </c>
      <c r="BS60" s="581">
        <f t="shared" si="40"/>
        <v>0</v>
      </c>
      <c r="BT60" s="579">
        <f t="shared" si="89"/>
        <v>7.6170368316831688E-2</v>
      </c>
      <c r="BU60" s="580">
        <f t="shared" si="89"/>
        <v>0</v>
      </c>
      <c r="BV60" s="581">
        <f t="shared" si="89"/>
        <v>0</v>
      </c>
      <c r="BW60" s="285"/>
      <c r="BX60" s="285"/>
      <c r="BY60" s="285"/>
    </row>
    <row r="61" spans="3:77" ht="12.75" customHeight="1">
      <c r="C61" s="173" t="str">
        <f ca="1">+IF(OFFSET(Processes!B42,$D$11,0)="*","*",OFFSET(Processes!D42,$D$11,0))</f>
        <v>INDADTFTDSLE1</v>
      </c>
      <c r="D61" s="173" t="str">
        <f ca="1">+OFFSET(Processes!E42,$D$11,0)</f>
        <v>Aluminium industry Tractors, Trucks, Fishing boats, Forest machines - Diesel Existing 1</v>
      </c>
      <c r="E61" s="172" t="str">
        <f>+Processes!O42</f>
        <v>INDDSB1,INDDSB2,INDDSL</v>
      </c>
      <c r="F61" s="173" t="str">
        <f ca="1">+OFFSET(Processes!$M$12,$D$11,0) &amp; Processes!P42</f>
        <v>IADTF</v>
      </c>
      <c r="G61" s="323">
        <f t="shared" si="18"/>
        <v>87.14</v>
      </c>
      <c r="H61" s="323">
        <f t="shared" si="19"/>
        <v>0</v>
      </c>
      <c r="I61" s="323">
        <f t="shared" si="20"/>
        <v>0</v>
      </c>
      <c r="J61" s="323">
        <f t="shared" si="21"/>
        <v>41.135999999999996</v>
      </c>
      <c r="K61" s="323">
        <f t="shared" si="22"/>
        <v>0</v>
      </c>
      <c r="L61" s="323">
        <f t="shared" si="23"/>
        <v>0</v>
      </c>
      <c r="M61" s="323">
        <f t="shared" si="24"/>
        <v>30.247</v>
      </c>
      <c r="N61" s="323">
        <f t="shared" si="25"/>
        <v>0</v>
      </c>
      <c r="O61" s="323">
        <f t="shared" si="26"/>
        <v>0</v>
      </c>
      <c r="P61" s="323">
        <f t="shared" si="1"/>
        <v>30.247</v>
      </c>
      <c r="Q61" s="323">
        <f t="shared" si="2"/>
        <v>0</v>
      </c>
      <c r="R61" s="323">
        <f t="shared" si="3"/>
        <v>0</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1.3726508691308694</v>
      </c>
      <c r="AH61" s="236">
        <f t="shared" si="83"/>
        <v>0.64221034455445536</v>
      </c>
      <c r="AI61" s="236">
        <f t="shared" si="84"/>
        <v>0.47221257029702973</v>
      </c>
      <c r="AJ61" s="236"/>
      <c r="AK61" s="536" t="str">
        <f ca="1">F61</f>
        <v>IADTF</v>
      </c>
      <c r="AL61" s="578" t="s">
        <v>59</v>
      </c>
      <c r="AM61" s="579">
        <f>F79/1000</f>
        <v>1.3726400000000001</v>
      </c>
      <c r="AN61" s="580">
        <f t="shared" si="77"/>
        <v>1.3726400000000001</v>
      </c>
      <c r="AO61" s="583">
        <f t="shared" si="78"/>
        <v>0</v>
      </c>
      <c r="AP61" s="583">
        <f t="shared" si="79"/>
        <v>0</v>
      </c>
      <c r="AQ61" s="584">
        <f t="shared" si="28"/>
        <v>1.3726508691308694</v>
      </c>
      <c r="AR61" s="583">
        <f t="shared" si="29"/>
        <v>0</v>
      </c>
      <c r="AS61" s="585">
        <f t="shared" si="30"/>
        <v>0</v>
      </c>
      <c r="AT61" s="579">
        <f t="shared" si="87"/>
        <v>1.3726508691308694</v>
      </c>
      <c r="AU61" s="580">
        <f t="shared" si="87"/>
        <v>0</v>
      </c>
      <c r="AV61" s="581">
        <f t="shared" si="87"/>
        <v>0</v>
      </c>
      <c r="AW61" s="285"/>
      <c r="AX61" s="536" t="str">
        <f t="shared" ca="1" si="12"/>
        <v>IADTF</v>
      </c>
      <c r="AY61" s="578" t="s">
        <v>59</v>
      </c>
      <c r="AZ61" s="579">
        <f>F99/1000</f>
        <v>0.64221000000000006</v>
      </c>
      <c r="BA61" s="580">
        <f>AZ61*$AN$23</f>
        <v>0.64221000000000006</v>
      </c>
      <c r="BB61" s="583">
        <f t="shared" si="60"/>
        <v>0</v>
      </c>
      <c r="BC61" s="583">
        <f t="shared" si="61"/>
        <v>0</v>
      </c>
      <c r="BD61" s="579">
        <f t="shared" si="33"/>
        <v>0.64221034455445536</v>
      </c>
      <c r="BE61" s="580">
        <f t="shared" si="34"/>
        <v>0</v>
      </c>
      <c r="BF61" s="581">
        <f t="shared" si="35"/>
        <v>0</v>
      </c>
      <c r="BG61" s="579">
        <f t="shared" si="88"/>
        <v>0.64221034455445536</v>
      </c>
      <c r="BH61" s="580">
        <f t="shared" si="88"/>
        <v>0</v>
      </c>
      <c r="BI61" s="581">
        <f t="shared" si="88"/>
        <v>0</v>
      </c>
      <c r="BJ61" s="285"/>
      <c r="BK61" s="536" t="str">
        <f ca="1">AK61</f>
        <v>IADTF</v>
      </c>
      <c r="BL61" s="578" t="s">
        <v>59</v>
      </c>
      <c r="BM61" s="579">
        <f>F119/1000</f>
        <v>0.47219699999999998</v>
      </c>
      <c r="BN61" s="580">
        <f>BM61*$AN$23</f>
        <v>0.47219699999999998</v>
      </c>
      <c r="BO61" s="583">
        <f t="shared" si="53"/>
        <v>0</v>
      </c>
      <c r="BP61" s="583">
        <f t="shared" si="54"/>
        <v>0</v>
      </c>
      <c r="BQ61" s="579">
        <f t="shared" si="38"/>
        <v>0.47221257029702973</v>
      </c>
      <c r="BR61" s="580">
        <f t="shared" si="39"/>
        <v>0</v>
      </c>
      <c r="BS61" s="581">
        <f t="shared" si="40"/>
        <v>0</v>
      </c>
      <c r="BT61" s="579">
        <f t="shared" si="89"/>
        <v>0.47221257029702973</v>
      </c>
      <c r="BU61" s="580">
        <f t="shared" si="89"/>
        <v>0</v>
      </c>
      <c r="BV61" s="581">
        <f t="shared" si="89"/>
        <v>0</v>
      </c>
      <c r="BW61" s="285"/>
      <c r="BX61" s="285"/>
      <c r="BY61" s="285"/>
    </row>
    <row r="62" spans="3:77" ht="12.75" customHeight="1">
      <c r="C62" s="173" t="str">
        <f ca="1">+IF(OFFSET(Processes!B43,$D$11,0)="*","*",OFFSET(Processes!D43,$D$11,0))</f>
        <v>INDADFLTLPGE1</v>
      </c>
      <c r="D62" s="173" t="str">
        <f ca="1">+OFFSET(Processes!E43,$D$11,0)</f>
        <v>Aluminium industry Forklifts - LPG Existing 1</v>
      </c>
      <c r="E62" s="172" t="str">
        <f>+Processes!O43</f>
        <v>INDLPG,INDSNG1,INDSNG2</v>
      </c>
      <c r="F62" s="173" t="str">
        <f ca="1">+OFFSET(Processes!$M$12,$D$11,0) &amp; Processes!P43</f>
        <v>IADFL</v>
      </c>
      <c r="G62" s="323">
        <f t="shared" si="18"/>
        <v>11.689</v>
      </c>
      <c r="H62" s="323">
        <f t="shared" si="19"/>
        <v>0</v>
      </c>
      <c r="I62" s="323">
        <f>ROUNDUP(AP62/($Z62*$AA62)*I$21*Y62,3)</f>
        <v>0</v>
      </c>
      <c r="J62" s="323">
        <f t="shared" si="21"/>
        <v>5.8120000000000003</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0.18412802397602401</v>
      </c>
      <c r="AH62" s="236">
        <f t="shared" si="83"/>
        <v>9.0736253465346542E-2</v>
      </c>
      <c r="AI62" s="236" t="e">
        <f t="shared" si="84"/>
        <v>#REF!</v>
      </c>
      <c r="AJ62" s="236"/>
      <c r="AK62" s="536" t="str">
        <f ca="1">F62</f>
        <v>IADFL</v>
      </c>
      <c r="AL62" s="532" t="s">
        <v>53</v>
      </c>
      <c r="AM62" s="533">
        <f>H79/1000</f>
        <v>0.18412399999999998</v>
      </c>
      <c r="AN62" s="534">
        <f t="shared" si="77"/>
        <v>0.18412399999999998</v>
      </c>
      <c r="AO62" s="535">
        <f t="shared" si="78"/>
        <v>0</v>
      </c>
      <c r="AP62" s="535">
        <f t="shared" si="79"/>
        <v>0</v>
      </c>
      <c r="AQ62" s="545">
        <f t="shared" si="28"/>
        <v>0.18412802397602401</v>
      </c>
      <c r="AR62" s="535">
        <f t="shared" si="29"/>
        <v>0</v>
      </c>
      <c r="AS62" s="541">
        <f t="shared" si="30"/>
        <v>0</v>
      </c>
      <c r="AT62" s="546">
        <f t="shared" si="87"/>
        <v>0.18412802397602401</v>
      </c>
      <c r="AU62" s="537">
        <f t="shared" si="87"/>
        <v>0</v>
      </c>
      <c r="AV62" s="538">
        <f t="shared" si="87"/>
        <v>0</v>
      </c>
      <c r="AW62" s="285"/>
      <c r="AX62" s="536" t="str">
        <f t="shared" ca="1" si="12"/>
        <v>IADFL</v>
      </c>
      <c r="AY62" s="532" t="s">
        <v>53</v>
      </c>
      <c r="AZ62" s="533">
        <f>H99/1000</f>
        <v>9.0731999999999993E-2</v>
      </c>
      <c r="BA62" s="534">
        <f>AZ62*$AN$23</f>
        <v>9.0731999999999993E-2</v>
      </c>
      <c r="BB62" s="535">
        <f t="shared" si="60"/>
        <v>0</v>
      </c>
      <c r="BC62" s="535">
        <f t="shared" si="61"/>
        <v>0</v>
      </c>
      <c r="BD62" s="546">
        <f t="shared" si="33"/>
        <v>9.0736253465346542E-2</v>
      </c>
      <c r="BE62" s="537">
        <f t="shared" si="34"/>
        <v>0</v>
      </c>
      <c r="BF62" s="538">
        <f t="shared" si="35"/>
        <v>0</v>
      </c>
      <c r="BG62" s="546">
        <f t="shared" si="88"/>
        <v>9.0736253465346542E-2</v>
      </c>
      <c r="BH62" s="537">
        <f t="shared" si="88"/>
        <v>0</v>
      </c>
      <c r="BI62" s="538">
        <f t="shared" si="88"/>
        <v>0</v>
      </c>
      <c r="BJ62" s="285"/>
      <c r="BK62" s="536" t="str">
        <f ca="1">AK62</f>
        <v>IADFL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1043.671</v>
      </c>
      <c r="E77" s="14">
        <f t="shared" si="93"/>
        <v>968.35199999999998</v>
      </c>
      <c r="F77" s="14">
        <f t="shared" si="93"/>
        <v>0</v>
      </c>
      <c r="G77" s="14">
        <f t="shared" si="93"/>
        <v>0</v>
      </c>
      <c r="H77" s="14">
        <f t="shared" si="93"/>
        <v>0</v>
      </c>
      <c r="I77" s="14">
        <f t="shared" si="93"/>
        <v>32190.673999999999</v>
      </c>
      <c r="J77" s="14">
        <f t="shared" si="93"/>
        <v>17</v>
      </c>
      <c r="K77" s="14">
        <f t="shared" si="93"/>
        <v>0</v>
      </c>
      <c r="L77" s="14">
        <f t="shared" si="93"/>
        <v>312</v>
      </c>
      <c r="M77" s="14">
        <f t="shared" si="93"/>
        <v>29473.200000000001</v>
      </c>
      <c r="N77" s="14">
        <f t="shared" si="93"/>
        <v>0</v>
      </c>
      <c r="O77" s="86"/>
      <c r="T77" s="48" t="s">
        <v>209</v>
      </c>
      <c r="U77" s="48"/>
      <c r="V77" s="126" t="str">
        <f>+INDEX('Energy matrix'!C4:N4,1,$D$2)</f>
        <v>Non-ferrous metal</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1043.671</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184.124</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968.35199999999998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3192.9300000000003</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15719.04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736.82999999999993</v>
      </c>
      <c r="N82" s="14">
        <f t="shared" si="98"/>
        <v>2571</v>
      </c>
      <c r="O82" s="86"/>
      <c r="T82" s="117" t="str">
        <f>+'Energy matrix'!B9</f>
        <v>LPG</v>
      </c>
      <c r="U82" s="117"/>
      <c r="V82" s="118">
        <f>+INDEX('Energy matrix'!C9:N9,1,$D$2)</f>
        <v>184.124</v>
      </c>
      <c r="W82" s="117"/>
    </row>
    <row r="83" spans="3:24" ht="12.75" customHeight="1">
      <c r="C83" s="17" t="s">
        <v>57</v>
      </c>
      <c r="D83" s="18">
        <f t="shared" ref="D83:N83" si="99">SUM(D77:D82)</f>
        <v>1043.671</v>
      </c>
      <c r="E83" s="18">
        <f t="shared" si="99"/>
        <v>968.35199999999998</v>
      </c>
      <c r="F83" s="18">
        <f t="shared" si="99"/>
        <v>1372.64</v>
      </c>
      <c r="G83" s="18">
        <f t="shared" si="99"/>
        <v>0</v>
      </c>
      <c r="H83" s="18">
        <f t="shared" si="99"/>
        <v>184.124</v>
      </c>
      <c r="I83" s="18">
        <f t="shared" si="99"/>
        <v>32190.673999999999</v>
      </c>
      <c r="J83" s="18">
        <f t="shared" si="99"/>
        <v>17</v>
      </c>
      <c r="K83" s="18">
        <f t="shared" si="99"/>
        <v>0</v>
      </c>
      <c r="L83" s="18">
        <f t="shared" si="99"/>
        <v>312</v>
      </c>
      <c r="M83" s="18">
        <f t="shared" si="99"/>
        <v>49122</v>
      </c>
      <c r="N83" s="18">
        <f t="shared" si="99"/>
        <v>2571</v>
      </c>
      <c r="O83" s="86"/>
      <c r="T83" s="117" t="str">
        <f>+'Energy matrix'!B11</f>
        <v>Natural gas</v>
      </c>
      <c r="U83" s="117"/>
      <c r="V83" s="118">
        <f>+INDEX('Energy matrix'!C11:N11,1,$D$2)</f>
        <v>32190.673999999999</v>
      </c>
      <c r="W83" s="117"/>
    </row>
    <row r="84" spans="3:24" ht="12.75" customHeight="1">
      <c r="E84" s="25"/>
      <c r="F84" s="25"/>
      <c r="G84" s="25"/>
      <c r="H84" s="25"/>
      <c r="I84" s="25"/>
      <c r="J84" s="25"/>
      <c r="K84" s="25"/>
      <c r="O84" s="86"/>
      <c r="T84" s="117" t="str">
        <f>+'Energy matrix'!B12</f>
        <v>Biogas</v>
      </c>
      <c r="U84" s="117"/>
      <c r="V84" s="118">
        <f>+INDEX('Energy matrix'!C12:N12,1,$D$2)</f>
        <v>17</v>
      </c>
      <c r="W84" s="117"/>
    </row>
    <row r="85" spans="3:24" ht="12.75" customHeight="1">
      <c r="E85" s="25"/>
      <c r="F85" s="25"/>
      <c r="G85" s="25"/>
      <c r="H85" s="25"/>
      <c r="I85" s="25"/>
      <c r="J85" s="25"/>
      <c r="K85" s="25"/>
      <c r="O85" s="86"/>
      <c r="T85" s="117" t="str">
        <f>+'Energy matrix'!B17</f>
        <v>Biomass</v>
      </c>
      <c r="U85" s="117"/>
      <c r="V85" s="118">
        <f>+INDEX('Energy matrix'!C17:N17,1,$D$2)</f>
        <v>0</v>
      </c>
      <c r="W85" s="117"/>
    </row>
    <row r="86" spans="3:24" ht="12.75" customHeight="1">
      <c r="O86" s="86"/>
      <c r="T86" s="117" t="str">
        <f>+'Energy matrix'!B18</f>
        <v>Waste</v>
      </c>
      <c r="U86" s="117"/>
      <c r="V86" s="118">
        <f>+INDEX('Energy matrix'!C18:N18,1,$D$2)</f>
        <v>312</v>
      </c>
      <c r="W86" s="117"/>
    </row>
    <row r="87" spans="3:24" ht="12.75" customHeight="1">
      <c r="O87" s="86"/>
      <c r="T87" s="117" t="str">
        <f>+'Energy matrix'!B19</f>
        <v>Electricity</v>
      </c>
      <c r="U87" s="117"/>
      <c r="V87" s="118">
        <f>+INDEX('Energy matrix'!C19:N19,1,$D$2)</f>
        <v>49122</v>
      </c>
      <c r="W87" s="117"/>
    </row>
    <row r="88" spans="3:24" ht="12.75" customHeight="1">
      <c r="O88" s="86"/>
      <c r="T88" s="122" t="str">
        <f>+'Energy matrix'!B20</f>
        <v>District Heating</v>
      </c>
      <c r="U88" s="122"/>
      <c r="V88" s="123">
        <f>+INDEX('Energy matrix'!C20:N20,1,$D$2)</f>
        <v>2571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87781.460999999996</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1343.058</v>
      </c>
      <c r="E97" s="14">
        <f t="shared" si="110"/>
        <v>1222.05</v>
      </c>
      <c r="F97" s="14">
        <f t="shared" si="110"/>
        <v>0</v>
      </c>
      <c r="G97" s="14">
        <f t="shared" si="110"/>
        <v>0</v>
      </c>
      <c r="H97" s="14">
        <f t="shared" si="110"/>
        <v>0</v>
      </c>
      <c r="I97" s="14">
        <f t="shared" si="110"/>
        <v>33843.599999999999</v>
      </c>
      <c r="J97" s="14" t="e">
        <f t="shared" si="110"/>
        <v>#REF!</v>
      </c>
      <c r="K97" s="14">
        <f t="shared" si="110"/>
        <v>0</v>
      </c>
      <c r="L97" s="14">
        <f t="shared" si="110"/>
        <v>256</v>
      </c>
      <c r="M97" s="14">
        <f t="shared" si="110"/>
        <v>34281.360000000001</v>
      </c>
      <c r="N97" s="14">
        <f t="shared" si="110"/>
        <v>0</v>
      </c>
      <c r="O97" s="86"/>
      <c r="R97" s="287"/>
      <c r="S97" s="287"/>
      <c r="T97" s="48" t="s">
        <v>209</v>
      </c>
      <c r="U97" s="48"/>
      <c r="V97" s="126" t="str">
        <f>+INDEX('Energy matrix'!C28:N28,1,$D$2)</f>
        <v>Non-ferrous metal</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1343.058</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90.731999999999999</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1222.05</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3713.8139999999999</v>
      </c>
      <c r="N100" s="14">
        <f t="shared" si="113"/>
        <v>0</v>
      </c>
      <c r="O100" s="86"/>
      <c r="R100" s="287"/>
      <c r="S100" s="287"/>
      <c r="T100" s="117" t="str">
        <f>'Energy matrix'!B31</f>
        <v>Diesel</v>
      </c>
      <c r="U100" s="117"/>
      <c r="V100" s="118">
        <f>+INDEX('Energy matrix'!C31:N31,1,$D$2)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18283.392</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857.03399999999999</v>
      </c>
      <c r="N102" s="14">
        <f t="shared" si="115"/>
        <v>1109</v>
      </c>
      <c r="O102" s="86"/>
      <c r="R102" s="287"/>
      <c r="S102" s="287"/>
      <c r="T102" s="117" t="str">
        <f>'Energy matrix'!B33</f>
        <v>LPG</v>
      </c>
      <c r="U102" s="117"/>
      <c r="V102" s="118">
        <f>+INDEX('Energy matrix'!C33:N33,1,$D$2)</f>
        <v>90.731999999999999</v>
      </c>
      <c r="W102" s="117"/>
    </row>
    <row r="103" spans="3:24" s="285" customFormat="1" ht="12.75" customHeight="1">
      <c r="C103" s="17" t="s">
        <v>57</v>
      </c>
      <c r="D103" s="18">
        <f t="shared" ref="D103:N103" si="116">SUM(D97:D102)</f>
        <v>1343.058</v>
      </c>
      <c r="E103" s="18">
        <f t="shared" si="116"/>
        <v>1222.05</v>
      </c>
      <c r="F103" s="18">
        <f t="shared" si="116"/>
        <v>642.21</v>
      </c>
      <c r="G103" s="18">
        <f t="shared" si="116"/>
        <v>0</v>
      </c>
      <c r="H103" s="18">
        <f t="shared" si="116"/>
        <v>90.731999999999999</v>
      </c>
      <c r="I103" s="18">
        <f t="shared" si="116"/>
        <v>33843.599999999999</v>
      </c>
      <c r="J103" s="18" t="e">
        <f t="shared" si="116"/>
        <v>#REF!</v>
      </c>
      <c r="K103" s="18">
        <f t="shared" si="116"/>
        <v>0</v>
      </c>
      <c r="L103" s="18">
        <f t="shared" si="116"/>
        <v>256</v>
      </c>
      <c r="M103" s="18">
        <f t="shared" si="116"/>
        <v>57135.6</v>
      </c>
      <c r="N103" s="18">
        <f t="shared" si="116"/>
        <v>1109</v>
      </c>
      <c r="O103" s="86"/>
      <c r="R103" s="287"/>
      <c r="S103" s="287"/>
      <c r="T103" s="117" t="str">
        <f>'Energy matrix'!B35</f>
        <v>Natural gas</v>
      </c>
      <c r="U103" s="117"/>
      <c r="V103" s="118">
        <f>+INDEX('Energy matrix'!C35:N35,1,$D$2)</f>
        <v>33843.599999999999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0</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256</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57135.6</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1109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1097.598</v>
      </c>
      <c r="E117" s="14">
        <f t="shared" si="127"/>
        <v>685.83100000000002</v>
      </c>
      <c r="F117" s="14">
        <f t="shared" si="127"/>
        <v>0</v>
      </c>
      <c r="G117" s="14">
        <f t="shared" si="127"/>
        <v>0</v>
      </c>
      <c r="H117" s="14" t="e">
        <f t="shared" si="127"/>
        <v>#REF!</v>
      </c>
      <c r="I117" s="14">
        <f t="shared" si="127"/>
        <v>0</v>
      </c>
      <c r="J117" s="14">
        <f t="shared" si="127"/>
        <v>35464.18</v>
      </c>
      <c r="K117" s="14">
        <f t="shared" si="127"/>
        <v>10</v>
      </c>
      <c r="L117" s="14">
        <f t="shared" si="127"/>
        <v>0</v>
      </c>
      <c r="M117" s="14">
        <f t="shared" si="127"/>
        <v>142.79999999999998</v>
      </c>
      <c r="N117" s="14">
        <f t="shared" si="127"/>
        <v>0</v>
      </c>
      <c r="O117" s="86"/>
      <c r="T117" s="48" t="s">
        <v>209</v>
      </c>
      <c r="U117" s="48"/>
      <c r="V117" s="126" t="str">
        <f>+INDEX('Energy matrix'!C52:N52,1,$D$2)</f>
        <v>Non-ferrous metal</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1097.598</v>
      </c>
      <c r="W118" s="117"/>
    </row>
    <row r="119" spans="3:31" ht="12.75" customHeight="1">
      <c r="C119" s="13" t="str">
        <f>$D$152</f>
        <v>Haullage</v>
      </c>
      <c r="D119" s="19">
        <f t="shared" ref="D119:N119" si="129">+INDEX($E152:$O152,1,D$115) * INDEX($V$118:$V$128,D$115,1)</f>
        <v>0</v>
      </c>
      <c r="E119" s="19">
        <f t="shared" si="129"/>
        <v>0</v>
      </c>
      <c r="F119" s="19">
        <f t="shared" si="129"/>
        <v>472.197</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685.83100000000002</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15.47</v>
      </c>
      <c r="N120" s="14">
        <f t="shared" si="130"/>
        <v>0</v>
      </c>
      <c r="O120" s="86"/>
      <c r="T120" s="117" t="str">
        <f>'Energy matrix'!B55</f>
        <v>Diesel</v>
      </c>
      <c r="U120" s="117"/>
      <c r="V120" s="118">
        <f>+INDEX('Energy matrix'!C55:N55,1,$D$2)</f>
        <v>472.197</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76.16</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3.57</v>
      </c>
      <c r="N122" s="14">
        <f t="shared" si="132"/>
        <v>54954</v>
      </c>
      <c r="O122" s="86"/>
      <c r="T122" s="117" t="e">
        <f>'Energy matrix'!#REF!</f>
        <v>#REF!</v>
      </c>
      <c r="U122" s="117"/>
      <c r="V122" s="118" t="e">
        <f>+_xlfn.SINGLE(INDEX('Energy matrix'!#REF!,1,$D$2))</f>
        <v>#REF!</v>
      </c>
      <c r="W122" s="117"/>
    </row>
    <row r="123" spans="3:31" ht="12.75" customHeight="1">
      <c r="C123" s="17" t="s">
        <v>57</v>
      </c>
      <c r="D123" s="18">
        <f t="shared" ref="D123:N123" si="133">SUM(D117:D122)</f>
        <v>1097.598</v>
      </c>
      <c r="E123" s="18">
        <f t="shared" si="133"/>
        <v>685.83100000000002</v>
      </c>
      <c r="F123" s="18">
        <f t="shared" si="133"/>
        <v>472.197</v>
      </c>
      <c r="G123" s="18">
        <f t="shared" si="133"/>
        <v>0</v>
      </c>
      <c r="H123" s="18" t="e">
        <f t="shared" si="133"/>
        <v>#REF!</v>
      </c>
      <c r="I123" s="18">
        <f t="shared" si="133"/>
        <v>0</v>
      </c>
      <c r="J123" s="18">
        <f t="shared" si="133"/>
        <v>35464.18</v>
      </c>
      <c r="K123" s="18">
        <f t="shared" si="133"/>
        <v>10</v>
      </c>
      <c r="L123" s="18">
        <f t="shared" si="133"/>
        <v>0</v>
      </c>
      <c r="M123" s="18">
        <f t="shared" si="133"/>
        <v>237.99999999999997</v>
      </c>
      <c r="N123" s="18">
        <f t="shared" si="133"/>
        <v>54954</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35464.18</v>
      </c>
      <c r="W124" s="117"/>
    </row>
    <row r="125" spans="3:31" ht="12.75" customHeight="1">
      <c r="E125" s="25"/>
      <c r="F125" s="25"/>
      <c r="G125" s="25"/>
      <c r="H125" s="25"/>
      <c r="I125" s="25"/>
      <c r="J125" s="25"/>
      <c r="K125" s="25"/>
      <c r="O125" s="86"/>
      <c r="T125" s="117" t="str">
        <f>'Energy matrix'!B60</f>
        <v>Biogas</v>
      </c>
      <c r="U125" s="117"/>
      <c r="V125" s="118">
        <f>+INDEX('Energy matrix'!C60:N60,1,$D$2)</f>
        <v>10</v>
      </c>
      <c r="W125" s="117"/>
    </row>
    <row r="126" spans="3:31" ht="12.75" customHeight="1">
      <c r="O126" s="86"/>
      <c r="T126" s="117" t="str">
        <f>'Energy matrix'!B65</f>
        <v>Biomass</v>
      </c>
      <c r="U126" s="117"/>
      <c r="V126" s="118">
        <f>+INDEX('Energy matrix'!C65:N65,1,$D$2)</f>
        <v>0</v>
      </c>
      <c r="W126" s="117"/>
    </row>
    <row r="127" spans="3:31" ht="12.75" customHeight="1">
      <c r="O127" s="86"/>
      <c r="T127" s="117" t="str">
        <f>'Energy matrix'!B66</f>
        <v>Waste</v>
      </c>
      <c r="U127" s="117"/>
      <c r="V127" s="118">
        <f>+INDEX('Energy matrix'!C66:N66,1,$D$2)</f>
        <v>238</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54954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03 Non-ferrous metal</v>
      </c>
      <c r="D150" s="13" t="s">
        <v>534</v>
      </c>
      <c r="E150" s="22">
        <v>1</v>
      </c>
      <c r="F150" s="22">
        <v>1</v>
      </c>
      <c r="G150" s="22"/>
      <c r="H150" s="22">
        <v>0</v>
      </c>
      <c r="I150" s="22"/>
      <c r="J150" s="22">
        <v>1</v>
      </c>
      <c r="K150" s="22">
        <v>1</v>
      </c>
      <c r="L150" s="22">
        <v>1</v>
      </c>
      <c r="M150" s="22">
        <v>1</v>
      </c>
      <c r="N150" s="22">
        <v>0.6</v>
      </c>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v>0</v>
      </c>
      <c r="N151" s="22">
        <v>0</v>
      </c>
      <c r="O151" s="22">
        <v>0</v>
      </c>
      <c r="P151" s="34"/>
      <c r="Q151" s="34"/>
      <c r="R151" s="25"/>
      <c r="S151" s="25"/>
      <c r="X151" s="285"/>
      <c r="Y151" s="285"/>
      <c r="AA151" s="25"/>
      <c r="AB151" s="25"/>
    </row>
    <row r="152" spans="3:28">
      <c r="C152" s="15"/>
      <c r="D152" s="13" t="s">
        <v>536</v>
      </c>
      <c r="E152" s="22">
        <v>0</v>
      </c>
      <c r="F152" s="22">
        <v>0</v>
      </c>
      <c r="G152" s="22">
        <v>1</v>
      </c>
      <c r="H152" s="611">
        <v>1</v>
      </c>
      <c r="I152" s="22">
        <v>1</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6.5000000000000002E-2</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0.32</v>
      </c>
      <c r="O154" s="22">
        <v>0</v>
      </c>
      <c r="P154" s="34"/>
      <c r="Q154" s="34"/>
      <c r="R154" s="25"/>
      <c r="S154" s="25"/>
      <c r="X154" s="285"/>
      <c r="Y154" s="285"/>
      <c r="AA154" s="25"/>
      <c r="AB154" s="25"/>
    </row>
    <row r="155" spans="3:28">
      <c r="C155" s="16"/>
      <c r="D155" s="13" t="s">
        <v>539</v>
      </c>
      <c r="E155" s="22"/>
      <c r="F155" s="22"/>
      <c r="G155" s="22"/>
      <c r="H155" s="22"/>
      <c r="I155" s="22"/>
      <c r="J155" s="22"/>
      <c r="K155" s="22"/>
      <c r="L155" s="22"/>
      <c r="M155" s="22"/>
      <c r="N155" s="22">
        <v>1.4999999999999999E-2</v>
      </c>
      <c r="O155" s="22">
        <v>1</v>
      </c>
      <c r="P155" s="34"/>
      <c r="Q155" s="34"/>
      <c r="R155" s="25"/>
      <c r="S155" s="25"/>
      <c r="X155" s="285"/>
      <c r="Y155" s="285"/>
      <c r="AA155" s="25"/>
      <c r="AB155" s="25"/>
    </row>
    <row r="156" spans="3:28">
      <c r="C156" s="17" t="str">
        <f>C150</f>
        <v>03 Non-ferrous metal</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56"/>
  <sheetViews>
    <sheetView showGridLines="0" topLeftCell="A98"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33203125" style="25" customWidth="1"/>
    <col min="23" max="23" width="8.6640625" style="25" customWidth="1"/>
    <col min="24" max="24" width="8.1640625" style="25" customWidth="1"/>
    <col min="25" max="27" width="13.1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5</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Transport industry</v>
      </c>
      <c r="E5" s="25"/>
      <c r="F5" s="197"/>
      <c r="G5" s="198"/>
    </row>
    <row r="6" spans="3:28" ht="12.75" customHeight="1">
      <c r="C6" s="62"/>
      <c r="D6" s="70" t="str">
        <f>+INDEX(Commodities!$Y$6:$Y$17,D2)</f>
        <v>05 Transport equipment</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05 Transport equipment</v>
      </c>
      <c r="E9" s="25"/>
    </row>
    <row r="10" spans="3:28" ht="12.75" customHeight="1">
      <c r="C10" s="62" t="s">
        <v>154</v>
      </c>
      <c r="D10" s="70">
        <f>+ROW(Processes!$M$44) - ROW(Processes!$M$7)</f>
        <v>37</v>
      </c>
      <c r="E10" s="25"/>
    </row>
    <row r="11" spans="3:28" ht="12.75" customHeight="1">
      <c r="C11" s="62" t="s">
        <v>194</v>
      </c>
      <c r="D11" s="70">
        <f>+$D$10*$D$2-$D$10</f>
        <v>148</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Transport equipment</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4" t="s">
        <v>62</v>
      </c>
      <c r="H19" s="515"/>
      <c r="I19" s="515"/>
      <c r="J19" s="515"/>
      <c r="K19" s="515"/>
      <c r="L19" s="515"/>
      <c r="M19" s="515"/>
      <c r="N19" s="516"/>
      <c r="O19" s="516"/>
      <c r="P19" s="288"/>
      <c r="Q19" s="285"/>
      <c r="R19" s="285"/>
      <c r="S19" s="398"/>
      <c r="T19" s="285"/>
      <c r="U19" s="285"/>
      <c r="V19" s="285"/>
      <c r="W19" s="285"/>
      <c r="X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7">
        <v>2010</v>
      </c>
      <c r="H20" s="518"/>
      <c r="I20" s="521"/>
      <c r="J20" s="517">
        <v>2015</v>
      </c>
      <c r="K20" s="518"/>
      <c r="L20" s="521"/>
      <c r="M20" s="517">
        <v>2019</v>
      </c>
      <c r="N20" s="518"/>
      <c r="O20" s="518"/>
      <c r="P20" s="296"/>
      <c r="Q20" s="297"/>
      <c r="R20" s="297"/>
      <c r="S20" s="296"/>
      <c r="T20" s="295"/>
      <c r="U20" s="295"/>
      <c r="V20" s="285"/>
      <c r="W20" s="285"/>
      <c r="X20" s="298"/>
      <c r="Y20" s="298"/>
      <c r="Z20" s="298"/>
      <c r="AA20" s="298"/>
      <c r="AB20" s="349"/>
      <c r="AC20" s="287"/>
      <c r="AD20" s="287"/>
      <c r="AE20" s="287"/>
      <c r="AF20" s="287"/>
      <c r="AG20" s="287"/>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INDTDPHBNGAE1</v>
      </c>
      <c r="D26" s="146" t="str">
        <f ca="1">+OFFSET(Processes!E7,$D$11,0)</f>
        <v>Transport industry Heat Medium Temp. Boiler - Nat. Gas Existing 1</v>
      </c>
      <c r="E26" s="149" t="str">
        <f>+Processes!O7</f>
        <v>INDSNG1,INDSNG2,INDNGA</v>
      </c>
      <c r="F26" s="149" t="str">
        <f ca="1">+OFFSET(Processes!$M$12,$D$11,0) &amp; Processes!P7</f>
        <v>ITDPH</v>
      </c>
      <c r="G26" s="322">
        <f>ROUNDUP(AN26/($Z26*$AA26)*G$21*W26,3)</f>
        <v>1916.0729999999999</v>
      </c>
      <c r="H26" s="322">
        <f t="shared" ref="H26:I26" si="0">ROUNDUP(AO26/($Z26*$AA26)*H$21*X26,3)</f>
        <v>106.449</v>
      </c>
      <c r="I26" s="322">
        <f t="shared" si="0"/>
        <v>106.449</v>
      </c>
      <c r="J26" s="322">
        <f>ROUNDUP(BA26/($Z26*$AA26)*J$21*W26,3)</f>
        <v>1855.2549999999999</v>
      </c>
      <c r="K26" s="322">
        <f>ROUNDUP(BB26/($Z26*$AA26)*K$21*X26,3)</f>
        <v>103.07000000000001</v>
      </c>
      <c r="L26" s="322">
        <f>ROUNDUP(BC26/($Z26*$AA26)*L$21*Y26,3)</f>
        <v>103.07000000000001</v>
      </c>
      <c r="M26" s="322">
        <f>ROUNDUP(BN26/($Z26*$AA26)*M$21*W26,3)</f>
        <v>57.933999999999997</v>
      </c>
      <c r="N26" s="322">
        <f>ROUNDUP(BO26/($Z26*$AA26)*N$21*X26,3)</f>
        <v>3.2189999999999999</v>
      </c>
      <c r="O26" s="322">
        <f>ROUNDUP(BP26/($Z26*$AA26)*O$21*Y26,3)</f>
        <v>3.2189999999999999</v>
      </c>
      <c r="P26" s="322">
        <f t="shared" ref="P26:P62" si="1">M26</f>
        <v>57.933999999999997</v>
      </c>
      <c r="Q26" s="322">
        <f t="shared" ref="Q26:Q62" si="2">N26</f>
        <v>3.2189999999999999</v>
      </c>
      <c r="R26" s="322">
        <f t="shared" ref="R26:R62" si="3">O26</f>
        <v>3.2189999999999999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32.509456763644529</v>
      </c>
      <c r="AH26" s="236">
        <f t="shared" ref="AH26:AH41" si="9">((J26*Z26*AA26/W26)+(K26*Z26*AA26/X26))/$J$21</f>
        <v>31.197078803798746</v>
      </c>
      <c r="AI26" s="236">
        <f t="shared" ref="AI26:AI41" si="10">((M26*AA26*Z26/W26)+(N26*Z26*AA26/X26))/$M$21</f>
        <v>0.97419731662962217</v>
      </c>
      <c r="AJ26" s="285"/>
      <c r="AK26" s="530" t="str">
        <f ca="1">F26</f>
        <v>ITDPH</v>
      </c>
      <c r="AL26" s="350" t="s">
        <v>97</v>
      </c>
      <c r="AM26" s="313">
        <f>I77/1000</f>
        <v>34.220467800000002</v>
      </c>
      <c r="AN26" s="310">
        <f>AM26*$AN$23</f>
        <v>30.798421020000003</v>
      </c>
      <c r="AO26" s="311">
        <f>AM26*$AO$23</f>
        <v>1.7110233900000003</v>
      </c>
      <c r="AP26" s="311">
        <f>AM26*$AP$23</f>
        <v>1.7110233900000003</v>
      </c>
      <c r="AQ26" s="312">
        <f>IFERROR(G26*$Z26*$AA26/G$21,0)</f>
        <v>30.182456607392613</v>
      </c>
      <c r="AR26" s="311">
        <f>IFERROR(H26*$Z26*$AA26/H$21,0)</f>
        <v>1.6768110209790212</v>
      </c>
      <c r="AS26" s="338">
        <f>IFERROR(I26*$Z26*$AA26/I$21,0)</f>
        <v>1.6768110209790212</v>
      </c>
      <c r="AT26" s="313">
        <f t="shared" ref="AT26:AV29" si="11">IFERROR(AQ26/W26,0)</f>
        <v>30.798425109584301</v>
      </c>
      <c r="AU26" s="310">
        <f t="shared" si="11"/>
        <v>1.7110316540602257</v>
      </c>
      <c r="AV26" s="357">
        <f t="shared" si="11"/>
        <v>1.7110316540602257</v>
      </c>
      <c r="AW26" s="285"/>
      <c r="AX26" s="530" t="str">
        <f t="shared" ref="AX26:AX62" ca="1" si="12">AK26</f>
        <v>ITDPH</v>
      </c>
      <c r="AY26" s="350" t="s">
        <v>97</v>
      </c>
      <c r="AZ26" s="313">
        <f>I97/1000</f>
        <v>32.839020000000005</v>
      </c>
      <c r="BA26" s="310">
        <f>AZ26*$AN$23</f>
        <v>29.555118000000004</v>
      </c>
      <c r="BB26" s="311">
        <f>AZ26*$BB$23</f>
        <v>1.6419510000000004</v>
      </c>
      <c r="BC26" s="311">
        <f>AZ26*$BC$23</f>
        <v>1.6419510000000004</v>
      </c>
      <c r="BD26" s="313">
        <f t="shared" ref="BD26" si="13">IFERROR(J26*$Z26*AA26/J$21,0)</f>
        <v>28.964020633663363</v>
      </c>
      <c r="BE26" s="310">
        <f t="shared" ref="BE26" si="14">IFERROR(K26*$Z26*AA26/K$21,0)</f>
        <v>1.6091165940594061</v>
      </c>
      <c r="BF26" s="357">
        <f>IFERROR(L26*$Z26*AA26/L$21,0)</f>
        <v>1.6091165940594061</v>
      </c>
      <c r="BG26" s="313">
        <f t="shared" ref="BG26:BG35" si="15">IFERROR(BD26/W26,0)</f>
        <v>29.55512309557486</v>
      </c>
      <c r="BH26" s="310">
        <f t="shared" ref="BH26:BH35" si="16">IFERROR(BE26/X26,0)</f>
        <v>1.6419557082238838</v>
      </c>
      <c r="BI26" s="357">
        <f t="shared" ref="BI26:BI35" si="17">IFERROR(BF26/Y26,0)</f>
        <v>1.6419557082238838</v>
      </c>
      <c r="BJ26" s="285"/>
      <c r="BK26" s="530" t="str">
        <f ca="1">AK26</f>
        <v>ITDPH</v>
      </c>
      <c r="BL26" s="350" t="s">
        <v>97</v>
      </c>
      <c r="BM26" s="313">
        <f>I117/1000</f>
        <v>1.02546</v>
      </c>
      <c r="BN26" s="310">
        <f>BM26*$AN$23</f>
        <v>0.92291400000000001</v>
      </c>
      <c r="BO26" s="311">
        <f>BM26*$BB$23</f>
        <v>5.1273000000000006E-2</v>
      </c>
      <c r="BP26" s="311">
        <f>BM26*$BC$23</f>
        <v>5.1273000000000006E-2</v>
      </c>
      <c r="BQ26" s="313">
        <f>IFERROR(M26*$Z26*$AA26/M$21,0)</f>
        <v>0.90445872475247524</v>
      </c>
      <c r="BR26" s="310">
        <f>IFERROR(N26*$Z26*$AA26/N$21,0)</f>
        <v>5.0254645544554458E-2</v>
      </c>
      <c r="BS26" s="357">
        <f>IFERROR(O26*$Z26*$AA26/O$21,0)</f>
        <v>5.0254645544554458E-2</v>
      </c>
      <c r="BT26" s="313">
        <f>IFERROR(BQ26/W26,0)</f>
        <v>0.9229170660739543</v>
      </c>
      <c r="BU26" s="310">
        <f>IFERROR(BR26/X26,0)</f>
        <v>5.1280250555667817E-2</v>
      </c>
      <c r="BV26" s="357">
        <f>IFERROR(BS26/Y26,0)</f>
        <v>5.1280250555667817E-2</v>
      </c>
      <c r="BW26" s="285"/>
      <c r="BX26" s="285"/>
      <c r="BY26" s="285"/>
    </row>
    <row r="27" spans="3:77" ht="12.75" customHeight="1">
      <c r="C27" s="146" t="str">
        <f ca="1">+IF(OFFSET(Processes!B8,$D$11,0)="*","*",OFFSET(Processes!D8,$D$11,0))</f>
        <v>INDTDPHBCOAE1</v>
      </c>
      <c r="D27" s="146" t="str">
        <f ca="1">+OFFSET(Processes!E8,$D$11,0)</f>
        <v>Transport industry Heat Medium Temp. Boiler - Coal Existing 1</v>
      </c>
      <c r="E27" s="149" t="str">
        <f>+Processes!O8</f>
        <v>INDCOA</v>
      </c>
      <c r="F27" s="149" t="str">
        <f ca="1">+OFFSET(Processes!$M$12,$D$11,0) &amp; Processes!P8</f>
        <v>ITDPH</v>
      </c>
      <c r="G27" s="322">
        <f t="shared" ref="G27:G62" si="18">ROUNDUP(AN27/($Z27*$AA27)*G$21*W27,3)</f>
        <v>36.576000000000001</v>
      </c>
      <c r="H27" s="322">
        <f t="shared" ref="H27:H62" si="19">ROUNDUP(AO27/($Z27*$AA27)*H$21*X27,3)</f>
        <v>2.032</v>
      </c>
      <c r="I27" s="322">
        <f t="shared" ref="I27:I61" si="20">ROUNDUP(AP27/($Z27*$AA27)*I$21*Y27,3)</f>
        <v>2.032</v>
      </c>
      <c r="J27" s="322">
        <f t="shared" ref="J27:J62" si="21">ROUNDUP(BA27/($Z27*$AA27)*J$21*W27,3)</f>
        <v>6.8070000000000004</v>
      </c>
      <c r="K27" s="322">
        <f t="shared" ref="K27:K62" si="22">ROUNDUP(BB27/($Z27*$AA27)*K$21*X27,3)</f>
        <v>0.379</v>
      </c>
      <c r="L27" s="322">
        <f t="shared" ref="L27:L62" si="23">ROUNDUP(BC27/($Z27*$AA27)*L$21*Y27,3)</f>
        <v>0.379</v>
      </c>
      <c r="M27" s="322">
        <f t="shared" ref="M27:M62" si="24">ROUNDUP(BN27/($Z27*$AA27)*M$21*W27,3)</f>
        <v>384.38299999999998</v>
      </c>
      <c r="N27" s="322">
        <f t="shared" ref="N27:N62" si="25">ROUNDUP(BO27/($Z27*$AA27)*N$21*X27,3)</f>
        <v>21.355</v>
      </c>
      <c r="O27" s="322">
        <f t="shared" ref="O27:O62" si="26">ROUNDUP(BP27/($Z27*$AA27)*O$21*Y27,3)</f>
        <v>21.355</v>
      </c>
      <c r="P27" s="322">
        <f t="shared" si="1"/>
        <v>384.38299999999998</v>
      </c>
      <c r="Q27" s="322">
        <f t="shared" si="2"/>
        <v>21.355</v>
      </c>
      <c r="R27" s="322">
        <f t="shared" si="3"/>
        <v>21.355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0.6532360700523967</v>
      </c>
      <c r="AH27" s="236">
        <f t="shared" si="9"/>
        <v>0.12050158777424468</v>
      </c>
      <c r="AI27" s="236">
        <f t="shared" si="10"/>
        <v>6.8037953270729865</v>
      </c>
      <c r="AJ27" s="285"/>
      <c r="AK27" s="290"/>
      <c r="AL27" s="291" t="s">
        <v>98</v>
      </c>
      <c r="AM27" s="307">
        <f>D77/1000</f>
        <v>0.68759999999999999</v>
      </c>
      <c r="AN27" s="308">
        <f>AM27*$AN$23</f>
        <v>0.61884000000000006</v>
      </c>
      <c r="AO27" s="309">
        <f t="shared" ref="AO27:AO29" si="27">AM27*$AO$23</f>
        <v>3.4380000000000001E-2</v>
      </c>
      <c r="AP27" s="309">
        <f>AM27*$AP$23</f>
        <v>3.4380000000000001E-2</v>
      </c>
      <c r="AQ27" s="306">
        <f t="shared" ref="AQ27:AQ62" si="28">IFERROR(G27*$Z27*$AA27/G$21,0)</f>
        <v>0.5761542137862139</v>
      </c>
      <c r="AR27" s="309">
        <f t="shared" ref="AR27:AR62" si="29">IFERROR(H27*$Z27*$AA27/H$21,0)</f>
        <v>3.2008567432567435E-2</v>
      </c>
      <c r="AS27" s="540">
        <f t="shared" ref="AS27:AS62" si="30">IFERROR(I27*$Z27*$AA27/I$21,0)</f>
        <v>3.2008567432567435E-2</v>
      </c>
      <c r="AT27" s="307">
        <f t="shared" si="11"/>
        <v>0.61885522426016537</v>
      </c>
      <c r="AU27" s="308">
        <f t="shared" si="11"/>
        <v>3.4380845792231406E-2</v>
      </c>
      <c r="AV27" s="353">
        <f t="shared" si="11"/>
        <v>3.4380845792231406E-2</v>
      </c>
      <c r="AW27" s="285"/>
      <c r="AX27" s="290"/>
      <c r="AY27" s="291" t="s">
        <v>98</v>
      </c>
      <c r="AZ27" s="307">
        <f>D97/1000</f>
        <v>0.12681600000000001</v>
      </c>
      <c r="BA27" s="308">
        <f>AZ27*$AN$23</f>
        <v>0.11413440000000001</v>
      </c>
      <c r="BB27" s="309">
        <f t="shared" ref="BB27:BB29" si="31">AZ27*$BB$23</f>
        <v>6.3408000000000006E-3</v>
      </c>
      <c r="BC27" s="309">
        <f t="shared" ref="BC27:BC29" si="32">AZ27*$BC$23</f>
        <v>6.3408000000000006E-3</v>
      </c>
      <c r="BD27" s="307">
        <f t="shared" ref="BD27:BD62" si="33">IFERROR(J27*$Z27*AA27/J$21,0)</f>
        <v>0.10627007524752476</v>
      </c>
      <c r="BE27" s="308">
        <f t="shared" ref="BE27:BE62" si="34">IFERROR(K27*$Z27*AA27/K$21,0)</f>
        <v>5.9169029702970301E-3</v>
      </c>
      <c r="BF27" s="353">
        <f t="shared" ref="BF27:BF62" si="35">IFERROR(L27*$Z27*AA27/L$21,0)</f>
        <v>5.9169029702970301E-3</v>
      </c>
      <c r="BG27" s="307">
        <f t="shared" si="15"/>
        <v>0.11414616030883433</v>
      </c>
      <c r="BH27" s="308">
        <f t="shared" si="16"/>
        <v>6.3554274654103442E-3</v>
      </c>
      <c r="BI27" s="353">
        <f t="shared" si="17"/>
        <v>6.3554274654103442E-3</v>
      </c>
      <c r="BJ27" s="285"/>
      <c r="BK27" s="290"/>
      <c r="BL27" s="291" t="s">
        <v>98</v>
      </c>
      <c r="BM27" s="307">
        <f>D117/1000</f>
        <v>7.16188</v>
      </c>
      <c r="BN27" s="308">
        <f>BM27*$AN$23</f>
        <v>6.4456920000000002</v>
      </c>
      <c r="BO27" s="309">
        <f t="shared" ref="BO27:BO29" si="36">BM27*$BB$23</f>
        <v>0.35809400000000002</v>
      </c>
      <c r="BP27" s="309">
        <f t="shared" ref="BP27:BP29" si="37">BM27*$BC$23</f>
        <v>0.35809400000000002</v>
      </c>
      <c r="BQ27" s="307">
        <f t="shared" ref="BQ27:BQ62" si="38">IFERROR(M27*$Z27*$AA27/M$21,0)</f>
        <v>6.0009417267326732</v>
      </c>
      <c r="BR27" s="308">
        <f t="shared" ref="BR27:BR62" si="39">IFERROR(N27*$Z27*$AA27/N$21,0)</f>
        <v>0.3333917227722773</v>
      </c>
      <c r="BS27" s="353">
        <f t="shared" ref="BS27:BS62" si="40">IFERROR(O27*$Z27*$AA27/O$21,0)</f>
        <v>0.3333917227722773</v>
      </c>
      <c r="BT27" s="307">
        <f t="shared" ref="BT27:BT35" si="41">IFERROR(BQ27/W27,0)</f>
        <v>6.4456946581446548</v>
      </c>
      <c r="BU27" s="308">
        <f t="shared" ref="BU27:BU35" si="42">IFERROR(BR27/X27,0)</f>
        <v>0.35810066892833226</v>
      </c>
      <c r="BV27" s="353">
        <f t="shared" ref="BV27:BV35" si="43">IFERROR(BS27/Y27,0)</f>
        <v>0.35810066892833226</v>
      </c>
      <c r="BW27" s="285"/>
      <c r="BX27" s="285"/>
      <c r="BY27" s="285"/>
    </row>
    <row r="28" spans="3:77" ht="12.75" customHeight="1">
      <c r="C28" s="146" t="str">
        <f ca="1">+IF(OFFSET(Processes!B9,$D$11,0)="*","*",OFFSET(Processes!D9,$D$11,0))</f>
        <v>INDTDPHBDSLE1</v>
      </c>
      <c r="D28" s="146" t="str">
        <f ca="1">+OFFSET(Processes!E9,$D$11,0)</f>
        <v>Transport industry Heat Medium Temp. Boiler - Diesel Existing 1</v>
      </c>
      <c r="E28" s="149" t="str">
        <f>+Processes!O9</f>
        <v>INDDSB1,INDDSB2,INDDSL</v>
      </c>
      <c r="F28" s="149" t="str">
        <f ca="1">+OFFSET(Processes!$M$12,$D$11,0) &amp; Processes!P9</f>
        <v>ITDPH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INDTDPHBWPEE1</v>
      </c>
      <c r="D29" s="146" t="str">
        <f ca="1">+OFFSET(Processes!E10,$D$11,0)</f>
        <v>Transport industry Heat Medium Temp. Boiler - Wood Pellets Existing 1</v>
      </c>
      <c r="E29" s="149" t="str">
        <f>+Processes!O10</f>
        <v>INDWPE</v>
      </c>
      <c r="F29" s="149" t="str">
        <f ca="1">+OFFSET(Processes!$M$12,$D$11,0) &amp; Processes!P10</f>
        <v>ITDPH</v>
      </c>
      <c r="G29" s="321">
        <f t="shared" si="18"/>
        <v>11.375</v>
      </c>
      <c r="H29" s="321">
        <f t="shared" si="19"/>
        <v>0.63200000000000001</v>
      </c>
      <c r="I29" s="321">
        <f t="shared" si="20"/>
        <v>0.63200000000000001</v>
      </c>
      <c r="J29" s="321">
        <f t="shared" si="21"/>
        <v>10.805</v>
      </c>
      <c r="K29" s="321">
        <f t="shared" si="22"/>
        <v>0.60099999999999998</v>
      </c>
      <c r="L29" s="321">
        <f t="shared" si="23"/>
        <v>0.60099999999999998</v>
      </c>
      <c r="M29" s="321">
        <f t="shared" si="24"/>
        <v>5.7150000000000007</v>
      </c>
      <c r="N29" s="321">
        <f t="shared" si="25"/>
        <v>0.318</v>
      </c>
      <c r="O29" s="321">
        <f t="shared" si="26"/>
        <v>0.318</v>
      </c>
      <c r="P29" s="321">
        <f t="shared" si="1"/>
        <v>5.7150000000000007</v>
      </c>
      <c r="Q29" s="321">
        <f t="shared" si="2"/>
        <v>0.318</v>
      </c>
      <c r="R29" s="321">
        <f t="shared" si="3"/>
        <v>0.318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0.22705550871697336</v>
      </c>
      <c r="AH29" s="236">
        <f t="shared" si="9"/>
        <v>0.21376844757705066</v>
      </c>
      <c r="AI29" s="236">
        <f t="shared" si="10"/>
        <v>0.11306900265056521</v>
      </c>
      <c r="AJ29" s="285"/>
      <c r="AK29" s="290"/>
      <c r="AL29" s="559" t="s">
        <v>99</v>
      </c>
      <c r="AM29" s="560">
        <f>K77/1000</f>
        <v>0.23899999999999999</v>
      </c>
      <c r="AN29" s="561">
        <f>AM29*$AN$23</f>
        <v>0.21509999999999999</v>
      </c>
      <c r="AO29" s="562">
        <f t="shared" si="27"/>
        <v>1.1950000000000001E-2</v>
      </c>
      <c r="AP29" s="562">
        <f>AM29*$AP$23</f>
        <v>1.1950000000000001E-2</v>
      </c>
      <c r="AQ29" s="582">
        <f t="shared" si="28"/>
        <v>0.17918181818181822</v>
      </c>
      <c r="AR29" s="562">
        <f t="shared" si="29"/>
        <v>9.9554205794205805E-3</v>
      </c>
      <c r="AS29" s="563">
        <f t="shared" si="30"/>
        <v>9.9554205794205805E-3</v>
      </c>
      <c r="AT29" s="560">
        <f t="shared" si="11"/>
        <v>0.2151042235075849</v>
      </c>
      <c r="AU29" s="561">
        <f t="shared" si="11"/>
        <v>1.1951285209388452E-2</v>
      </c>
      <c r="AV29" s="566">
        <f t="shared" si="11"/>
        <v>1.1951285209388452E-2</v>
      </c>
      <c r="AW29" s="285"/>
      <c r="AX29" s="290"/>
      <c r="AY29" s="559" t="s">
        <v>99</v>
      </c>
      <c r="AZ29" s="560">
        <f>K97/1000</f>
        <v>0.22500000000000001</v>
      </c>
      <c r="BA29" s="561">
        <f>AZ29*$AN$23</f>
        <v>0.20250000000000001</v>
      </c>
      <c r="BB29" s="562">
        <f t="shared" si="31"/>
        <v>1.1250000000000001E-2</v>
      </c>
      <c r="BC29" s="562">
        <f t="shared" si="32"/>
        <v>1.1250000000000001E-2</v>
      </c>
      <c r="BD29" s="560">
        <f t="shared" si="33"/>
        <v>0.16868637623762378</v>
      </c>
      <c r="BE29" s="561">
        <f t="shared" si="34"/>
        <v>9.3827405940594046E-3</v>
      </c>
      <c r="BF29" s="566">
        <f t="shared" si="35"/>
        <v>9.3827405940594046E-3</v>
      </c>
      <c r="BG29" s="560">
        <f t="shared" si="15"/>
        <v>0.20250465334648715</v>
      </c>
      <c r="BH29" s="561">
        <f t="shared" si="16"/>
        <v>1.1263794230563512E-2</v>
      </c>
      <c r="BI29" s="566">
        <f t="shared" si="17"/>
        <v>1.1263794230563512E-2</v>
      </c>
      <c r="BJ29" s="285"/>
      <c r="BK29" s="290"/>
      <c r="BL29" s="559" t="s">
        <v>99</v>
      </c>
      <c r="BM29" s="560">
        <f>K117/1000</f>
        <v>0.11899999999999999</v>
      </c>
      <c r="BN29" s="561">
        <f>BM29*$AN$23</f>
        <v>0.1071</v>
      </c>
      <c r="BO29" s="562">
        <f t="shared" si="36"/>
        <v>5.9500000000000004E-3</v>
      </c>
      <c r="BP29" s="562">
        <f t="shared" si="37"/>
        <v>5.9500000000000004E-3</v>
      </c>
      <c r="BQ29" s="560">
        <f t="shared" si="38"/>
        <v>8.9221900990099023E-2</v>
      </c>
      <c r="BR29" s="561">
        <f t="shared" si="39"/>
        <v>4.9645782178217822E-3</v>
      </c>
      <c r="BS29" s="566">
        <f t="shared" si="40"/>
        <v>4.9645782178217822E-3</v>
      </c>
      <c r="BT29" s="560">
        <f t="shared" si="41"/>
        <v>0.10710912483805406</v>
      </c>
      <c r="BU29" s="561">
        <f t="shared" si="42"/>
        <v>5.9598778125111431E-3</v>
      </c>
      <c r="BV29" s="566">
        <f t="shared" si="43"/>
        <v>5.9598778125111431E-3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INDTDPHBBGAE1</v>
      </c>
      <c r="D31" s="146" t="str">
        <f ca="1">+OFFSET(Processes!E12,$D$11,0)</f>
        <v>Transport industry Heat Medium Temp. Boiler - Biogas Existing 1</v>
      </c>
      <c r="E31" s="149" t="str">
        <f>+Processes!O12</f>
        <v>INDBGA</v>
      </c>
      <c r="F31" s="172" t="str">
        <f ca="1">+OFFSET(Processes!$M$12,$D$11,0) &amp; Processes!P12</f>
        <v>ITDPH</v>
      </c>
      <c r="G31" s="322">
        <f t="shared" si="18"/>
        <v>0</v>
      </c>
      <c r="H31" s="322">
        <f t="shared" si="19"/>
        <v>0</v>
      </c>
      <c r="I31" s="322">
        <f t="shared" si="20"/>
        <v>0</v>
      </c>
      <c r="J31" s="322" t="e">
        <f t="shared" si="21"/>
        <v>#REF!</v>
      </c>
      <c r="K31" s="322" t="e">
        <f t="shared" si="22"/>
        <v>#REF!</v>
      </c>
      <c r="L31" s="322" t="e">
        <f t="shared" si="23"/>
        <v>#REF!</v>
      </c>
      <c r="M31" s="322">
        <f t="shared" si="24"/>
        <v>2068.0250000000001</v>
      </c>
      <c r="N31" s="322">
        <f t="shared" si="25"/>
        <v>114.89100000000001</v>
      </c>
      <c r="O31" s="322">
        <f t="shared" si="26"/>
        <v>114.89100000000001</v>
      </c>
      <c r="P31" s="322">
        <f t="shared" si="1"/>
        <v>2068.0250000000001</v>
      </c>
      <c r="Q31" s="322">
        <f t="shared" si="2"/>
        <v>114.89100000000001</v>
      </c>
      <c r="R31" s="322">
        <f t="shared" si="3"/>
        <v>114.89100000000001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34.774923709840373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36.605161000000003</v>
      </c>
      <c r="BN31" s="561">
        <f>BM31*$AN$23</f>
        <v>32.9446449</v>
      </c>
      <c r="BO31" s="562">
        <f>BM31*$BB$23</f>
        <v>1.8302580500000003</v>
      </c>
      <c r="BP31" s="562">
        <f>BM31*$BC$23</f>
        <v>1.8302580500000003</v>
      </c>
      <c r="BQ31" s="560">
        <f t="shared" si="38"/>
        <v>32.285760594059411</v>
      </c>
      <c r="BR31" s="561">
        <f t="shared" si="39"/>
        <v>1.7936646415841584</v>
      </c>
      <c r="BS31" s="566">
        <f t="shared" si="40"/>
        <v>1.7936646415841584</v>
      </c>
      <c r="BT31" s="560">
        <f t="shared" si="41"/>
        <v>32.944653667407565</v>
      </c>
      <c r="BU31" s="561">
        <f t="shared" si="42"/>
        <v>1.8302700424328147</v>
      </c>
      <c r="BV31" s="566">
        <f t="shared" si="43"/>
        <v>1.8302700424328147</v>
      </c>
      <c r="BW31" s="285"/>
      <c r="BX31" s="285"/>
      <c r="BY31" s="285"/>
    </row>
    <row r="32" spans="3:77" ht="12.75" customHeight="1">
      <c r="C32" s="146" t="str">
        <f ca="1">+IF(OFFSET(Processes!B13,$D$11,0)="*","*",OFFSET(Processes!D13,$D$11,0))</f>
        <v>INDTDPHBHFOE1</v>
      </c>
      <c r="D32" s="146" t="str">
        <f ca="1">+OFFSET(Processes!E13,$D$11,0)</f>
        <v>Transport industry Heat Medium Temp. Boiler - Heavy Fuel Oil Existing 1</v>
      </c>
      <c r="E32" s="149" t="str">
        <f>+Processes!O13</f>
        <v>INDHFO</v>
      </c>
      <c r="F32" s="172" t="str">
        <f ca="1">+OFFSET(Processes!$M$12,$D$11,0) &amp; Processes!P13</f>
        <v>ITDPH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28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INDTDPHBLPGE1</v>
      </c>
      <c r="D33" s="146" t="str">
        <f ca="1">+OFFSET(Processes!E14,$D$11,0)</f>
        <v>Transport industry Heat Medium Temp. Boiler - Liquified Petroleum Gas Existing 1</v>
      </c>
      <c r="E33" s="149" t="str">
        <f>+Processes!O14</f>
        <v>INDLPG</v>
      </c>
      <c r="F33" s="172" t="str">
        <f ca="1">+OFFSET(Processes!$M$12,$D$11,0) &amp; Processes!P14</f>
        <v>ITDPH</v>
      </c>
      <c r="G33" s="322">
        <f t="shared" si="18"/>
        <v>3.222</v>
      </c>
      <c r="H33" s="322">
        <f t="shared" si="19"/>
        <v>0.17899999999999999</v>
      </c>
      <c r="I33" s="322">
        <f t="shared" si="20"/>
        <v>0.17899999999999999</v>
      </c>
      <c r="J33" s="322">
        <f t="shared" si="21"/>
        <v>1.9229999999999998</v>
      </c>
      <c r="K33" s="322">
        <f t="shared" si="22"/>
        <v>0.107</v>
      </c>
      <c r="L33" s="322">
        <f t="shared" si="23"/>
        <v>0.107</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5.4666729189178184E-2</v>
      </c>
      <c r="AH33" s="236">
        <f t="shared" si="9"/>
        <v>3.2338896746817537E-2</v>
      </c>
      <c r="AI33" s="236" t="e">
        <f t="shared" si="10"/>
        <v>#REF!</v>
      </c>
      <c r="AJ33" s="285"/>
      <c r="AK33" s="290"/>
      <c r="AL33" s="559" t="s">
        <v>53</v>
      </c>
      <c r="AM33" s="560">
        <f>H77/1000</f>
        <v>5.753875E-2</v>
      </c>
      <c r="AN33" s="561">
        <f t="shared" si="47"/>
        <v>5.1784875000000001E-2</v>
      </c>
      <c r="AO33" s="562">
        <f t="shared" si="48"/>
        <v>2.8769375000000002E-3</v>
      </c>
      <c r="AP33" s="562">
        <f t="shared" si="49"/>
        <v>2.8769375000000002E-3</v>
      </c>
      <c r="AQ33" s="582">
        <f t="shared" si="28"/>
        <v>5.0753742257742269E-2</v>
      </c>
      <c r="AR33" s="562">
        <f t="shared" si="29"/>
        <v>2.8196523476523481E-3</v>
      </c>
      <c r="AS33" s="563">
        <f t="shared" si="30"/>
        <v>2.8196523476523481E-3</v>
      </c>
      <c r="AT33" s="560">
        <f t="shared" si="50"/>
        <v>5.1789532916063544E-2</v>
      </c>
      <c r="AU33" s="561">
        <f t="shared" si="50"/>
        <v>2.877196273114641E-3</v>
      </c>
      <c r="AV33" s="566">
        <f t="shared" si="50"/>
        <v>2.877196273114641E-3</v>
      </c>
      <c r="AW33" s="285"/>
      <c r="AX33" s="290"/>
      <c r="AY33" s="559" t="s">
        <v>53</v>
      </c>
      <c r="AZ33" s="560">
        <f>H97/1000</f>
        <v>3.4024500000000006E-2</v>
      </c>
      <c r="BA33" s="561">
        <f>AZ33*$AN$23</f>
        <v>3.0622050000000005E-2</v>
      </c>
      <c r="BB33" s="562">
        <f t="shared" si="51"/>
        <v>1.7012250000000004E-3</v>
      </c>
      <c r="BC33" s="562">
        <f t="shared" si="52"/>
        <v>1.7012250000000004E-3</v>
      </c>
      <c r="BD33" s="560">
        <f t="shared" si="33"/>
        <v>3.0021647524752473E-2</v>
      </c>
      <c r="BE33" s="561">
        <f t="shared" si="34"/>
        <v>1.6704712871287129E-3</v>
      </c>
      <c r="BF33" s="566">
        <f t="shared" si="35"/>
        <v>1.6704712871287129E-3</v>
      </c>
      <c r="BG33" s="560">
        <f t="shared" si="15"/>
        <v>3.0634334208931094E-2</v>
      </c>
      <c r="BH33" s="561">
        <f t="shared" si="16"/>
        <v>1.7045625378864417E-3</v>
      </c>
      <c r="BI33" s="566">
        <f t="shared" si="17"/>
        <v>1.7045625378864417E-3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INDTDPHBWSTE1</v>
      </c>
      <c r="D34" s="146" t="str">
        <f ca="1">+OFFSET(Processes!E15,$D$11,0)</f>
        <v>Transport industry Heat Medium Temp. Boiler - Waste Existing 1</v>
      </c>
      <c r="E34" s="149" t="str">
        <f>+Processes!O15</f>
        <v>INDWST</v>
      </c>
      <c r="F34" s="172" t="str">
        <f ca="1">+OFFSET(Processes!$M$12,$D$11,0) &amp; Processes!P15</f>
        <v>ITDPH</v>
      </c>
      <c r="G34" s="322">
        <f t="shared" si="18"/>
        <v>0</v>
      </c>
      <c r="H34" s="322">
        <f t="shared" si="19"/>
        <v>0</v>
      </c>
      <c r="I34" s="322">
        <f t="shared" si="20"/>
        <v>0</v>
      </c>
      <c r="J34" s="322">
        <f t="shared" si="21"/>
        <v>0.108</v>
      </c>
      <c r="K34" s="322">
        <f t="shared" si="22"/>
        <v>6.0000000000000001E-3</v>
      </c>
      <c r="L34" s="322">
        <f t="shared" si="23"/>
        <v>6.0000000000000001E-3</v>
      </c>
      <c r="M34" s="322">
        <f t="shared" si="24"/>
        <v>17.068000000000001</v>
      </c>
      <c r="N34" s="322">
        <f t="shared" si="25"/>
        <v>0.94899999999999995</v>
      </c>
      <c r="O34" s="322">
        <f t="shared" si="26"/>
        <v>0.94899999999999995</v>
      </c>
      <c r="P34" s="322">
        <f t="shared" si="1"/>
        <v>17.068000000000001</v>
      </c>
      <c r="Q34" s="322">
        <f t="shared" si="2"/>
        <v>0.94899999999999995</v>
      </c>
      <c r="R34" s="322">
        <f t="shared" si="3"/>
        <v>0.94899999999999995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1.9116589209941404E-3</v>
      </c>
      <c r="AI34" s="236">
        <f t="shared" si="10"/>
        <v>0.30212595420659155</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2E-3</v>
      </c>
      <c r="BA34" s="561">
        <f>AZ34*$AN$23</f>
        <v>1.8000000000000002E-3</v>
      </c>
      <c r="BB34" s="562">
        <f t="shared" si="51"/>
        <v>1E-4</v>
      </c>
      <c r="BC34" s="562">
        <f t="shared" si="52"/>
        <v>1E-4</v>
      </c>
      <c r="BD34" s="560">
        <f t="shared" si="33"/>
        <v>1.6860831683168317E-3</v>
      </c>
      <c r="BE34" s="561">
        <f t="shared" si="34"/>
        <v>9.3671287128712887E-5</v>
      </c>
      <c r="BF34" s="566">
        <f t="shared" si="35"/>
        <v>9.3671287128712887E-5</v>
      </c>
      <c r="BG34" s="560">
        <f t="shared" si="15"/>
        <v>1.8110452935733961E-3</v>
      </c>
      <c r="BH34" s="561">
        <f t="shared" si="16"/>
        <v>1.0061362742074425E-4</v>
      </c>
      <c r="BI34" s="566">
        <f t="shared" si="17"/>
        <v>1.0061362742074425E-4</v>
      </c>
      <c r="BJ34" s="285"/>
      <c r="BK34" s="290"/>
      <c r="BL34" s="559" t="s">
        <v>102</v>
      </c>
      <c r="BM34" s="560">
        <f>$L117/1000</f>
        <v>0.318</v>
      </c>
      <c r="BN34" s="561">
        <f>BM34*$AN$23</f>
        <v>0.28620000000000001</v>
      </c>
      <c r="BO34" s="562">
        <f t="shared" si="53"/>
        <v>1.5900000000000001E-2</v>
      </c>
      <c r="BP34" s="562">
        <f t="shared" si="54"/>
        <v>1.5900000000000001E-2</v>
      </c>
      <c r="BQ34" s="560">
        <f t="shared" si="38"/>
        <v>0.26646358811881188</v>
      </c>
      <c r="BR34" s="561">
        <f t="shared" si="39"/>
        <v>1.4815675247524753E-2</v>
      </c>
      <c r="BS34" s="566">
        <f t="shared" si="40"/>
        <v>1.4815675247524753E-2</v>
      </c>
      <c r="BT34" s="560">
        <f t="shared" si="41"/>
        <v>0.28621223213621039</v>
      </c>
      <c r="BU34" s="561">
        <f t="shared" si="42"/>
        <v>1.5913722070381046E-2</v>
      </c>
      <c r="BV34" s="566">
        <f t="shared" si="43"/>
        <v>1.5913722070381046E-2</v>
      </c>
      <c r="BW34" s="285"/>
      <c r="BX34" s="285"/>
      <c r="BY34" s="285"/>
    </row>
    <row r="35" spans="3:77" ht="12.75" customHeight="1">
      <c r="C35" s="173" t="str">
        <f ca="1">+IF(OFFSET(Processes!B16,$D$11,0)="*","*",OFFSET(Processes!D16,$D$11,0))</f>
        <v>INDTDPHBHETE1</v>
      </c>
      <c r="D35" s="146" t="str">
        <f ca="1">+OFFSET(Processes!E16,$D$11,0)</f>
        <v>Transport industry Heat Medium Temp. Boiler - Dist. Heat Existing 1</v>
      </c>
      <c r="E35" s="149" t="str">
        <f>+Processes!O16</f>
        <v>INDHCE</v>
      </c>
      <c r="F35" s="172" t="str">
        <f ca="1">+OFFSET(Processes!$M$12,$D$11,0) &amp; Processes!P16</f>
        <v>ITDPH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INDTDPHBHETE2</v>
      </c>
      <c r="D36" s="146" t="str">
        <f ca="1">+OFFSET(Processes!E17,$D$11,0)</f>
        <v>Transport industry Heat Medium Temp. Boiler - Dist. Heat Existing 2</v>
      </c>
      <c r="E36" s="149" t="str">
        <f>+Processes!O17</f>
        <v>INDHDE</v>
      </c>
      <c r="F36" s="172" t="str">
        <f ca="1">+OFFSET(Processes!$M$12,$D$11,0) &amp; Processes!P17</f>
        <v>ITDPH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INDTDPHBELCE1</v>
      </c>
      <c r="D37" s="148" t="str">
        <f ca="1">+OFFSET(Processes!E18,$D$11,0)</f>
        <v>Transport industry Heat Medium Temp. Boiler - Electricity Existing 1</v>
      </c>
      <c r="E37" s="174" t="str">
        <f>+Processes!O18</f>
        <v>INDELC</v>
      </c>
      <c r="F37" s="174" t="str">
        <f ca="1">+OFFSET(Processes!$M$12,$D$11,0) &amp; Processes!P18</f>
        <v>ITDPH</v>
      </c>
      <c r="G37" s="324">
        <f t="shared" si="18"/>
        <v>307.42699999999996</v>
      </c>
      <c r="H37" s="324">
        <f t="shared" si="19"/>
        <v>17.080000000000002</v>
      </c>
      <c r="I37" s="324">
        <f t="shared" si="20"/>
        <v>17.080000000000002</v>
      </c>
      <c r="J37" s="324">
        <f t="shared" si="21"/>
        <v>321.96299999999997</v>
      </c>
      <c r="K37" s="324">
        <f t="shared" si="22"/>
        <v>17.887</v>
      </c>
      <c r="L37" s="324">
        <f t="shared" si="23"/>
        <v>17.887</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5.4905635460136004</v>
      </c>
      <c r="AH37" s="236">
        <f t="shared" si="9"/>
        <v>5.6989235464899872</v>
      </c>
      <c r="AI37" s="236">
        <f t="shared" si="10"/>
        <v>0</v>
      </c>
      <c r="AJ37" s="285"/>
      <c r="AK37" s="352"/>
      <c r="AL37" s="567" t="s">
        <v>61</v>
      </c>
      <c r="AM37" s="568">
        <f>M77/1000</f>
        <v>5.7795119999999995</v>
      </c>
      <c r="AN37" s="561">
        <f t="shared" si="47"/>
        <v>5.2015607999999993</v>
      </c>
      <c r="AO37" s="562">
        <f t="shared" ref="AO37" si="58">AM37*$AO$23</f>
        <v>0.2889756</v>
      </c>
      <c r="AP37" s="562">
        <f t="shared" si="49"/>
        <v>0.2889756</v>
      </c>
      <c r="AQ37" s="582">
        <f t="shared" si="28"/>
        <v>4.8426662697302696</v>
      </c>
      <c r="AR37" s="562">
        <f t="shared" si="29"/>
        <v>0.26904839160839167</v>
      </c>
      <c r="AS37" s="563">
        <f t="shared" si="30"/>
        <v>0.26904839160839167</v>
      </c>
      <c r="AT37" s="568">
        <f t="shared" ref="AT37:AV41" si="59">IFERROR(AQ37/W37,0)</f>
        <v>5.2015749406340168</v>
      </c>
      <c r="AU37" s="569">
        <f t="shared" si="59"/>
        <v>0.28898860537958293</v>
      </c>
      <c r="AV37" s="570">
        <f t="shared" si="59"/>
        <v>0.28898860537958293</v>
      </c>
      <c r="AW37" s="285"/>
      <c r="AX37" s="352"/>
      <c r="AY37" s="567" t="s">
        <v>61</v>
      </c>
      <c r="AZ37" s="568">
        <f>M97/1000</f>
        <v>5.9988599999999996</v>
      </c>
      <c r="BA37" s="561">
        <f>AZ37*$AN$23</f>
        <v>5.3989739999999999</v>
      </c>
      <c r="BB37" s="562">
        <f t="shared" ref="BB37:BB62" si="60">AZ37*$BB$23</f>
        <v>0.29994300000000002</v>
      </c>
      <c r="BC37" s="562">
        <f t="shared" ref="BC37:BC62" si="61">AZ37*$BC$23</f>
        <v>0.29994300000000002</v>
      </c>
      <c r="BD37" s="568">
        <f t="shared" si="33"/>
        <v>5.0264481029702974</v>
      </c>
      <c r="BE37" s="569">
        <f t="shared" si="34"/>
        <v>0.27924971881188121</v>
      </c>
      <c r="BF37" s="570">
        <f>IFERROR(L37*$Z37*AA37/L$21,0)</f>
        <v>0.27924971881188121</v>
      </c>
      <c r="BG37" s="568">
        <f t="shared" ref="BG37:BG56" si="62">IFERROR(BD37/W37,0)</f>
        <v>5.3989775542108465</v>
      </c>
      <c r="BH37" s="569">
        <f t="shared" ref="BH37:BH56" si="63">IFERROR(BE37/X37,0)</f>
        <v>0.29994599227914204</v>
      </c>
      <c r="BI37" s="570">
        <f t="shared" ref="BI37:BI56" si="64">IFERROR(BF37/Y37,0)</f>
        <v>0.29994599227914204</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INDTDCOBNGAE1</v>
      </c>
      <c r="D38" s="173" t="str">
        <f ca="1">+OFFSET(Processes!E19,$D$11,0)</f>
        <v>Transport industry Heat High Temp. Boiler - Nat. Gas Existing 1</v>
      </c>
      <c r="E38" s="172" t="str">
        <f>+Processes!O19</f>
        <v>INDSNG1,INDSNG2,INDNGA</v>
      </c>
      <c r="F38" s="172" t="str">
        <f ca="1">+OFFSET(Processes!$M$12,$D$11,0) &amp; Processes!P19</f>
        <v>ITDCO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ITDCO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ITDCO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ITDCO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INDTDCOBCOAE1</v>
      </c>
      <c r="D39" s="173" t="str">
        <f ca="1">+OFFSET(Processes!E20,$D$11,0)</f>
        <v>Transport industry Heat High Temp. Boiler - Coal Existing 1</v>
      </c>
      <c r="E39" s="172" t="str">
        <f>+Processes!O20</f>
        <v>INDCOA</v>
      </c>
      <c r="F39" s="172" t="str">
        <f ca="1">+OFFSET(Processes!$M$12,$D$11,0) &amp; Processes!P20</f>
        <v>ITDCO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INDTDCOBDSLE1</v>
      </c>
      <c r="D40" s="173" t="str">
        <f ca="1">+OFFSET(Processes!E21,$D$11,0)</f>
        <v>Transport industry Heat High Temp. Boiler - Diesel Existing 1</v>
      </c>
      <c r="E40" s="172" t="str">
        <f>+Processes!O21</f>
        <v>INDDSB1,INDDSB2,INDDSL</v>
      </c>
      <c r="F40" s="172" t="str">
        <f ca="1">+OFFSET(Processes!$M$12,$D$11,0) &amp; Processes!P21</f>
        <v>ITDCO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INDTDCOBWPEE1</v>
      </c>
      <c r="D41" s="173" t="str">
        <f ca="1">+OFFSET(Processes!E22,$D$11,0)</f>
        <v>Transport industry Heat High Temp. Boiler - Wood Pellets Existing 1</v>
      </c>
      <c r="E41" s="172" t="str">
        <f>+Processes!O22</f>
        <v>INDWPE</v>
      </c>
      <c r="F41" s="172" t="str">
        <f ca="1">+OFFSET(Processes!$M$12,$D$11,0) &amp; Processes!P22</f>
        <v>ITDCO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INDTDCOBHFOE1</v>
      </c>
      <c r="D43" s="173" t="str">
        <f ca="1">+OFFSET(Processes!E24,$D$11,0)</f>
        <v>Transport industry Heat High Temp. Boiler - Heavy Fuel Oil Existing 1</v>
      </c>
      <c r="E43" s="172" t="str">
        <f>+Processes!O24</f>
        <v>INDHFO</v>
      </c>
      <c r="F43" s="172" t="str">
        <f ca="1">+OFFSET(Processes!$M$12,$D$11,0) &amp; Processes!P24</f>
        <v>ITDCO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INDTDCOBLPGE1</v>
      </c>
      <c r="D44" s="173" t="str">
        <f ca="1">+OFFSET(Processes!E25,$D$11,0)</f>
        <v>Transport industry Heat High Temp. Boiler - Liquified Petroleum Gas Existing 1</v>
      </c>
      <c r="E44" s="172" t="str">
        <f>+Processes!O25</f>
        <v>INDLPG</v>
      </c>
      <c r="F44" s="172" t="str">
        <f ca="1">+OFFSET(Processes!$M$12,$D$11,0) &amp; Processes!P25</f>
        <v>ITDCO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INDTDCOBWSTE1</v>
      </c>
      <c r="D45" s="173" t="str">
        <f ca="1">+OFFSET(Processes!E26,$D$11,0)</f>
        <v>Transport industry Heat High Temp. Boiler - Waste Existing 1</v>
      </c>
      <c r="E45" s="172" t="str">
        <f>+Processes!O26</f>
        <v>INDWST</v>
      </c>
      <c r="F45" s="172" t="str">
        <f ca="1">+OFFSET(Processes!$M$12,$D$11,0) &amp; Processes!P26</f>
        <v>ITDCO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INDTDCOBELCE1</v>
      </c>
      <c r="D46" s="148" t="str">
        <f ca="1">+OFFSET(Processes!E27,$D$11,0)</f>
        <v>Transport industry Heat High Temp. Boiler - Electricity Existing 1</v>
      </c>
      <c r="E46" s="174" t="str">
        <f>+Processes!O27</f>
        <v>INDELC</v>
      </c>
      <c r="F46" s="174" t="str">
        <f ca="1">+OFFSET(Processes!$M$12,$D$11,0) &amp; Processes!P27</f>
        <v>ITDCO</v>
      </c>
      <c r="G46" s="324">
        <f t="shared" si="18"/>
        <v>334.75299999999999</v>
      </c>
      <c r="H46" s="324">
        <f t="shared" si="19"/>
        <v>37.195</v>
      </c>
      <c r="I46" s="324">
        <f t="shared" si="20"/>
        <v>0</v>
      </c>
      <c r="J46" s="324">
        <f t="shared" si="21"/>
        <v>350.58199999999999</v>
      </c>
      <c r="K46" s="324">
        <f t="shared" si="22"/>
        <v>19.477</v>
      </c>
      <c r="L46" s="324">
        <f t="shared" si="23"/>
        <v>19.477</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6.4216850949747339</v>
      </c>
      <c r="AH46" s="236">
        <f t="shared" si="71"/>
        <v>6.3321391751178897</v>
      </c>
      <c r="AI46" s="236">
        <f t="shared" si="72"/>
        <v>0</v>
      </c>
      <c r="AJ46" s="285"/>
      <c r="AK46" s="355"/>
      <c r="AL46" s="567" t="s">
        <v>61</v>
      </c>
      <c r="AM46" s="568">
        <f>M78/1000</f>
        <v>6.4216800000000003</v>
      </c>
      <c r="AN46" s="576">
        <f t="shared" si="73"/>
        <v>5.7795120000000004</v>
      </c>
      <c r="AO46" s="576">
        <f>AM46*(1-$AN$23)</f>
        <v>0.64216799999999985</v>
      </c>
      <c r="AP46" s="576"/>
      <c r="AQ46" s="586">
        <f t="shared" si="28"/>
        <v>5.2731121918081927</v>
      </c>
      <c r="AR46" s="576">
        <f t="shared" si="29"/>
        <v>0.58590485514485524</v>
      </c>
      <c r="AS46" s="577">
        <f t="shared" si="30"/>
        <v>0</v>
      </c>
      <c r="AT46" s="568">
        <f t="shared" si="74"/>
        <v>5.7795131324757154</v>
      </c>
      <c r="AU46" s="569">
        <f t="shared" si="74"/>
        <v>0.64217196249901931</v>
      </c>
      <c r="AV46" s="570">
        <f t="shared" si="74"/>
        <v>0</v>
      </c>
      <c r="AW46" s="285"/>
      <c r="AX46" s="355"/>
      <c r="AY46" s="567" t="s">
        <v>61</v>
      </c>
      <c r="AZ46" s="568">
        <f>M98/1000</f>
        <v>6.6654000000000009</v>
      </c>
      <c r="BA46" s="576">
        <f t="shared" si="75"/>
        <v>5.9988600000000005</v>
      </c>
      <c r="BB46" s="576">
        <f t="shared" si="60"/>
        <v>0.33327000000000007</v>
      </c>
      <c r="BC46" s="576">
        <f t="shared" si="61"/>
        <v>0.33327000000000007</v>
      </c>
      <c r="BD46" s="568">
        <f t="shared" si="33"/>
        <v>5.4732445306930702</v>
      </c>
      <c r="BE46" s="569">
        <f t="shared" si="34"/>
        <v>0.30407260990099011</v>
      </c>
      <c r="BF46" s="570">
        <f t="shared" si="35"/>
        <v>0.30407260990099011</v>
      </c>
      <c r="BG46" s="568">
        <f t="shared" si="62"/>
        <v>5.9988650898672375</v>
      </c>
      <c r="BH46" s="569">
        <f t="shared" si="63"/>
        <v>0.33327408525065227</v>
      </c>
      <c r="BI46" s="570">
        <f t="shared" si="64"/>
        <v>0.33327408525065227</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INDTDSHBNGAE1</v>
      </c>
      <c r="D47" s="146" t="str">
        <f ca="1">+OFFSET(Processes!E28,$D$11,0)</f>
        <v>Transport industry Heat Room Boiler - Nat. Gas Existing 1</v>
      </c>
      <c r="E47" s="149" t="str">
        <f>+Processes!O28</f>
        <v>INDSNG1,INDSNG2,INDNGA</v>
      </c>
      <c r="F47" s="149" t="str">
        <f ca="1">+OFFSET(Processes!$M$12,$D$11,0) &amp; Processes!P28</f>
        <v>ITDSH</v>
      </c>
      <c r="G47" s="322">
        <f t="shared" si="18"/>
        <v>217.24200000000002</v>
      </c>
      <c r="H47" s="322">
        <f t="shared" si="19"/>
        <v>12.068999999999999</v>
      </c>
      <c r="I47" s="322">
        <f t="shared" si="20"/>
        <v>12.068999999999999</v>
      </c>
      <c r="J47" s="322">
        <f t="shared" si="21"/>
        <v>210.34700000000001</v>
      </c>
      <c r="K47" s="322">
        <f t="shared" si="22"/>
        <v>11.686</v>
      </c>
      <c r="L47" s="322">
        <f t="shared" si="23"/>
        <v>11.686</v>
      </c>
      <c r="M47" s="322">
        <f t="shared" si="24"/>
        <v>6.569</v>
      </c>
      <c r="N47" s="322">
        <f t="shared" si="25"/>
        <v>0.36499999999999999</v>
      </c>
      <c r="O47" s="322">
        <f t="shared" si="26"/>
        <v>0.36499999999999999</v>
      </c>
      <c r="P47" s="322">
        <f t="shared" si="1"/>
        <v>6.569</v>
      </c>
      <c r="Q47" s="322">
        <f t="shared" si="2"/>
        <v>0.36499999999999999</v>
      </c>
      <c r="R47" s="322">
        <f t="shared" si="3"/>
        <v>0.36499999999999999</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3.6121636843156852</v>
      </c>
      <c r="AH47" s="236">
        <f t="shared" si="71"/>
        <v>3.4663528158415846</v>
      </c>
      <c r="AI47" s="236">
        <f t="shared" si="72"/>
        <v>0.10825278415841584</v>
      </c>
      <c r="AJ47" s="285"/>
      <c r="AK47" s="530" t="str">
        <f ca="1">F47</f>
        <v>ITDSH</v>
      </c>
      <c r="AL47" s="571" t="s">
        <v>97</v>
      </c>
      <c r="AM47" s="572">
        <f>I82/1000</f>
        <v>3.8022741999999998</v>
      </c>
      <c r="AN47" s="574">
        <f t="shared" si="73"/>
        <v>3.4220467800000001</v>
      </c>
      <c r="AO47" s="562">
        <f>AM47*$AO$23</f>
        <v>0.19011370999999999</v>
      </c>
      <c r="AP47" s="562">
        <f>AM47*$AP$23</f>
        <v>0.19011370999999999</v>
      </c>
      <c r="AQ47" s="582">
        <f t="shared" si="28"/>
        <v>3.4220498061938072</v>
      </c>
      <c r="AR47" s="562">
        <f t="shared" si="29"/>
        <v>0.19011387812187816</v>
      </c>
      <c r="AS47" s="563">
        <f t="shared" si="30"/>
        <v>0.19011387812187816</v>
      </c>
      <c r="AT47" s="572">
        <f t="shared" si="74"/>
        <v>3.4220498061938072</v>
      </c>
      <c r="AU47" s="574">
        <f t="shared" si="74"/>
        <v>0.19011387812187816</v>
      </c>
      <c r="AV47" s="575">
        <f t="shared" si="74"/>
        <v>0.19011387812187816</v>
      </c>
      <c r="AW47" s="285"/>
      <c r="AX47" s="530" t="str">
        <f t="shared" ca="1" si="12"/>
        <v>ITDSH</v>
      </c>
      <c r="AY47" s="571" t="s">
        <v>97</v>
      </c>
      <c r="AZ47" s="572">
        <f>I102/1000</f>
        <v>3.6487800000000008</v>
      </c>
      <c r="BA47" s="574">
        <f t="shared" si="75"/>
        <v>3.2839020000000008</v>
      </c>
      <c r="BB47" s="562">
        <f t="shared" si="60"/>
        <v>0.18243900000000005</v>
      </c>
      <c r="BC47" s="562">
        <f t="shared" si="61"/>
        <v>0.18243900000000005</v>
      </c>
      <c r="BD47" s="572">
        <f t="shared" si="33"/>
        <v>3.2839123722772281</v>
      </c>
      <c r="BE47" s="574">
        <f t="shared" si="34"/>
        <v>0.18244044356435643</v>
      </c>
      <c r="BF47" s="575">
        <f t="shared" si="35"/>
        <v>0.18244044356435643</v>
      </c>
      <c r="BG47" s="572">
        <f t="shared" si="62"/>
        <v>3.2839123722772281</v>
      </c>
      <c r="BH47" s="574">
        <f t="shared" si="63"/>
        <v>0.18244044356435643</v>
      </c>
      <c r="BI47" s="575">
        <f t="shared" si="64"/>
        <v>0.18244044356435643</v>
      </c>
      <c r="BJ47" s="285"/>
      <c r="BK47" s="530" t="str">
        <f ca="1">AK47</f>
        <v>ITDSH</v>
      </c>
      <c r="BL47" s="571" t="s">
        <v>97</v>
      </c>
      <c r="BM47" s="572">
        <f>I122/1000</f>
        <v>0.11394000000000001</v>
      </c>
      <c r="BN47" s="574">
        <f t="shared" si="76"/>
        <v>0.10254600000000001</v>
      </c>
      <c r="BO47" s="562">
        <f t="shared" si="53"/>
        <v>5.6970000000000007E-3</v>
      </c>
      <c r="BP47" s="562">
        <f t="shared" si="54"/>
        <v>5.6970000000000007E-3</v>
      </c>
      <c r="BQ47" s="572">
        <f t="shared" si="38"/>
        <v>0.10255444752475248</v>
      </c>
      <c r="BR47" s="574">
        <f t="shared" si="39"/>
        <v>5.6983366336633666E-3</v>
      </c>
      <c r="BS47" s="575">
        <f t="shared" si="40"/>
        <v>5.6983366336633666E-3</v>
      </c>
      <c r="BT47" s="572">
        <f t="shared" si="65"/>
        <v>0.10255444752475248</v>
      </c>
      <c r="BU47" s="574">
        <f t="shared" si="66"/>
        <v>5.6983366336633666E-3</v>
      </c>
      <c r="BV47" s="575">
        <f t="shared" si="67"/>
        <v>5.6983366336633666E-3</v>
      </c>
      <c r="BW47" s="285"/>
      <c r="BX47" s="285"/>
      <c r="BY47" s="285"/>
    </row>
    <row r="48" spans="3:77" ht="12.75" customHeight="1">
      <c r="C48" s="173" t="str">
        <f ca="1">+IF(OFFSET(Processes!B29,$D$11,0)="*","*",OFFSET(Processes!D29,$D$11,0))</f>
        <v>INDTDSHBCOAE1</v>
      </c>
      <c r="D48" s="146" t="str">
        <f ca="1">+OFFSET(Processes!E29,$D$11,0)</f>
        <v>Transport industry Heat Room Boiler - Coal Existing 1</v>
      </c>
      <c r="E48" s="149" t="str">
        <f>+Processes!O29</f>
        <v>INDCOA</v>
      </c>
      <c r="F48" s="149" t="str">
        <f ca="1">+OFFSET(Processes!$M$12,$D$11,0) &amp; Processes!P29</f>
        <v>ITDSH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INDTDSHBDSLE1</v>
      </c>
      <c r="D49" s="146" t="str">
        <f ca="1">+OFFSET(Processes!E30,$D$11,0)</f>
        <v>Transport industry Heat Room Boiler - Diesel Existing 1</v>
      </c>
      <c r="E49" s="149" t="str">
        <f>+Processes!O30</f>
        <v>INDDSB1,INDDSB2,INDDSL</v>
      </c>
      <c r="F49" s="149" t="str">
        <f ca="1">+OFFSET(Processes!$M$12,$D$11,0) &amp; Processes!P30</f>
        <v>ITDSH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INDTDSHBWPEE1</v>
      </c>
      <c r="D50" s="146" t="str">
        <f ca="1">+OFFSET(Processes!E31,$D$11,0)</f>
        <v>Transport industry Heat Room Boiler - Wood Pellets Existing 1</v>
      </c>
      <c r="E50" s="149" t="str">
        <f>+Processes!O31</f>
        <v>INDWPE</v>
      </c>
      <c r="F50" s="149" t="str">
        <f ca="1">+OFFSET(Processes!$M$12,$D$11,0) &amp; Processes!P31</f>
        <v>ITDSH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INDTDSHBBGAE1</v>
      </c>
      <c r="D52" s="146" t="str">
        <f ca="1">+OFFSET(Processes!E33,$D$11,0)</f>
        <v>Transport industry Heat Room Boiler - Biogas Existing 1</v>
      </c>
      <c r="E52" s="149" t="str">
        <f>+Processes!O33</f>
        <v>INDBGA</v>
      </c>
      <c r="F52" s="149" t="str">
        <f ca="1">+OFFSET(Processes!$M$12,$D$11,0) &amp; Processes!P33</f>
        <v>ITDSH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INDTDSHBHFOE1</v>
      </c>
      <c r="D53" s="146" t="str">
        <f ca="1">+OFFSET(Processes!E34,$D$11,0)</f>
        <v>Transport industry Heat Room Boiler - Heavy Fuel Oil Existing 1</v>
      </c>
      <c r="E53" s="149" t="str">
        <f>+Processes!O34</f>
        <v>INDHFO</v>
      </c>
      <c r="F53" s="149" t="str">
        <f ca="1">+OFFSET(Processes!$M$12,$D$11,0) &amp; Processes!P34</f>
        <v>ITDSH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INDTDSHBLPGE1</v>
      </c>
      <c r="D54" s="146" t="str">
        <f ca="1">+OFFSET(Processes!E35,$D$11,0)</f>
        <v>Transport industry Heat Room Boiler - Liquified Petroleum Gas Existing 1</v>
      </c>
      <c r="E54" s="149" t="str">
        <f>+Processes!O35</f>
        <v>INDLPG</v>
      </c>
      <c r="F54" s="149" t="str">
        <f ca="1">+OFFSET(Processes!$M$12,$D$11,0) &amp; Processes!P35</f>
        <v>ITDSH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INDTDSHBWSTE1</v>
      </c>
      <c r="D55" s="146" t="str">
        <f ca="1">+OFFSET(Processes!E36,$D$11,0)</f>
        <v>Transport industry Heat Room Boiler - Waste Existing 1</v>
      </c>
      <c r="E55" s="149" t="str">
        <f>+Processes!O36</f>
        <v>INDWST</v>
      </c>
      <c r="F55" s="149" t="str">
        <f ca="1">+OFFSET(Processes!$M$12,$D$11,0) &amp; Processes!P36</f>
        <v>ITDSH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5.75" customHeight="1">
      <c r="C56" s="173" t="str">
        <f ca="1">+IF(OFFSET(Processes!B37,$D$11,0)="*","*",OFFSET(Processes!D37,$D$11,0))</f>
        <v>INDTDSHBHETE1</v>
      </c>
      <c r="D56" s="146" t="str">
        <f ca="1">+OFFSET(Processes!E37,$D$11,0)</f>
        <v>Transport industry Heat Room Boiler - Dist. Heat Existing 1</v>
      </c>
      <c r="E56" s="149" t="str">
        <f>+Processes!O37</f>
        <v>INDHCE</v>
      </c>
      <c r="F56" s="149" t="str">
        <f ca="1">+OFFSET(Processes!$M$12,$D$11,0) &amp; Processes!P37</f>
        <v>ITDSH</v>
      </c>
      <c r="G56" s="321">
        <f t="shared" si="18"/>
        <v>17.09</v>
      </c>
      <c r="H56" s="321">
        <f t="shared" si="19"/>
        <v>0</v>
      </c>
      <c r="I56" s="321">
        <f t="shared" si="20"/>
        <v>0</v>
      </c>
      <c r="J56" s="321">
        <f t="shared" si="21"/>
        <v>14.542</v>
      </c>
      <c r="K56" s="321">
        <f t="shared" si="22"/>
        <v>0</v>
      </c>
      <c r="L56" s="321">
        <f t="shared" si="23"/>
        <v>0</v>
      </c>
      <c r="M56" s="321">
        <f t="shared" si="24"/>
        <v>66.129000000000005</v>
      </c>
      <c r="N56" s="321">
        <f t="shared" si="25"/>
        <v>0</v>
      </c>
      <c r="O56" s="321">
        <f t="shared" si="26"/>
        <v>0</v>
      </c>
      <c r="P56" s="321">
        <f t="shared" si="1"/>
        <v>66.129000000000005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0.28042282717282724</v>
      </c>
      <c r="AH56" s="236">
        <f t="shared" si="83"/>
        <v>0.23648747524752478</v>
      </c>
      <c r="AI56" s="236">
        <f t="shared" si="84"/>
        <v>1.075414678217822</v>
      </c>
      <c r="AJ56" s="285"/>
      <c r="AK56" s="356"/>
      <c r="AL56" s="559" t="s">
        <v>103</v>
      </c>
      <c r="AM56" s="560">
        <f>N82/1000</f>
        <v>0.28040959222286788</v>
      </c>
      <c r="AN56" s="613">
        <f>AM56</f>
        <v>0.28040959222286788</v>
      </c>
      <c r="AO56" s="614">
        <v>0</v>
      </c>
      <c r="AP56" s="614">
        <v>0</v>
      </c>
      <c r="AQ56" s="582">
        <f t="shared" si="28"/>
        <v>0.26920591408591416</v>
      </c>
      <c r="AR56" s="562">
        <f t="shared" si="29"/>
        <v>0</v>
      </c>
      <c r="AS56" s="563">
        <f t="shared" si="30"/>
        <v>0</v>
      </c>
      <c r="AT56" s="560">
        <f t="shared" si="85"/>
        <v>0.28042282717282724</v>
      </c>
      <c r="AU56" s="561">
        <f t="shared" si="85"/>
        <v>0</v>
      </c>
      <c r="AV56" s="566">
        <f t="shared" si="85"/>
        <v>0</v>
      </c>
      <c r="AW56" s="285"/>
      <c r="AX56" s="356"/>
      <c r="AY56" s="559" t="s">
        <v>103</v>
      </c>
      <c r="AZ56" s="560">
        <f>N102/1000</f>
        <v>0.23647517848248381</v>
      </c>
      <c r="BA56" s="613">
        <f>AZ56</f>
        <v>0.23647517848248381</v>
      </c>
      <c r="BB56" s="614">
        <v>0</v>
      </c>
      <c r="BC56" s="614">
        <v>0</v>
      </c>
      <c r="BD56" s="560">
        <f t="shared" si="33"/>
        <v>0.22702797623762377</v>
      </c>
      <c r="BE56" s="561">
        <f t="shared" si="34"/>
        <v>0</v>
      </c>
      <c r="BF56" s="566">
        <f t="shared" si="35"/>
        <v>0</v>
      </c>
      <c r="BG56" s="560">
        <f t="shared" si="62"/>
        <v>0.23648747524752478</v>
      </c>
      <c r="BH56" s="561">
        <f t="shared" si="63"/>
        <v>0</v>
      </c>
      <c r="BI56" s="566">
        <f t="shared" si="64"/>
        <v>0</v>
      </c>
      <c r="BJ56" s="285"/>
      <c r="BK56" s="356"/>
      <c r="BL56" s="559" t="s">
        <v>103</v>
      </c>
      <c r="BM56" s="560">
        <f>N122/1000</f>
        <v>1.0754131018595385</v>
      </c>
      <c r="BN56" s="613">
        <f>BM56</f>
        <v>1.0754131018595385</v>
      </c>
      <c r="BO56" s="614">
        <v>0</v>
      </c>
      <c r="BP56" s="614">
        <v>0</v>
      </c>
      <c r="BQ56" s="560">
        <f t="shared" si="38"/>
        <v>1.0323980910891091</v>
      </c>
      <c r="BR56" s="561">
        <f t="shared" si="39"/>
        <v>0</v>
      </c>
      <c r="BS56" s="566">
        <f t="shared" si="40"/>
        <v>0</v>
      </c>
      <c r="BT56" s="560">
        <f t="shared" si="65"/>
        <v>1.075414678217822</v>
      </c>
      <c r="BU56" s="561">
        <f t="shared" si="66"/>
        <v>0</v>
      </c>
      <c r="BV56" s="566">
        <f t="shared" si="67"/>
        <v>0</v>
      </c>
      <c r="BW56" s="285"/>
      <c r="BX56" s="285"/>
      <c r="BY56" s="285"/>
    </row>
    <row r="57" spans="3:77" ht="12.75" customHeight="1">
      <c r="C57" s="173" t="str">
        <f ca="1">+IF(OFFSET(Processes!B38,$D$11,0)="*","*",OFFSET(Processes!D38,$D$11,0))</f>
        <v>INDTDSHBHETE2</v>
      </c>
      <c r="D57" s="146" t="str">
        <f ca="1">+OFFSET(Processes!E38,$D$11,0)</f>
        <v>Transport industry Heat Room Boiler - Dist. Heat Existing 2</v>
      </c>
      <c r="E57" s="149" t="str">
        <f>+Processes!O38</f>
        <v>INDHDE</v>
      </c>
      <c r="F57" s="149" t="str">
        <f ca="1">+OFFSET(Processes!$M$12,$D$11,0) &amp; Processes!P38</f>
        <v>ITDSH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INDTDSHBELCE1</v>
      </c>
      <c r="D58" s="148" t="str">
        <f ca="1">+OFFSET(Processes!E39,$D$11,0)</f>
        <v>Transport industry Heat Room Boiler - Electricity Existing 1</v>
      </c>
      <c r="E58" s="172" t="str">
        <f>+Processes!O39</f>
        <v>INDELC</v>
      </c>
      <c r="F58" s="174" t="str">
        <f ca="1">+OFFSET(Processes!$M$12,$D$11,0) &amp; Processes!P39</f>
        <v>ITDSH</v>
      </c>
      <c r="G58" s="324">
        <f t="shared" si="18"/>
        <v>34.855999999999995</v>
      </c>
      <c r="H58" s="324">
        <f t="shared" si="19"/>
        <v>1.9369999999999998</v>
      </c>
      <c r="I58" s="324">
        <f t="shared" si="20"/>
        <v>1.9369999999999998</v>
      </c>
      <c r="J58" s="324">
        <f t="shared" si="21"/>
        <v>36.503999999999998</v>
      </c>
      <c r="K58" s="324">
        <f t="shared" si="22"/>
        <v>2.028</v>
      </c>
      <c r="L58" s="324">
        <f t="shared" si="23"/>
        <v>2.028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0.61007626478784371</v>
      </c>
      <c r="AH58" s="236">
        <f t="shared" si="83"/>
        <v>0.633217900990099</v>
      </c>
      <c r="AI58" s="236">
        <f t="shared" si="84"/>
        <v>0</v>
      </c>
      <c r="AJ58" s="285"/>
      <c r="AK58" s="355"/>
      <c r="AL58" s="567" t="s">
        <v>61</v>
      </c>
      <c r="AM58" s="560">
        <f>M82/1000</f>
        <v>0.64216799999999996</v>
      </c>
      <c r="AN58" s="561">
        <f t="shared" si="77"/>
        <v>0.5779512</v>
      </c>
      <c r="AO58" s="562">
        <f t="shared" si="78"/>
        <v>3.2108400000000002E-2</v>
      </c>
      <c r="AP58" s="562">
        <f t="shared" si="79"/>
        <v>3.2108400000000002E-2</v>
      </c>
      <c r="AQ58" s="582">
        <f t="shared" si="28"/>
        <v>0.54906034765234757</v>
      </c>
      <c r="AR58" s="562">
        <f t="shared" si="29"/>
        <v>3.0512103896103898E-2</v>
      </c>
      <c r="AS58" s="563">
        <f t="shared" si="30"/>
        <v>3.0512103896103898E-2</v>
      </c>
      <c r="AT58" s="560">
        <f t="shared" ref="AT58:AV62" si="87">IFERROR(AQ58/W58,0)</f>
        <v>0.57795826068668166</v>
      </c>
      <c r="AU58" s="561">
        <f t="shared" si="87"/>
        <v>3.2118004101162001E-2</v>
      </c>
      <c r="AV58" s="566">
        <f t="shared" si="87"/>
        <v>3.2118004101162001E-2</v>
      </c>
      <c r="AW58" s="285"/>
      <c r="AX58" s="355"/>
      <c r="AY58" s="567" t="s">
        <v>61</v>
      </c>
      <c r="AZ58" s="560">
        <f>M102/1000</f>
        <v>0.66653999999999991</v>
      </c>
      <c r="BA58" s="561">
        <f>AZ58*$AN$23</f>
        <v>0.59988599999999992</v>
      </c>
      <c r="BB58" s="562">
        <f t="shared" si="60"/>
        <v>3.3326999999999996E-2</v>
      </c>
      <c r="BC58" s="562">
        <f t="shared" si="61"/>
        <v>3.3326999999999996E-2</v>
      </c>
      <c r="BD58" s="560">
        <f t="shared" si="33"/>
        <v>0.56989611089108916</v>
      </c>
      <c r="BE58" s="561">
        <f t="shared" si="34"/>
        <v>3.1660895049504957E-2</v>
      </c>
      <c r="BF58" s="566">
        <f t="shared" si="35"/>
        <v>3.1660895049504957E-2</v>
      </c>
      <c r="BG58" s="560">
        <f t="shared" ref="BG58:BI62" si="88">IFERROR(BD58/W58,0)</f>
        <v>0.59989064304325179</v>
      </c>
      <c r="BH58" s="561">
        <f t="shared" si="88"/>
        <v>3.3327257946847322E-2</v>
      </c>
      <c r="BI58" s="566">
        <f t="shared" si="88"/>
        <v>3.3327257946847322E-2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INDTDLAAELCE1</v>
      </c>
      <c r="D59" s="146" t="str">
        <f ca="1">+OFFSET(Processes!E40,$D$11,0)</f>
        <v>Transport industry Electricity Light Appliance - Electricity Existing 1</v>
      </c>
      <c r="E59" s="176" t="str">
        <f>+Processes!O40</f>
        <v>INDELC</v>
      </c>
      <c r="F59" s="149" t="str">
        <f ca="1">+OFFSET(Processes!$M$12,$D$11,0) &amp; Processes!P40</f>
        <v>ITDLA</v>
      </c>
      <c r="G59" s="323">
        <f t="shared" si="18"/>
        <v>366.90099999999995</v>
      </c>
      <c r="H59" s="323">
        <f t="shared" si="19"/>
        <v>20.384</v>
      </c>
      <c r="I59" s="323">
        <f t="shared" si="20"/>
        <v>20.384</v>
      </c>
      <c r="J59" s="323">
        <f t="shared" si="21"/>
        <v>384.25</v>
      </c>
      <c r="K59" s="323">
        <f t="shared" si="22"/>
        <v>21.348000000000003</v>
      </c>
      <c r="L59" s="323">
        <f t="shared" si="23"/>
        <v>21.348000000000003</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6.1006092707292705</v>
      </c>
      <c r="AH59" s="236">
        <f t="shared" si="83"/>
        <v>6.3321477861386137</v>
      </c>
      <c r="AI59" s="236">
        <f t="shared" si="84"/>
        <v>0</v>
      </c>
      <c r="AJ59" s="285"/>
      <c r="AK59" s="531" t="str">
        <f ca="1">F59</f>
        <v>ITDLA</v>
      </c>
      <c r="AL59" s="578" t="s">
        <v>61</v>
      </c>
      <c r="AM59" s="579">
        <f>M80/1000</f>
        <v>6.4216800000000003</v>
      </c>
      <c r="AN59" s="580">
        <f t="shared" si="77"/>
        <v>5.7795120000000004</v>
      </c>
      <c r="AO59" s="583">
        <f t="shared" si="78"/>
        <v>0.32108400000000004</v>
      </c>
      <c r="AP59" s="583">
        <f t="shared" si="79"/>
        <v>0.32108400000000004</v>
      </c>
      <c r="AQ59" s="584">
        <f t="shared" si="28"/>
        <v>5.7795154525474528</v>
      </c>
      <c r="AR59" s="583">
        <f t="shared" si="29"/>
        <v>0.3210938181818182</v>
      </c>
      <c r="AS59" s="585">
        <f t="shared" si="30"/>
        <v>0.3210938181818182</v>
      </c>
      <c r="AT59" s="579">
        <f t="shared" si="87"/>
        <v>5.7795154525474528</v>
      </c>
      <c r="AU59" s="580">
        <f t="shared" si="87"/>
        <v>0.3210938181818182</v>
      </c>
      <c r="AV59" s="581">
        <f t="shared" si="87"/>
        <v>0.3210938181818182</v>
      </c>
      <c r="AW59" s="285"/>
      <c r="AX59" s="531" t="str">
        <f t="shared" ca="1" si="12"/>
        <v>ITDLA</v>
      </c>
      <c r="AY59" s="578" t="s">
        <v>61</v>
      </c>
      <c r="AZ59" s="579">
        <f>M100/1000</f>
        <v>6.6654000000000009</v>
      </c>
      <c r="BA59" s="580">
        <f>AZ59*$AN$23</f>
        <v>5.9988600000000005</v>
      </c>
      <c r="BB59" s="583">
        <f t="shared" si="60"/>
        <v>0.33327000000000007</v>
      </c>
      <c r="BC59" s="583">
        <f t="shared" si="61"/>
        <v>0.33327000000000007</v>
      </c>
      <c r="BD59" s="579">
        <f t="shared" si="33"/>
        <v>5.9988653465346538</v>
      </c>
      <c r="BE59" s="580">
        <f t="shared" si="34"/>
        <v>0.33328243960396048</v>
      </c>
      <c r="BF59" s="581">
        <f t="shared" si="35"/>
        <v>0.33328243960396048</v>
      </c>
      <c r="BG59" s="579">
        <f t="shared" si="88"/>
        <v>5.9988653465346538</v>
      </c>
      <c r="BH59" s="580">
        <f t="shared" si="88"/>
        <v>0.33328243960396048</v>
      </c>
      <c r="BI59" s="581">
        <f t="shared" si="88"/>
        <v>0.33328243960396048</v>
      </c>
      <c r="BJ59" s="285"/>
      <c r="BK59" s="531" t="str">
        <f ca="1">AK59</f>
        <v>ITDLA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INDTDEMMELCE1</v>
      </c>
      <c r="D60" s="148" t="str">
        <f ca="1">+OFFSET(Processes!E41,$D$11,0)</f>
        <v>Transport industry Electricity Motors - Electricity Existing 1</v>
      </c>
      <c r="E60" s="174" t="str">
        <f>+Processes!O41</f>
        <v>INDELC</v>
      </c>
      <c r="F60" s="174" t="str">
        <f ca="1">+OFFSET(Processes!$M$12,$D$11,0) &amp; Processes!P41</f>
        <v>ITDEM</v>
      </c>
      <c r="G60" s="324">
        <f t="shared" si="18"/>
        <v>1797.8140000000001</v>
      </c>
      <c r="H60" s="324">
        <f t="shared" si="19"/>
        <v>99.879000000000005</v>
      </c>
      <c r="I60" s="324">
        <f t="shared" si="20"/>
        <v>99.879000000000005</v>
      </c>
      <c r="J60" s="324">
        <f t="shared" si="21"/>
        <v>1882.8240000000001</v>
      </c>
      <c r="K60" s="324">
        <f t="shared" si="22"/>
        <v>104.602</v>
      </c>
      <c r="L60" s="324">
        <f t="shared" si="23"/>
        <v>104.602</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29.8929302937063</v>
      </c>
      <c r="AH60" s="236">
        <f t="shared" si="83"/>
        <v>31.02745858217822</v>
      </c>
      <c r="AI60" s="236">
        <f t="shared" si="84"/>
        <v>0</v>
      </c>
      <c r="AJ60" s="285"/>
      <c r="AK60" s="536" t="str">
        <f ca="1">F60</f>
        <v>ITDEM</v>
      </c>
      <c r="AL60" s="578" t="s">
        <v>61</v>
      </c>
      <c r="AM60" s="579">
        <f>M81/1000</f>
        <v>31.466232000000002</v>
      </c>
      <c r="AN60" s="580">
        <f t="shared" si="77"/>
        <v>28.319608800000001</v>
      </c>
      <c r="AO60" s="583">
        <f t="shared" si="78"/>
        <v>1.5733116000000003</v>
      </c>
      <c r="AP60" s="583">
        <f t="shared" si="79"/>
        <v>1.5733116000000003</v>
      </c>
      <c r="AQ60" s="584">
        <f t="shared" si="28"/>
        <v>28.319611540459544</v>
      </c>
      <c r="AR60" s="583">
        <f t="shared" si="29"/>
        <v>1.5733187532467536</v>
      </c>
      <c r="AS60" s="585">
        <f t="shared" si="30"/>
        <v>1.5733187532467536</v>
      </c>
      <c r="AT60" s="579">
        <f t="shared" si="87"/>
        <v>28.319611540459544</v>
      </c>
      <c r="AU60" s="580">
        <f t="shared" si="87"/>
        <v>1.5733187532467536</v>
      </c>
      <c r="AV60" s="581">
        <f t="shared" si="87"/>
        <v>1.5733187532467536</v>
      </c>
      <c r="AW60" s="285"/>
      <c r="AX60" s="536" t="str">
        <f t="shared" ca="1" si="12"/>
        <v>ITDEM</v>
      </c>
      <c r="AY60" s="578" t="s">
        <v>61</v>
      </c>
      <c r="AZ60" s="579">
        <f>M101/1000</f>
        <v>32.66046</v>
      </c>
      <c r="BA60" s="580">
        <f>AZ60*$AN$23</f>
        <v>29.394414000000001</v>
      </c>
      <c r="BB60" s="583">
        <f t="shared" si="60"/>
        <v>1.6330230000000001</v>
      </c>
      <c r="BC60" s="583">
        <f t="shared" si="61"/>
        <v>1.6330230000000001</v>
      </c>
      <c r="BD60" s="579">
        <f t="shared" si="33"/>
        <v>29.394424586138616</v>
      </c>
      <c r="BE60" s="580">
        <f t="shared" si="34"/>
        <v>1.6330339960396041</v>
      </c>
      <c r="BF60" s="581">
        <f t="shared" si="35"/>
        <v>1.6330339960396041</v>
      </c>
      <c r="BG60" s="579">
        <f t="shared" si="88"/>
        <v>29.394424586138616</v>
      </c>
      <c r="BH60" s="580">
        <f t="shared" si="88"/>
        <v>1.6330339960396041</v>
      </c>
      <c r="BI60" s="581">
        <f t="shared" si="88"/>
        <v>1.6330339960396041</v>
      </c>
      <c r="BJ60" s="285"/>
      <c r="BK60" s="536" t="str">
        <f ca="1">AK60</f>
        <v>ITDEM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INDTDTFTDSLE1</v>
      </c>
      <c r="D61" s="173" t="str">
        <f ca="1">+OFFSET(Processes!E42,$D$11,0)</f>
        <v>Transport industry Tractors, Trucks, Fishing boats, Forest machines - Diesel Existing 1</v>
      </c>
      <c r="E61" s="172" t="str">
        <f>+Processes!O42</f>
        <v>INDDSB1,INDDSB2,INDDSL</v>
      </c>
      <c r="F61" s="173" t="str">
        <f ca="1">+OFFSET(Processes!$M$12,$D$11,0) &amp; Processes!P42</f>
        <v>ITDTF</v>
      </c>
      <c r="G61" s="323">
        <f t="shared" si="18"/>
        <v>215.67000000000002</v>
      </c>
      <c r="H61" s="323">
        <f t="shared" si="19"/>
        <v>11.981999999999999</v>
      </c>
      <c r="I61" s="323">
        <f t="shared" si="20"/>
        <v>11.981999999999999</v>
      </c>
      <c r="J61" s="323">
        <f t="shared" si="21"/>
        <v>93.791000000000011</v>
      </c>
      <c r="K61" s="323">
        <f t="shared" si="22"/>
        <v>5.2110000000000003</v>
      </c>
      <c r="L61" s="323">
        <f t="shared" si="23"/>
        <v>5.2110000000000003</v>
      </c>
      <c r="M61" s="323">
        <f t="shared" si="24"/>
        <v>79.19</v>
      </c>
      <c r="N61" s="323">
        <f t="shared" si="25"/>
        <v>4.4000000000000004</v>
      </c>
      <c r="O61" s="323">
        <f t="shared" si="26"/>
        <v>4.4000000000000004</v>
      </c>
      <c r="P61" s="323">
        <f t="shared" si="1"/>
        <v>79.19</v>
      </c>
      <c r="Q61" s="323">
        <f t="shared" si="2"/>
        <v>4.4000000000000004</v>
      </c>
      <c r="R61" s="323">
        <f t="shared" si="3"/>
        <v>4.4000000000000004</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3.5860307052947067</v>
      </c>
      <c r="AH61" s="236">
        <f t="shared" si="83"/>
        <v>1.5456074613861388</v>
      </c>
      <c r="AI61" s="236">
        <f t="shared" si="84"/>
        <v>1.3049971485148515</v>
      </c>
      <c r="AJ61" s="285"/>
      <c r="AK61" s="536" t="str">
        <f ca="1">F61</f>
        <v>ITDTF</v>
      </c>
      <c r="AL61" s="578" t="s">
        <v>59</v>
      </c>
      <c r="AM61" s="579">
        <f>F79/1000</f>
        <v>3.7747600000000001</v>
      </c>
      <c r="AN61" s="580">
        <f t="shared" si="77"/>
        <v>3.397284</v>
      </c>
      <c r="AO61" s="583">
        <f t="shared" si="78"/>
        <v>0.18873800000000002</v>
      </c>
      <c r="AP61" s="583">
        <f t="shared" si="79"/>
        <v>0.18873800000000002</v>
      </c>
      <c r="AQ61" s="584">
        <f t="shared" si="28"/>
        <v>3.3972872727272736</v>
      </c>
      <c r="AR61" s="583">
        <f t="shared" si="29"/>
        <v>0.18874343256743259</v>
      </c>
      <c r="AS61" s="585">
        <f t="shared" si="30"/>
        <v>0.18874343256743259</v>
      </c>
      <c r="AT61" s="579">
        <f t="shared" si="87"/>
        <v>3.3972872727272736</v>
      </c>
      <c r="AU61" s="580">
        <f t="shared" si="87"/>
        <v>0.18874343256743259</v>
      </c>
      <c r="AV61" s="581">
        <f t="shared" si="87"/>
        <v>0.18874343256743259</v>
      </c>
      <c r="AW61" s="285"/>
      <c r="AX61" s="536" t="str">
        <f t="shared" ca="1" si="12"/>
        <v>ITDTF</v>
      </c>
      <c r="AY61" s="578" t="s">
        <v>59</v>
      </c>
      <c r="AZ61" s="579">
        <f>F99/1000</f>
        <v>1.626932</v>
      </c>
      <c r="BA61" s="580">
        <f>AZ61*$AN$23</f>
        <v>1.4642388000000002</v>
      </c>
      <c r="BB61" s="583">
        <f t="shared" si="60"/>
        <v>8.1346600000000005E-2</v>
      </c>
      <c r="BC61" s="583">
        <f t="shared" si="61"/>
        <v>8.1346600000000005E-2</v>
      </c>
      <c r="BD61" s="579">
        <f t="shared" si="33"/>
        <v>1.4642539485148516</v>
      </c>
      <c r="BE61" s="580">
        <f t="shared" si="34"/>
        <v>8.1353512871287129E-2</v>
      </c>
      <c r="BF61" s="581">
        <f t="shared" si="35"/>
        <v>8.1353512871287129E-2</v>
      </c>
      <c r="BG61" s="579">
        <f t="shared" si="88"/>
        <v>1.4642539485148516</v>
      </c>
      <c r="BH61" s="580">
        <f t="shared" si="88"/>
        <v>8.1353512871287129E-2</v>
      </c>
      <c r="BI61" s="581">
        <f t="shared" si="88"/>
        <v>8.1353512871287129E-2</v>
      </c>
      <c r="BJ61" s="285"/>
      <c r="BK61" s="536" t="str">
        <f ca="1">AK61</f>
        <v>ITDTF</v>
      </c>
      <c r="BL61" s="578" t="s">
        <v>59</v>
      </c>
      <c r="BM61" s="579">
        <f>F119/1000</f>
        <v>1.373664</v>
      </c>
      <c r="BN61" s="580">
        <f>BM61*$AN$23</f>
        <v>1.2362976000000001</v>
      </c>
      <c r="BO61" s="583">
        <f t="shared" si="53"/>
        <v>6.86832E-2</v>
      </c>
      <c r="BP61" s="583">
        <f t="shared" si="54"/>
        <v>6.86832E-2</v>
      </c>
      <c r="BQ61" s="579">
        <f t="shared" si="38"/>
        <v>1.2363048712871287</v>
      </c>
      <c r="BR61" s="580">
        <f t="shared" si="39"/>
        <v>6.8692277227722781E-2</v>
      </c>
      <c r="BS61" s="581">
        <f t="shared" si="40"/>
        <v>6.8692277227722781E-2</v>
      </c>
      <c r="BT61" s="579">
        <f t="shared" si="89"/>
        <v>1.2363048712871287</v>
      </c>
      <c r="BU61" s="580">
        <f t="shared" si="89"/>
        <v>6.8692277227722781E-2</v>
      </c>
      <c r="BV61" s="581">
        <f t="shared" si="89"/>
        <v>6.8692277227722781E-2</v>
      </c>
      <c r="BW61" s="285"/>
      <c r="BX61" s="285"/>
      <c r="BY61" s="285"/>
    </row>
    <row r="62" spans="3:77" ht="12.75" customHeight="1">
      <c r="C62" s="173" t="str">
        <f ca="1">+IF(OFFSET(Processes!B43,$D$11,0)="*","*",OFFSET(Processes!D43,$D$11,0))</f>
        <v>INDTDFLTLPGE1</v>
      </c>
      <c r="D62" s="173" t="str">
        <f ca="1">+OFFSET(Processes!E43,$D$11,0)</f>
        <v>Transport industry Forklifts - LPG Existing 1</v>
      </c>
      <c r="E62" s="172" t="str">
        <f>+Processes!O43</f>
        <v>INDLPG,INDSNG1,INDSNG2</v>
      </c>
      <c r="F62" s="173" t="str">
        <f ca="1">+OFFSET(Processes!$M$12,$D$11,0) &amp; Processes!P43</f>
        <v>ITDFL</v>
      </c>
      <c r="G62" s="323">
        <f t="shared" si="18"/>
        <v>9.8629999999999995</v>
      </c>
      <c r="H62" s="323">
        <f t="shared" si="19"/>
        <v>0.54800000000000004</v>
      </c>
      <c r="I62" s="323">
        <f>ROUNDUP(AP62/($Z62*$AA62)*I$21*Y62,3)</f>
        <v>0.54800000000000004</v>
      </c>
      <c r="J62" s="323">
        <f t="shared" si="21"/>
        <v>5.8850000000000007</v>
      </c>
      <c r="K62" s="323">
        <f t="shared" si="22"/>
        <v>0.32700000000000001</v>
      </c>
      <c r="L62" s="323">
        <f t="shared" si="23"/>
        <v>0.32700000000000001</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0.16399665134865135</v>
      </c>
      <c r="AH62" s="236">
        <f t="shared" si="83"/>
        <v>9.6981005940594084E-2</v>
      </c>
      <c r="AI62" s="236" t="e">
        <f t="shared" si="84"/>
        <v>#REF!</v>
      </c>
      <c r="AJ62" s="285"/>
      <c r="AK62" s="536" t="str">
        <f ca="1">F62</f>
        <v>ITDFL</v>
      </c>
      <c r="AL62" s="532" t="s">
        <v>53</v>
      </c>
      <c r="AM62" s="533">
        <f>H79/1000</f>
        <v>0.17261625</v>
      </c>
      <c r="AN62" s="534">
        <f t="shared" si="77"/>
        <v>0.155354625</v>
      </c>
      <c r="AO62" s="535">
        <f t="shared" si="78"/>
        <v>8.6308124999999996E-3</v>
      </c>
      <c r="AP62" s="535">
        <f t="shared" si="79"/>
        <v>8.6308124999999996E-3</v>
      </c>
      <c r="AQ62" s="545">
        <f t="shared" si="28"/>
        <v>0.1553644195804196</v>
      </c>
      <c r="AR62" s="535">
        <f t="shared" si="29"/>
        <v>8.6322317682317705E-3</v>
      </c>
      <c r="AS62" s="541">
        <f t="shared" si="30"/>
        <v>8.6322317682317705E-3</v>
      </c>
      <c r="AT62" s="546">
        <f t="shared" si="87"/>
        <v>0.1553644195804196</v>
      </c>
      <c r="AU62" s="537">
        <f t="shared" si="87"/>
        <v>8.6322317682317705E-3</v>
      </c>
      <c r="AV62" s="538">
        <f t="shared" si="87"/>
        <v>8.6322317682317705E-3</v>
      </c>
      <c r="AW62" s="285"/>
      <c r="AX62" s="536" t="str">
        <f t="shared" ca="1" si="12"/>
        <v>ITDFL</v>
      </c>
      <c r="AY62" s="532" t="s">
        <v>53</v>
      </c>
      <c r="AZ62" s="533">
        <f>H99/1000</f>
        <v>0.10207350000000001</v>
      </c>
      <c r="BA62" s="534">
        <f>AZ62*$AN$23</f>
        <v>9.1866150000000008E-2</v>
      </c>
      <c r="BB62" s="535">
        <f t="shared" si="60"/>
        <v>5.1036750000000011E-3</v>
      </c>
      <c r="BC62" s="535">
        <f t="shared" si="61"/>
        <v>5.1036750000000011E-3</v>
      </c>
      <c r="BD62" s="546">
        <f t="shared" si="33"/>
        <v>9.1875920792079221E-2</v>
      </c>
      <c r="BE62" s="537">
        <f t="shared" si="34"/>
        <v>5.105085148514852E-3</v>
      </c>
      <c r="BF62" s="538">
        <f t="shared" si="35"/>
        <v>5.105085148514852E-3</v>
      </c>
      <c r="BG62" s="546">
        <f t="shared" si="88"/>
        <v>9.1875920792079221E-2</v>
      </c>
      <c r="BH62" s="537">
        <f t="shared" si="88"/>
        <v>5.105085148514852E-3</v>
      </c>
      <c r="BI62" s="538">
        <f t="shared" si="88"/>
        <v>5.105085148514852E-3</v>
      </c>
      <c r="BJ62" s="285"/>
      <c r="BK62" s="536" t="str">
        <f ca="1">AK62</f>
        <v>ITDFL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11"/>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687.6</v>
      </c>
      <c r="E77" s="14">
        <f t="shared" si="93"/>
        <v>0</v>
      </c>
      <c r="F77" s="14">
        <f t="shared" si="93"/>
        <v>0</v>
      </c>
      <c r="G77" s="14">
        <f t="shared" si="93"/>
        <v>0</v>
      </c>
      <c r="H77" s="14">
        <f t="shared" si="93"/>
        <v>57.53875</v>
      </c>
      <c r="I77" s="14">
        <f t="shared" si="93"/>
        <v>34220.467799999999</v>
      </c>
      <c r="J77" s="14">
        <f t="shared" si="93"/>
        <v>0</v>
      </c>
      <c r="K77" s="14">
        <f t="shared" si="93"/>
        <v>239</v>
      </c>
      <c r="L77" s="14">
        <f t="shared" si="93"/>
        <v>0</v>
      </c>
      <c r="M77" s="14">
        <f t="shared" si="93"/>
        <v>5779.5119999999997</v>
      </c>
      <c r="N77" s="14">
        <f t="shared" si="93"/>
        <v>0</v>
      </c>
      <c r="O77" s="86"/>
      <c r="T77" s="48" t="s">
        <v>209</v>
      </c>
      <c r="U77" s="48"/>
      <c r="V77" s="126" t="str">
        <f>+INDEX('Energy matrix'!C4:N4,1,$D$2)</f>
        <v>Transport equipment</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6421.68</v>
      </c>
      <c r="N78" s="14">
        <f t="shared" si="94"/>
        <v>0</v>
      </c>
      <c r="O78" s="86"/>
      <c r="T78" s="117" t="str">
        <f>+'Energy matrix'!B5</f>
        <v>Coal</v>
      </c>
      <c r="U78" s="117"/>
      <c r="V78" s="118">
        <f>+INDEX('Energy matrix'!C5:N5,1,$D$2)</f>
        <v>687.6</v>
      </c>
      <c r="W78" s="117"/>
    </row>
    <row r="79" spans="3:66" ht="12.75" customHeight="1">
      <c r="C79" s="13" t="str">
        <f>$D$152</f>
        <v>Haullage</v>
      </c>
      <c r="D79" s="19">
        <f t="shared" ref="D79:N79" si="95">+INDEX($E152:$O152,1,D$75) * INDEX($V$78:$V$88,D$75,1)</f>
        <v>0</v>
      </c>
      <c r="E79" s="19">
        <f t="shared" si="95"/>
        <v>0</v>
      </c>
      <c r="F79" s="19">
        <f t="shared" si="95"/>
        <v>3774.76</v>
      </c>
      <c r="G79" s="19">
        <f t="shared" si="95"/>
        <v>0</v>
      </c>
      <c r="H79" s="19">
        <f t="shared" si="95"/>
        <v>172.61625000000001</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6421.68</v>
      </c>
      <c r="N80" s="14">
        <f t="shared" si="96"/>
        <v>7629.4920106605232</v>
      </c>
      <c r="O80" s="86"/>
      <c r="T80" s="117" t="str">
        <f>+'Energy matrix'!B7</f>
        <v>Diesel</v>
      </c>
      <c r="U80" s="117"/>
      <c r="V80" s="118">
        <f>+INDEX('Energy matrix'!C7:N7,1,$D$2)</f>
        <v>3774.76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31466.232</v>
      </c>
      <c r="N81" s="14">
        <f t="shared" si="97"/>
        <v>8027.0983971166079</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3802.2741999999998</v>
      </c>
      <c r="J82" s="14">
        <f t="shared" si="98"/>
        <v>0</v>
      </c>
      <c r="K82" s="14">
        <f t="shared" si="98"/>
        <v>0</v>
      </c>
      <c r="L82" s="14">
        <f t="shared" si="98"/>
        <v>0</v>
      </c>
      <c r="M82" s="14">
        <f t="shared" si="98"/>
        <v>642.16800000000001</v>
      </c>
      <c r="N82" s="14">
        <f t="shared" si="98"/>
        <v>280.4095922228679</v>
      </c>
      <c r="O82" s="86"/>
      <c r="T82" s="117" t="str">
        <f>+'Energy matrix'!B9</f>
        <v>LPG</v>
      </c>
      <c r="U82" s="117"/>
      <c r="V82" s="118">
        <f>+INDEX('Energy matrix'!C9:N9,1,$D$2)</f>
        <v>230.155</v>
      </c>
      <c r="W82" s="117"/>
    </row>
    <row r="83" spans="3:24" ht="12.75" customHeight="1">
      <c r="C83" s="17" t="s">
        <v>57</v>
      </c>
      <c r="D83" s="18">
        <f t="shared" ref="D83:N83" si="99">SUM(D77:D82)</f>
        <v>687.6</v>
      </c>
      <c r="E83" s="18">
        <f t="shared" si="99"/>
        <v>0</v>
      </c>
      <c r="F83" s="18">
        <f t="shared" si="99"/>
        <v>3774.76</v>
      </c>
      <c r="G83" s="18">
        <f t="shared" si="99"/>
        <v>0</v>
      </c>
      <c r="H83" s="18">
        <f t="shared" si="99"/>
        <v>230.155</v>
      </c>
      <c r="I83" s="18">
        <f t="shared" si="99"/>
        <v>38022.741999999998</v>
      </c>
      <c r="J83" s="18">
        <f t="shared" si="99"/>
        <v>0</v>
      </c>
      <c r="K83" s="18">
        <f t="shared" si="99"/>
        <v>239</v>
      </c>
      <c r="L83" s="18">
        <f t="shared" si="99"/>
        <v>0</v>
      </c>
      <c r="M83" s="18">
        <f t="shared" si="99"/>
        <v>50731.271999999997</v>
      </c>
      <c r="N83" s="18">
        <f t="shared" si="99"/>
        <v>15936.999999999998</v>
      </c>
      <c r="O83" s="86"/>
      <c r="T83" s="117" t="str">
        <f>+'Energy matrix'!B11</f>
        <v>Natural gas</v>
      </c>
      <c r="U83" s="117"/>
      <c r="V83" s="118">
        <f>+INDEX('Energy matrix'!C11:N11,1,$D$2)</f>
        <v>38022.741999999998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matrix'!B17</f>
        <v>Biomass</v>
      </c>
      <c r="U85" s="117"/>
      <c r="V85" s="118">
        <f>+INDEX('Energy matrix'!C17:N17,1,$D$2)</f>
        <v>239</v>
      </c>
      <c r="W85" s="117"/>
    </row>
    <row r="86" spans="3:24" ht="12.75" customHeight="1">
      <c r="O86" s="86"/>
      <c r="T86" s="117" t="str">
        <f>+'Energy matrix'!B18</f>
        <v>Waste</v>
      </c>
      <c r="U86" s="117"/>
      <c r="V86" s="118">
        <f>+INDEX('Energy matrix'!C18:N18,1,$D$2)</f>
        <v>0</v>
      </c>
      <c r="W86" s="117"/>
    </row>
    <row r="87" spans="3:24" ht="12.75" customHeight="1">
      <c r="O87" s="86"/>
      <c r="T87" s="117" t="str">
        <f>+'Energy matrix'!B19</f>
        <v>Electricity</v>
      </c>
      <c r="U87" s="117"/>
      <c r="V87" s="118">
        <f>+INDEX('Energy matrix'!C19:N19,1,$D$2)</f>
        <v>64216.800000000003</v>
      </c>
      <c r="W87" s="117"/>
    </row>
    <row r="88" spans="3:24" ht="12.75" customHeight="1">
      <c r="O88" s="86"/>
      <c r="T88" s="122" t="str">
        <f>+'Energy matrix'!B20</f>
        <v>District Heating</v>
      </c>
      <c r="U88" s="122"/>
      <c r="V88" s="123">
        <f>+INDEX('Energy matrix'!C20:N20,1,$D$2)</f>
        <v>15937</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123108.057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126.816</v>
      </c>
      <c r="E97" s="14">
        <f t="shared" si="110"/>
        <v>0</v>
      </c>
      <c r="F97" s="14">
        <f t="shared" si="110"/>
        <v>0</v>
      </c>
      <c r="G97" s="14">
        <f t="shared" si="110"/>
        <v>0</v>
      </c>
      <c r="H97" s="14">
        <f t="shared" si="110"/>
        <v>34.024500000000003</v>
      </c>
      <c r="I97" s="14">
        <f t="shared" si="110"/>
        <v>32839.020000000004</v>
      </c>
      <c r="J97" s="14" t="e">
        <f t="shared" si="110"/>
        <v>#REF!</v>
      </c>
      <c r="K97" s="14">
        <f t="shared" si="110"/>
        <v>225</v>
      </c>
      <c r="L97" s="14">
        <f t="shared" si="110"/>
        <v>2</v>
      </c>
      <c r="M97" s="14">
        <f t="shared" si="110"/>
        <v>5998.86</v>
      </c>
      <c r="N97" s="14">
        <f t="shared" si="110"/>
        <v>0</v>
      </c>
      <c r="O97" s="86"/>
      <c r="R97" s="287"/>
      <c r="S97" s="287"/>
      <c r="T97" s="48" t="s">
        <v>209</v>
      </c>
      <c r="U97" s="48"/>
      <c r="V97" s="126" t="str">
        <f>+INDEX('Energy matrix'!C28:N28,1,$D$2)</f>
        <v>Transport equipment</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6665.4000000000005</v>
      </c>
      <c r="N98" s="14">
        <f t="shared" si="111"/>
        <v>0</v>
      </c>
      <c r="O98" s="86"/>
      <c r="R98" s="287"/>
      <c r="S98" s="287"/>
      <c r="T98" s="117" t="str">
        <f>'Energy matrix'!B29</f>
        <v>Coal</v>
      </c>
      <c r="U98" s="117"/>
      <c r="V98" s="118">
        <f>+INDEX('Energy matrix'!C29:N29,1,$D$2)</f>
        <v>126.816</v>
      </c>
      <c r="W98" s="117"/>
    </row>
    <row r="99" spans="3:24" s="285" customFormat="1" ht="12.75" customHeight="1">
      <c r="C99" s="13" t="str">
        <f>$D$152</f>
        <v>Haullage</v>
      </c>
      <c r="D99" s="19">
        <f t="shared" ref="D99:N99" si="112">+INDEX($E152:$O152,1,D$95) * INDEX($V$98:$V$108,D$95,1)</f>
        <v>0</v>
      </c>
      <c r="E99" s="19">
        <f t="shared" si="112"/>
        <v>0</v>
      </c>
      <c r="F99" s="19">
        <f t="shared" si="112"/>
        <v>1626.932</v>
      </c>
      <c r="G99" s="19">
        <f t="shared" si="112"/>
        <v>0</v>
      </c>
      <c r="H99" s="19">
        <f t="shared" si="112"/>
        <v>102.07350000000001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6665.4000000000005</v>
      </c>
      <c r="N100" s="14">
        <f t="shared" si="113"/>
        <v>6434.1075875809393</v>
      </c>
      <c r="O100" s="86"/>
      <c r="R100" s="287"/>
      <c r="S100" s="287"/>
      <c r="T100" s="117" t="str">
        <f>'Energy matrix'!B31</f>
        <v>Diesel</v>
      </c>
      <c r="U100" s="117"/>
      <c r="V100" s="118">
        <f>+INDEX('Energy matrix'!C31:N31,1,$D$2)</f>
        <v>1626.932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32660.46</v>
      </c>
      <c r="N101" s="14">
        <f t="shared" si="114"/>
        <v>6769.4172339365759</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3648.7800000000007</v>
      </c>
      <c r="J102" s="14" t="e">
        <f t="shared" si="115"/>
        <v>#REF!</v>
      </c>
      <c r="K102" s="14">
        <f t="shared" si="115"/>
        <v>0</v>
      </c>
      <c r="L102" s="14">
        <f t="shared" si="115"/>
        <v>0</v>
      </c>
      <c r="M102" s="14">
        <f t="shared" si="115"/>
        <v>666.54</v>
      </c>
      <c r="N102" s="14">
        <f t="shared" si="115"/>
        <v>236.47517848248381</v>
      </c>
      <c r="O102" s="86"/>
      <c r="R102" s="287"/>
      <c r="S102" s="287"/>
      <c r="T102" s="117" t="str">
        <f>'Energy matrix'!B33</f>
        <v>LPG</v>
      </c>
      <c r="U102" s="117"/>
      <c r="V102" s="118">
        <f>+INDEX('Energy matrix'!C33:N33,1,$D$2)</f>
        <v>136.09800000000001</v>
      </c>
      <c r="W102" s="117"/>
    </row>
    <row r="103" spans="3:24" s="285" customFormat="1" ht="12.75" customHeight="1">
      <c r="C103" s="17" t="s">
        <v>57</v>
      </c>
      <c r="D103" s="18">
        <f t="shared" ref="D103:N103" si="116">SUM(D97:D102)</f>
        <v>126.816</v>
      </c>
      <c r="E103" s="18">
        <f t="shared" si="116"/>
        <v>0</v>
      </c>
      <c r="F103" s="18">
        <f t="shared" si="116"/>
        <v>1626.932</v>
      </c>
      <c r="G103" s="18">
        <f t="shared" si="116"/>
        <v>0</v>
      </c>
      <c r="H103" s="18">
        <f t="shared" si="116"/>
        <v>136.09800000000001</v>
      </c>
      <c r="I103" s="18">
        <f t="shared" si="116"/>
        <v>36487.800000000003</v>
      </c>
      <c r="J103" s="18" t="e">
        <f t="shared" si="116"/>
        <v>#REF!</v>
      </c>
      <c r="K103" s="18">
        <f t="shared" si="116"/>
        <v>225</v>
      </c>
      <c r="L103" s="18">
        <f t="shared" si="116"/>
        <v>2</v>
      </c>
      <c r="M103" s="18">
        <f t="shared" si="116"/>
        <v>52656.659999999996</v>
      </c>
      <c r="N103" s="18">
        <f t="shared" si="116"/>
        <v>13440</v>
      </c>
      <c r="O103" s="86"/>
      <c r="R103" s="287"/>
      <c r="S103" s="287"/>
      <c r="T103" s="117" t="str">
        <f>'Energy matrix'!B35</f>
        <v>Natural gas</v>
      </c>
      <c r="U103" s="117"/>
      <c r="V103" s="118">
        <f>+INDEX('Energy matrix'!C35:N35,1,$D$2)</f>
        <v>36487.800000000003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225</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2</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66654</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13440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7161.88</v>
      </c>
      <c r="E117" s="14">
        <f t="shared" si="127"/>
        <v>0</v>
      </c>
      <c r="F117" s="14">
        <f t="shared" si="127"/>
        <v>0</v>
      </c>
      <c r="G117" s="14">
        <f t="shared" si="127"/>
        <v>0</v>
      </c>
      <c r="H117" s="14" t="e">
        <f t="shared" si="127"/>
        <v>#REF!</v>
      </c>
      <c r="I117" s="14">
        <f t="shared" si="127"/>
        <v>1025.46</v>
      </c>
      <c r="J117" s="14">
        <f t="shared" si="127"/>
        <v>36605.161</v>
      </c>
      <c r="K117" s="14">
        <f t="shared" si="127"/>
        <v>119</v>
      </c>
      <c r="L117" s="14">
        <f t="shared" si="127"/>
        <v>318</v>
      </c>
      <c r="M117" s="14">
        <f t="shared" si="127"/>
        <v>0</v>
      </c>
      <c r="N117" s="14">
        <f t="shared" si="127"/>
        <v>0</v>
      </c>
      <c r="O117" s="86"/>
      <c r="T117" s="48" t="s">
        <v>209</v>
      </c>
      <c r="U117" s="48"/>
      <c r="V117" s="126" t="str">
        <f>+INDEX('Energy matrix'!C52:N52,1,$D$2)</f>
        <v>Transport equipment</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7161.88</v>
      </c>
      <c r="W118" s="117"/>
    </row>
    <row r="119" spans="3:31" ht="12.75" customHeight="1">
      <c r="C119" s="13" t="str">
        <f>$D$152</f>
        <v>Haullage</v>
      </c>
      <c r="D119" s="19">
        <f t="shared" ref="D119:N119" si="129">+INDEX($E152:$O152,1,D$115) * INDEX($V$118:$V$128,D$115,1)</f>
        <v>0</v>
      </c>
      <c r="E119" s="19">
        <f t="shared" si="129"/>
        <v>0</v>
      </c>
      <c r="F119" s="19">
        <f t="shared" si="129"/>
        <v>1373.664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29260.25320230782</v>
      </c>
      <c r="O120" s="86"/>
      <c r="T120" s="117" t="str">
        <f>'Energy matrix'!B55</f>
        <v>Diesel</v>
      </c>
      <c r="U120" s="117"/>
      <c r="V120" s="118">
        <f>+INDEX('Energy matrix'!C55:N55,1,$D$2)</f>
        <v>1373.664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30785.133695832643</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113.94000000000001</v>
      </c>
      <c r="J122" s="14">
        <f t="shared" si="132"/>
        <v>0</v>
      </c>
      <c r="K122" s="14">
        <f t="shared" si="132"/>
        <v>0</v>
      </c>
      <c r="L122" s="14">
        <f t="shared" si="132"/>
        <v>0</v>
      </c>
      <c r="M122" s="14">
        <f t="shared" si="132"/>
        <v>0</v>
      </c>
      <c r="N122" s="14">
        <f t="shared" si="132"/>
        <v>1075.4131018595385</v>
      </c>
      <c r="O122" s="86"/>
      <c r="T122" s="117" t="e">
        <f>'Energy matrix'!#REF!</f>
        <v>#REF!</v>
      </c>
      <c r="U122" s="117"/>
      <c r="V122" s="118" t="e">
        <f>+_xlfn.SINGLE(INDEX('Energy matrix'!#REF!,1,$D$2))</f>
        <v>#REF!</v>
      </c>
      <c r="W122" s="117"/>
    </row>
    <row r="123" spans="3:31" ht="12.75" customHeight="1">
      <c r="C123" s="17" t="s">
        <v>57</v>
      </c>
      <c r="D123" s="18">
        <f t="shared" ref="D123:N123" si="133">SUM(D117:D122)</f>
        <v>7161.88</v>
      </c>
      <c r="E123" s="18">
        <f t="shared" si="133"/>
        <v>0</v>
      </c>
      <c r="F123" s="18">
        <f t="shared" si="133"/>
        <v>1373.664</v>
      </c>
      <c r="G123" s="18">
        <f t="shared" si="133"/>
        <v>0</v>
      </c>
      <c r="H123" s="18" t="e">
        <f t="shared" si="133"/>
        <v>#REF!</v>
      </c>
      <c r="I123" s="18">
        <f t="shared" si="133"/>
        <v>1139.4000000000001</v>
      </c>
      <c r="J123" s="18">
        <f t="shared" si="133"/>
        <v>36605.161</v>
      </c>
      <c r="K123" s="18">
        <f t="shared" si="133"/>
        <v>119</v>
      </c>
      <c r="L123" s="18">
        <f t="shared" si="133"/>
        <v>318</v>
      </c>
      <c r="M123" s="18">
        <f t="shared" si="133"/>
        <v>0</v>
      </c>
      <c r="N123" s="18">
        <f t="shared" si="133"/>
        <v>61120.800000000003</v>
      </c>
      <c r="O123" s="86"/>
      <c r="T123" s="117" t="str">
        <f>'Energy matrix'!B58</f>
        <v>Manufactured Gases</v>
      </c>
      <c r="U123" s="117"/>
      <c r="V123" s="118">
        <f>+INDEX('Energy matrix'!C58:N58,1,$D$2)</f>
        <v>1139.4000000000001</v>
      </c>
      <c r="W123" s="117"/>
    </row>
    <row r="124" spans="3:31" ht="12.75" customHeight="1">
      <c r="E124" s="25"/>
      <c r="F124" s="25"/>
      <c r="G124" s="25"/>
      <c r="H124" s="25"/>
      <c r="I124" s="25"/>
      <c r="J124" s="25"/>
      <c r="K124" s="25"/>
      <c r="O124" s="86"/>
      <c r="T124" s="117" t="str">
        <f>'Energy matrix'!B59</f>
        <v>Natural gas</v>
      </c>
      <c r="U124" s="117"/>
      <c r="V124" s="118">
        <f>+INDEX('Energy matrix'!C59:N59,1,$D$2)</f>
        <v>36605.161</v>
      </c>
      <c r="W124" s="117"/>
    </row>
    <row r="125" spans="3:31" ht="12.75" customHeight="1">
      <c r="E125" s="25"/>
      <c r="F125" s="25"/>
      <c r="G125" s="25"/>
      <c r="H125" s="25"/>
      <c r="I125" s="25"/>
      <c r="J125" s="25"/>
      <c r="K125" s="25"/>
      <c r="O125" s="86"/>
      <c r="T125" s="117" t="str">
        <f>'Energy matrix'!B60</f>
        <v>Biogas</v>
      </c>
      <c r="U125" s="117"/>
      <c r="V125" s="118">
        <f>+INDEX('Energy matrix'!C60:N60,1,$D$2)</f>
        <v>119</v>
      </c>
      <c r="W125" s="117"/>
    </row>
    <row r="126" spans="3:31" ht="12.75" customHeight="1">
      <c r="O126" s="86"/>
      <c r="T126" s="117" t="str">
        <f>'Energy matrix'!B65</f>
        <v>Biomass</v>
      </c>
      <c r="U126" s="117"/>
      <c r="V126" s="118">
        <f>+INDEX('Energy matrix'!C65:N65,1,$D$2)</f>
        <v>318</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61120.800000000003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05 Transport equipment</v>
      </c>
      <c r="D150" s="13" t="s">
        <v>534</v>
      </c>
      <c r="E150" s="22">
        <v>1</v>
      </c>
      <c r="F150" s="22">
        <v>1</v>
      </c>
      <c r="G150" s="22"/>
      <c r="H150" s="22">
        <v>0</v>
      </c>
      <c r="I150" s="22">
        <v>0.25</v>
      </c>
      <c r="J150" s="22">
        <v>0.9</v>
      </c>
      <c r="K150" s="22">
        <v>1</v>
      </c>
      <c r="L150" s="22">
        <v>1</v>
      </c>
      <c r="M150" s="22">
        <v>1</v>
      </c>
      <c r="N150" s="22">
        <v>0.09</v>
      </c>
      <c r="O150" s="22">
        <v>0</v>
      </c>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v>
      </c>
      <c r="O153" s="22">
        <v>0.47872824312358181</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0.50367687752504287</v>
      </c>
      <c r="P154" s="34"/>
      <c r="Q154" s="34"/>
      <c r="R154" s="25"/>
      <c r="S154" s="25"/>
      <c r="W154" s="285"/>
      <c r="X154" s="285"/>
      <c r="Y154" s="25"/>
      <c r="Z154" s="25"/>
      <c r="AA154" s="25"/>
    </row>
    <row r="155" spans="3:27">
      <c r="C155" s="16"/>
      <c r="D155" s="13" t="s">
        <v>539</v>
      </c>
      <c r="E155" s="22"/>
      <c r="F155" s="22"/>
      <c r="G155" s="22"/>
      <c r="H155" s="22"/>
      <c r="I155" s="22"/>
      <c r="J155" s="22">
        <v>0.1</v>
      </c>
      <c r="K155" s="22"/>
      <c r="L155" s="22"/>
      <c r="M155" s="22"/>
      <c r="N155" s="22">
        <v>0.01</v>
      </c>
      <c r="O155" s="22">
        <v>1.7594879351375284E-2</v>
      </c>
      <c r="P155" s="34"/>
      <c r="Q155" s="34"/>
      <c r="R155" s="25"/>
      <c r="S155" s="25"/>
      <c r="W155" s="285"/>
      <c r="X155" s="285"/>
      <c r="Y155" s="25"/>
      <c r="Z155" s="25"/>
      <c r="AA155" s="25"/>
    </row>
    <row r="156" spans="3:27">
      <c r="C156" s="17" t="str">
        <f>C150</f>
        <v>05 Transport equipment</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0.79</v>
      </c>
      <c r="O156" s="23">
        <f t="shared" si="136"/>
        <v>0.99999999999999989</v>
      </c>
      <c r="P156" s="34"/>
      <c r="Q156" s="34"/>
      <c r="R156" s="25"/>
      <c r="S156" s="25"/>
      <c r="W156" s="285"/>
      <c r="X156" s="285"/>
      <c r="Y156" s="25"/>
      <c r="Z156" s="25"/>
      <c r="AA156" s="25"/>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56"/>
  <sheetViews>
    <sheetView showGridLines="0" topLeftCell="A8" zoomScale="80" zoomScaleNormal="80" workbookViewId="0">
      <selection activeCell="N153" sqref="N153"/>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6</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Machinery industry</v>
      </c>
      <c r="E5" s="25"/>
      <c r="F5" s="197"/>
      <c r="G5" s="198"/>
    </row>
    <row r="6" spans="3:29" ht="12.75" customHeight="1">
      <c r="C6" s="62"/>
      <c r="D6" s="70" t="str">
        <f>+INDEX(Commodities!$Y$6:$Y$17,D2)</f>
        <v>06 Machinery</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06 Machinery</v>
      </c>
      <c r="E9" s="25"/>
    </row>
    <row r="10" spans="3:29" ht="12.75" customHeight="1">
      <c r="C10" s="62" t="s">
        <v>154</v>
      </c>
      <c r="D10" s="70">
        <f>+ROW(Processes!$M$44) - ROW(Processes!$M$7)</f>
        <v>37</v>
      </c>
      <c r="E10" s="25"/>
    </row>
    <row r="11" spans="3:29" ht="12.75" customHeight="1">
      <c r="C11" s="62" t="s">
        <v>194</v>
      </c>
      <c r="D11" s="70">
        <f>+$D$10*$D$2-$D$10</f>
        <v>185</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Machinery</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INDMDPHBNGAE1</v>
      </c>
      <c r="D26" s="146" t="str">
        <f ca="1">+OFFSET(Processes!E7,$D$11,0)</f>
        <v>Machinery industry Heat Medium Temp. Boiler - Nat. Gas Existing 1</v>
      </c>
      <c r="E26" s="149" t="str">
        <f>+Processes!O7</f>
        <v>INDSNG1,INDSNG2,INDNGA</v>
      </c>
      <c r="F26" s="149" t="str">
        <f ca="1">+OFFSET(Processes!$M$12,$D$11,0) &amp; Processes!P7</f>
        <v>IMDPH</v>
      </c>
      <c r="G26" s="322">
        <f>ROUNDUP(AN26/($Z26*$AA26)*G$21*W26,3)</f>
        <v>3774.5010000000002</v>
      </c>
      <c r="H26" s="322">
        <f t="shared" ref="H26:I26" si="0">ROUNDUP(AO26/($Z26*$AA26)*H$21*X26,3)</f>
        <v>209.69499999999999</v>
      </c>
      <c r="I26" s="322">
        <f t="shared" si="0"/>
        <v>209.69499999999999</v>
      </c>
      <c r="J26" s="322">
        <f>ROUNDUP(BA26/($Z26*$AA26)*J$21*W26,3)</f>
        <v>3617.3860000000004</v>
      </c>
      <c r="K26" s="322">
        <f>ROUNDUP(BB26/($Z26*$AA26)*K$21*X26,3)</f>
        <v>200.96600000000001</v>
      </c>
      <c r="L26" s="322">
        <f>ROUNDUP(BC26/($Z26*$AA26)*L$21*Y26,3)</f>
        <v>200.96600000000001</v>
      </c>
      <c r="M26" s="322">
        <f>ROUNDUP(BN26/($Z26*$AA26)*M$21*W26,3)</f>
        <v>18.580000000000002</v>
      </c>
      <c r="N26" s="322">
        <f>ROUNDUP(BO26/($Z26*$AA26)*N$21*X26,3)</f>
        <v>1.0329999999999999</v>
      </c>
      <c r="O26" s="322">
        <f>ROUNDUP(BP26/($Z26*$AA26)*O$21*Y26,3)</f>
        <v>1.0329999999999999</v>
      </c>
      <c r="P26" s="322">
        <f t="shared" ref="P26:P62" si="1">M26</f>
        <v>18.580000000000002</v>
      </c>
      <c r="Q26" s="322">
        <f t="shared" ref="Q26:Q62" si="2">N26</f>
        <v>1.0329999999999999</v>
      </c>
      <c r="R26" s="322">
        <f t="shared" ref="R26:R62" si="3">O26</f>
        <v>1.0329999999999999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64.040859679096428</v>
      </c>
      <c r="AH26" s="236">
        <f t="shared" ref="AH26:AH41" si="9">((J26*Z26*AA26/W26)+(K26*Z26*AA26/X26))/$J$21</f>
        <v>60.828222202465149</v>
      </c>
      <c r="AI26" s="236">
        <f t="shared" ref="AI26:AI41" si="10">((M26*AA26*Z26/W26)+(N26*Z26*AA26/X26))/$M$21</f>
        <v>0.31244472014548397</v>
      </c>
      <c r="AJ26" s="285"/>
      <c r="AK26" s="530" t="str">
        <f ca="1">F26</f>
        <v>IMDPH</v>
      </c>
      <c r="AL26" s="350" t="s">
        <v>97</v>
      </c>
      <c r="AM26" s="313">
        <f>I77/1000</f>
        <v>67.411413899999999</v>
      </c>
      <c r="AN26" s="310">
        <f>AM26*$AN$23</f>
        <v>60.670272510000004</v>
      </c>
      <c r="AO26" s="311">
        <f>AM26*$AO$23</f>
        <v>3.3705706950000001</v>
      </c>
      <c r="AP26" s="311">
        <f>AM26*$AP$23</f>
        <v>3.3705706950000001</v>
      </c>
      <c r="AQ26" s="312">
        <f>IFERROR(G26*$Z26*$AA26/G$21,0)</f>
        <v>59.456874893106907</v>
      </c>
      <c r="AR26" s="311">
        <f>IFERROR(H26*$Z26*$AA26/H$21,0)</f>
        <v>3.3031675924075925</v>
      </c>
      <c r="AS26" s="338">
        <f>IFERROR(I26*$Z26*$AA26/I$21,0)</f>
        <v>3.3031675924075925</v>
      </c>
      <c r="AT26" s="313">
        <f t="shared" ref="AT26:AV29" si="11">IFERROR(AQ26/W26,0)</f>
        <v>60.670280503170311</v>
      </c>
      <c r="AU26" s="310">
        <f t="shared" si="11"/>
        <v>3.3705791759261148</v>
      </c>
      <c r="AV26" s="357">
        <f t="shared" si="11"/>
        <v>3.3705791759261148</v>
      </c>
      <c r="AW26" s="285"/>
      <c r="AX26" s="530" t="str">
        <f t="shared" ref="AX26:AX62" ca="1" si="12">AK26</f>
        <v>IMDPH</v>
      </c>
      <c r="AY26" s="350" t="s">
        <v>97</v>
      </c>
      <c r="AZ26" s="313">
        <f>I97/1000</f>
        <v>64.029690000000016</v>
      </c>
      <c r="BA26" s="310">
        <f>AZ26*$AN$23</f>
        <v>57.626721000000018</v>
      </c>
      <c r="BB26" s="311">
        <f>AZ26*$BB$23</f>
        <v>3.2014845000000012</v>
      </c>
      <c r="BC26" s="311">
        <f>AZ26*$BC$23</f>
        <v>3.2014845000000012</v>
      </c>
      <c r="BD26" s="313">
        <f t="shared" ref="BD26" si="13">IFERROR(J26*$Z26*AA26/J$21,0)</f>
        <v>56.474200443564364</v>
      </c>
      <c r="BE26" s="310">
        <f t="shared" ref="BE26" si="14">IFERROR(K26*$Z26*AA26/K$21,0)</f>
        <v>3.1374573148514853</v>
      </c>
      <c r="BF26" s="357">
        <f>IFERROR(L26*$Z26*AA26/L$21,0)</f>
        <v>3.1374573148514853</v>
      </c>
      <c r="BG26" s="313">
        <f t="shared" ref="BG26:BG35" si="15">IFERROR(BD26/W26,0)</f>
        <v>57.626735146494248</v>
      </c>
      <c r="BH26" s="310">
        <f t="shared" ref="BH26:BH35" si="16">IFERROR(BE26/X26,0)</f>
        <v>3.2014870559709032</v>
      </c>
      <c r="BI26" s="357">
        <f t="shared" ref="BI26:BI35" si="17">IFERROR(BF26/Y26,0)</f>
        <v>3.2014870559709032</v>
      </c>
      <c r="BJ26" s="285"/>
      <c r="BK26" s="530" t="str">
        <f ca="1">AK26</f>
        <v>IMDPH</v>
      </c>
      <c r="BL26" s="350" t="s">
        <v>97</v>
      </c>
      <c r="BM26" s="313">
        <f>I117/1000</f>
        <v>0.32886000000000004</v>
      </c>
      <c r="BN26" s="310">
        <f>BM26*$AN$23</f>
        <v>0.29597400000000007</v>
      </c>
      <c r="BO26" s="311">
        <f>BM26*$BB$23</f>
        <v>1.6443000000000003E-2</v>
      </c>
      <c r="BP26" s="311">
        <f>BM26*$BC$23</f>
        <v>1.6443000000000003E-2</v>
      </c>
      <c r="BQ26" s="313">
        <f>IFERROR(M26*$Z26*$AA26/M$21,0)</f>
        <v>0.29006875247524755</v>
      </c>
      <c r="BR26" s="310">
        <f>IFERROR(N26*$Z26*$AA26/N$21,0)</f>
        <v>1.6127073267326732E-2</v>
      </c>
      <c r="BS26" s="357">
        <f>IFERROR(O26*$Z26*$AA26/O$21,0)</f>
        <v>1.6127073267326732E-2</v>
      </c>
      <c r="BT26" s="313">
        <f>IFERROR(BQ26/W26,0)</f>
        <v>0.29598852293392608</v>
      </c>
      <c r="BU26" s="310">
        <f>IFERROR(BR26/X26,0)</f>
        <v>1.6456197211557892E-2</v>
      </c>
      <c r="BV26" s="357">
        <f>IFERROR(BS26/Y26,0)</f>
        <v>1.6456197211557892E-2</v>
      </c>
      <c r="BW26" s="285"/>
      <c r="BX26" s="285"/>
      <c r="BY26" s="285"/>
    </row>
    <row r="27" spans="3:77" ht="12.75" customHeight="1">
      <c r="C27" s="146" t="str">
        <f ca="1">+IF(OFFSET(Processes!B8,$D$11,0)="*","*",OFFSET(Processes!D8,$D$11,0))</f>
        <v>INDMDPHBCOAE1</v>
      </c>
      <c r="D27" s="146" t="str">
        <f ca="1">+OFFSET(Processes!E8,$D$11,0)</f>
        <v>Machinery industry Heat Medium Temp. Boiler - Coal Existing 1</v>
      </c>
      <c r="E27" s="149" t="str">
        <f>+Processes!O8</f>
        <v>INDCOA</v>
      </c>
      <c r="F27" s="149" t="str">
        <f ca="1">+OFFSET(Processes!$M$12,$D$11,0) &amp; Processes!P8</f>
        <v>IMDPH</v>
      </c>
      <c r="G27" s="322">
        <f t="shared" ref="G27:G62" si="18">ROUNDUP(AN27/($Z27*$AA27)*G$21*W27,3)</f>
        <v>38.299999999999997</v>
      </c>
      <c r="H27" s="322">
        <f t="shared" ref="H27:H62" si="19">ROUNDUP(AO27/($Z27*$AA27)*H$21*X27,3)</f>
        <v>2.1279999999999997</v>
      </c>
      <c r="I27" s="322">
        <f t="shared" ref="I27:I61" si="20">ROUNDUP(AP27/($Z27*$AA27)*I$21*Y27,3)</f>
        <v>2.1279999999999997</v>
      </c>
      <c r="J27" s="322">
        <f t="shared" ref="J27:J62" si="21">ROUNDUP(BA27/($Z27*$AA27)*J$21*W27,3)</f>
        <v>18.07</v>
      </c>
      <c r="K27" s="322">
        <f t="shared" ref="K27:K62" si="22">ROUNDUP(BB27/($Z27*$AA27)*K$21*X27,3)</f>
        <v>1.0039999999999998</v>
      </c>
      <c r="L27" s="322">
        <f t="shared" ref="L27:L62" si="23">ROUNDUP(BC27/($Z27*$AA27)*L$21*Y27,3)</f>
        <v>1.0039999999999998</v>
      </c>
      <c r="M27" s="322">
        <f t="shared" ref="M27:M62" si="24">ROUNDUP(BN27/($Z27*$AA27)*M$21*W27,3)</f>
        <v>30.842000000000002</v>
      </c>
      <c r="N27" s="322">
        <f t="shared" ref="N27:N62" si="25">ROUNDUP(BO27/($Z27*$AA27)*N$21*X27,3)</f>
        <v>1.714</v>
      </c>
      <c r="O27" s="322">
        <f t="shared" ref="O27:O62" si="26">ROUNDUP(BP27/($Z27*$AA27)*O$21*Y27,3)</f>
        <v>1.714</v>
      </c>
      <c r="P27" s="322">
        <f t="shared" si="1"/>
        <v>30.842000000000002</v>
      </c>
      <c r="Q27" s="322">
        <f t="shared" si="2"/>
        <v>1.714</v>
      </c>
      <c r="R27" s="322">
        <f t="shared" si="3"/>
        <v>1.714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0.68402993783874566</v>
      </c>
      <c r="AH27" s="236">
        <f t="shared" si="9"/>
        <v>0.31985072157054589</v>
      </c>
      <c r="AI27" s="236">
        <f t="shared" si="10"/>
        <v>0.54592954238495828</v>
      </c>
      <c r="AJ27" s="285"/>
      <c r="AK27" s="290"/>
      <c r="AL27" s="291" t="s">
        <v>98</v>
      </c>
      <c r="AM27" s="307">
        <f>D77/1000</f>
        <v>0.72002099999999991</v>
      </c>
      <c r="AN27" s="308">
        <f>AM27*$AN$23</f>
        <v>0.64801889999999995</v>
      </c>
      <c r="AO27" s="309">
        <f t="shared" ref="AO27:AO29" si="27">AM27*$AO$23</f>
        <v>3.600105E-2</v>
      </c>
      <c r="AP27" s="309">
        <f>AM27*$AP$23</f>
        <v>3.600105E-2</v>
      </c>
      <c r="AQ27" s="306">
        <f t="shared" ref="AQ27:AQ62" si="28">IFERROR(G27*$Z27*$AA27/G$21,0)</f>
        <v>0.60331108891108898</v>
      </c>
      <c r="AR27" s="309">
        <f t="shared" ref="AR27:AR62" si="29">IFERROR(H27*$Z27*$AA27/H$21,0)</f>
        <v>3.3520783216783215E-2</v>
      </c>
      <c r="AS27" s="540">
        <f t="shared" ref="AS27:AS62" si="30">IFERROR(I27*$Z27*$AA27/I$21,0)</f>
        <v>3.3520783216783215E-2</v>
      </c>
      <c r="AT27" s="307">
        <f t="shared" si="11"/>
        <v>0.64802480011932229</v>
      </c>
      <c r="AU27" s="308">
        <f t="shared" si="11"/>
        <v>3.6005137719423437E-2</v>
      </c>
      <c r="AV27" s="353">
        <f t="shared" si="11"/>
        <v>3.6005137719423437E-2</v>
      </c>
      <c r="AW27" s="285"/>
      <c r="AX27" s="290"/>
      <c r="AY27" s="291" t="s">
        <v>98</v>
      </c>
      <c r="AZ27" s="307">
        <f>D97/1000</f>
        <v>0.336677</v>
      </c>
      <c r="BA27" s="308">
        <f>AZ27*$AN$23</f>
        <v>0.30300930000000004</v>
      </c>
      <c r="BB27" s="309">
        <f t="shared" ref="BB27:BB29" si="31">AZ27*$BB$23</f>
        <v>1.6833850000000001E-2</v>
      </c>
      <c r="BC27" s="309">
        <f t="shared" ref="BC27:BC29" si="32">AZ27*$BC$23</f>
        <v>1.6833850000000001E-2</v>
      </c>
      <c r="BD27" s="307">
        <f t="shared" ref="BD27:BD62" si="33">IFERROR(J27*$Z27*AA27/J$21,0)</f>
        <v>0.28210669306930697</v>
      </c>
      <c r="BE27" s="308">
        <f t="shared" ref="BE27:BE62" si="34">IFERROR(K27*$Z27*AA27/K$21,0)</f>
        <v>1.5674328712871284E-2</v>
      </c>
      <c r="BF27" s="353">
        <f t="shared" ref="BF27:BF62" si="35">IFERROR(L27*$Z27*AA27/L$21,0)</f>
        <v>1.5674328712871284E-2</v>
      </c>
      <c r="BG27" s="307">
        <f t="shared" si="15"/>
        <v>0.30301470791547475</v>
      </c>
      <c r="BH27" s="308">
        <f t="shared" si="16"/>
        <v>1.6836013655071199E-2</v>
      </c>
      <c r="BI27" s="353">
        <f t="shared" si="17"/>
        <v>1.6836013655071199E-2</v>
      </c>
      <c r="BJ27" s="285"/>
      <c r="BK27" s="290"/>
      <c r="BL27" s="291" t="s">
        <v>98</v>
      </c>
      <c r="BM27" s="307">
        <f>D117/1000</f>
        <v>0.5746420000000001</v>
      </c>
      <c r="BN27" s="308">
        <f>BM27*$AN$23</f>
        <v>0.51717780000000013</v>
      </c>
      <c r="BO27" s="309">
        <f t="shared" ref="BO27:BO29" si="36">BM27*$BB$23</f>
        <v>2.8732100000000007E-2</v>
      </c>
      <c r="BP27" s="309">
        <f t="shared" ref="BP27:BP29" si="37">BM27*$BC$23</f>
        <v>2.8732100000000007E-2</v>
      </c>
      <c r="BQ27" s="307">
        <f t="shared" ref="BQ27:BQ62" si="38">IFERROR(M27*$Z27*$AA27/M$21,0)</f>
        <v>0.48150163960396047</v>
      </c>
      <c r="BR27" s="308">
        <f t="shared" ref="BR27:BR62" si="39">IFERROR(N27*$Z27*$AA27/N$21,0)</f>
        <v>2.6758764356435642E-2</v>
      </c>
      <c r="BS27" s="353">
        <f t="shared" ref="BS27:BS62" si="40">IFERROR(O27*$Z27*$AA27/O$21,0)</f>
        <v>2.6758764356435642E-2</v>
      </c>
      <c r="BT27" s="307">
        <f t="shared" ref="BT27:BT35" si="41">IFERROR(BQ27/W27,0)</f>
        <v>0.51718758281843236</v>
      </c>
      <c r="BU27" s="308">
        <f t="shared" ref="BU27:BU35" si="42">IFERROR(BR27/X27,0)</f>
        <v>2.8741959566525935E-2</v>
      </c>
      <c r="BV27" s="353">
        <f t="shared" ref="BV27:BV35" si="43">IFERROR(BS27/Y27,0)</f>
        <v>2.8741959566525935E-2</v>
      </c>
      <c r="BW27" s="285"/>
      <c r="BX27" s="285"/>
      <c r="BY27" s="285"/>
    </row>
    <row r="28" spans="3:77" ht="12.75" customHeight="1">
      <c r="C28" s="146" t="str">
        <f ca="1">+IF(OFFSET(Processes!B9,$D$11,0)="*","*",OFFSET(Processes!D9,$D$11,0))</f>
        <v>INDMDPHBDSLE1</v>
      </c>
      <c r="D28" s="146" t="str">
        <f ca="1">+OFFSET(Processes!E9,$D$11,0)</f>
        <v>Machinery industry Heat Medium Temp. Boiler - Diesel Existing 1</v>
      </c>
      <c r="E28" s="149" t="str">
        <f>+Processes!O9</f>
        <v>INDDSB1,INDDSB2,INDDSL</v>
      </c>
      <c r="F28" s="149" t="str">
        <f ca="1">+OFFSET(Processes!$M$12,$D$11,0) &amp; Processes!P9</f>
        <v>IMDPH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INDMDPHBWPEE1</v>
      </c>
      <c r="D29" s="146" t="str">
        <f ca="1">+OFFSET(Processes!E10,$D$11,0)</f>
        <v>Machinery industry Heat Medium Temp. Boiler - Wood Pellets Existing 1</v>
      </c>
      <c r="E29" s="149" t="str">
        <f>+Processes!O10</f>
        <v>INDWPE</v>
      </c>
      <c r="F29" s="149" t="str">
        <f ca="1">+OFFSET(Processes!$M$12,$D$11,0) &amp; Processes!P10</f>
        <v>IMDPH</v>
      </c>
      <c r="G29" s="321">
        <f t="shared" si="18"/>
        <v>78.434000000000012</v>
      </c>
      <c r="H29" s="321">
        <f t="shared" si="19"/>
        <v>4.3580000000000005</v>
      </c>
      <c r="I29" s="321">
        <f t="shared" si="20"/>
        <v>4.3580000000000005</v>
      </c>
      <c r="J29" s="321">
        <f t="shared" si="21"/>
        <v>102.958</v>
      </c>
      <c r="K29" s="321">
        <f t="shared" si="22"/>
        <v>5.7200000000000006</v>
      </c>
      <c r="L29" s="321">
        <f t="shared" si="23"/>
        <v>5.7200000000000006</v>
      </c>
      <c r="M29" s="321">
        <f t="shared" si="24"/>
        <v>4.9470000000000001</v>
      </c>
      <c r="N29" s="321">
        <f t="shared" si="25"/>
        <v>0.27500000000000002</v>
      </c>
      <c r="O29" s="321">
        <f t="shared" si="26"/>
        <v>0.27500000000000002</v>
      </c>
      <c r="P29" s="321">
        <f t="shared" si="1"/>
        <v>4.9470000000000001</v>
      </c>
      <c r="Q29" s="321">
        <f t="shared" si="2"/>
        <v>0.27500000000000002</v>
      </c>
      <c r="R29" s="321">
        <f t="shared" si="3"/>
        <v>0.27500000000000002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1.5656183624298878</v>
      </c>
      <c r="AH29" s="236">
        <f t="shared" si="9"/>
        <v>2.0368163550568745</v>
      </c>
      <c r="AI29" s="236">
        <f t="shared" si="10"/>
        <v>9.7869440053249032E-2</v>
      </c>
      <c r="AJ29" s="285"/>
      <c r="AK29" s="290"/>
      <c r="AL29" s="559" t="s">
        <v>99</v>
      </c>
      <c r="AM29" s="560">
        <f>K77/1000</f>
        <v>1.6479999999999999</v>
      </c>
      <c r="AN29" s="561">
        <f>AM29*$AN$23</f>
        <v>1.4831999999999999</v>
      </c>
      <c r="AO29" s="562">
        <f t="shared" si="27"/>
        <v>8.2400000000000001E-2</v>
      </c>
      <c r="AP29" s="562">
        <f>AM29*$AP$23</f>
        <v>8.2400000000000001E-2</v>
      </c>
      <c r="AQ29" s="582">
        <f t="shared" si="28"/>
        <v>1.2355118001998007</v>
      </c>
      <c r="AR29" s="562">
        <f t="shared" si="29"/>
        <v>6.8648295704295731E-2</v>
      </c>
      <c r="AS29" s="563">
        <f t="shared" si="30"/>
        <v>6.8648295704295731E-2</v>
      </c>
      <c r="AT29" s="560">
        <f t="shared" si="11"/>
        <v>1.4832074432170477</v>
      </c>
      <c r="AU29" s="561">
        <f t="shared" si="11"/>
        <v>8.2410919212840023E-2</v>
      </c>
      <c r="AV29" s="566">
        <f t="shared" si="11"/>
        <v>8.2410919212840023E-2</v>
      </c>
      <c r="AW29" s="285"/>
      <c r="AX29" s="290"/>
      <c r="AY29" s="559" t="s">
        <v>99</v>
      </c>
      <c r="AZ29" s="560">
        <f>K97/1000</f>
        <v>2.1440000000000001</v>
      </c>
      <c r="BA29" s="561">
        <f>AZ29*$AN$23</f>
        <v>1.9296000000000002</v>
      </c>
      <c r="BB29" s="562">
        <f t="shared" si="31"/>
        <v>0.10720000000000002</v>
      </c>
      <c r="BC29" s="562">
        <f t="shared" si="32"/>
        <v>0.10720000000000002</v>
      </c>
      <c r="BD29" s="560">
        <f t="shared" si="33"/>
        <v>1.6073680633663365</v>
      </c>
      <c r="BE29" s="561">
        <f t="shared" si="34"/>
        <v>8.9299960396039615E-2</v>
      </c>
      <c r="BF29" s="566">
        <f t="shared" si="35"/>
        <v>8.9299960396039615E-2</v>
      </c>
      <c r="BG29" s="560">
        <f t="shared" si="15"/>
        <v>1.9296135214481831</v>
      </c>
      <c r="BH29" s="561">
        <f t="shared" si="16"/>
        <v>0.10720283360869103</v>
      </c>
      <c r="BI29" s="566">
        <f t="shared" si="17"/>
        <v>0.10720283360869103</v>
      </c>
      <c r="BJ29" s="285"/>
      <c r="BK29" s="290"/>
      <c r="BL29" s="559" t="s">
        <v>99</v>
      </c>
      <c r="BM29" s="560">
        <f>K117/1000</f>
        <v>0.10299999999999999</v>
      </c>
      <c r="BN29" s="561">
        <f>BM29*$AN$23</f>
        <v>9.2699999999999991E-2</v>
      </c>
      <c r="BO29" s="562">
        <f t="shared" si="36"/>
        <v>5.1500000000000001E-3</v>
      </c>
      <c r="BP29" s="562">
        <f t="shared" si="37"/>
        <v>5.1500000000000001E-3</v>
      </c>
      <c r="BQ29" s="560">
        <f t="shared" si="38"/>
        <v>7.7231976237623762E-2</v>
      </c>
      <c r="BR29" s="561">
        <f t="shared" si="39"/>
        <v>4.2932673267326738E-3</v>
      </c>
      <c r="BS29" s="566">
        <f t="shared" si="40"/>
        <v>4.2932673267326738E-3</v>
      </c>
      <c r="BT29" s="560">
        <f t="shared" si="41"/>
        <v>9.2715457668215803E-2</v>
      </c>
      <c r="BU29" s="561">
        <f t="shared" si="42"/>
        <v>5.153982385033222E-3</v>
      </c>
      <c r="BV29" s="566">
        <f t="shared" si="43"/>
        <v>5.153982385033222E-3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INDMDPHBBGAE1</v>
      </c>
      <c r="D31" s="146" t="str">
        <f ca="1">+OFFSET(Processes!E12,$D$11,0)</f>
        <v>Machinery industry Heat Medium Temp. Boiler - Biogas Existing 1</v>
      </c>
      <c r="E31" s="149" t="str">
        <f>+Processes!O12</f>
        <v>INDBGA</v>
      </c>
      <c r="F31" s="172" t="str">
        <f ca="1">+OFFSET(Processes!$M$12,$D$11,0) &amp; Processes!P12</f>
        <v>IMDPH</v>
      </c>
      <c r="G31" s="322">
        <f t="shared" si="18"/>
        <v>1.8479999999999999</v>
      </c>
      <c r="H31" s="322">
        <f t="shared" si="19"/>
        <v>0.10299999999999999</v>
      </c>
      <c r="I31" s="322">
        <f t="shared" si="20"/>
        <v>0.10299999999999999</v>
      </c>
      <c r="J31" s="322" t="e">
        <f t="shared" si="21"/>
        <v>#REF!</v>
      </c>
      <c r="K31" s="322" t="e">
        <f t="shared" si="22"/>
        <v>#REF!</v>
      </c>
      <c r="L31" s="322" t="e">
        <f t="shared" si="23"/>
        <v>#REF!</v>
      </c>
      <c r="M31" s="322">
        <f t="shared" si="24"/>
        <v>4169.97</v>
      </c>
      <c r="N31" s="322">
        <f t="shared" si="25"/>
        <v>231.66499999999999</v>
      </c>
      <c r="O31" s="322">
        <f t="shared" si="26"/>
        <v>231.66499999999999</v>
      </c>
      <c r="P31" s="322">
        <f t="shared" si="1"/>
        <v>4169.97</v>
      </c>
      <c r="Q31" s="322">
        <f t="shared" si="2"/>
        <v>231.66499999999999</v>
      </c>
      <c r="R31" s="322">
        <f t="shared" si="3"/>
        <v>231.66499999999999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3.1359832004729971E-2</v>
      </c>
      <c r="AH31" s="236" t="e">
        <f t="shared" si="9"/>
        <v>#REF!</v>
      </c>
      <c r="AI31" s="236">
        <f t="shared" si="10"/>
        <v>70.120206789250361</v>
      </c>
      <c r="AJ31" s="285"/>
      <c r="AK31" s="290"/>
      <c r="AL31" s="559" t="s">
        <v>100</v>
      </c>
      <c r="AM31" s="560">
        <f>J77/1000</f>
        <v>3.3000000000000002E-2</v>
      </c>
      <c r="AN31" s="561">
        <f t="shared" ref="AN31:AN41" si="47">AM31*$AN$23</f>
        <v>2.9700000000000001E-2</v>
      </c>
      <c r="AO31" s="562">
        <f t="shared" ref="AO31:AO33" si="48">AM31*$AO$23</f>
        <v>1.6500000000000002E-3</v>
      </c>
      <c r="AP31" s="562">
        <f t="shared" ref="AP31:AP37" si="49">AM31*$AP$23</f>
        <v>1.6500000000000002E-3</v>
      </c>
      <c r="AQ31" s="582">
        <f t="shared" si="28"/>
        <v>2.9110153846153848E-2</v>
      </c>
      <c r="AR31" s="562">
        <f t="shared" si="29"/>
        <v>1.6224815184815186E-3</v>
      </c>
      <c r="AS31" s="563">
        <f>IFERROR(I31*$Z31*$AA31/I$21,0)</f>
        <v>1.6224815184815186E-3</v>
      </c>
      <c r="AT31" s="560">
        <f t="shared" ref="AT31:AV34" si="50">IFERROR(AQ31/W31,0)</f>
        <v>2.9704238618524337E-2</v>
      </c>
      <c r="AU31" s="561">
        <f t="shared" si="50"/>
        <v>1.6555933862056312E-3</v>
      </c>
      <c r="AV31" s="566">
        <f t="shared" si="50"/>
        <v>1.6555933862056312E-3</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73.810733999999997</v>
      </c>
      <c r="BN31" s="561">
        <f>BM31*$AN$23</f>
        <v>66.429660600000005</v>
      </c>
      <c r="BO31" s="562">
        <f>BM31*$BB$23</f>
        <v>3.6905367</v>
      </c>
      <c r="BP31" s="562">
        <f>BM31*$BC$23</f>
        <v>3.6905367</v>
      </c>
      <c r="BQ31" s="560">
        <f t="shared" si="38"/>
        <v>65.101076198019811</v>
      </c>
      <c r="BR31" s="561">
        <f t="shared" si="39"/>
        <v>3.6167264554455447</v>
      </c>
      <c r="BS31" s="566">
        <f t="shared" si="40"/>
        <v>3.6167264554455447</v>
      </c>
      <c r="BT31" s="560">
        <f t="shared" si="41"/>
        <v>66.429669589816129</v>
      </c>
      <c r="BU31" s="561">
        <f t="shared" si="42"/>
        <v>3.6905371994342295</v>
      </c>
      <c r="BV31" s="566">
        <f t="shared" si="43"/>
        <v>3.6905371994342295</v>
      </c>
      <c r="BW31" s="285"/>
      <c r="BX31" s="285"/>
      <c r="BY31" s="285"/>
    </row>
    <row r="32" spans="3:77" ht="12.75" customHeight="1">
      <c r="C32" s="146" t="str">
        <f ca="1">+IF(OFFSET(Processes!B13,$D$11,0)="*","*",OFFSET(Processes!D13,$D$11,0))</f>
        <v>INDMDPHBHFOE1</v>
      </c>
      <c r="D32" s="146" t="str">
        <f ca="1">+OFFSET(Processes!E13,$D$11,0)</f>
        <v>Machinery industry Heat Medium Temp. Boiler - Heavy Fuel Oil Existing 1</v>
      </c>
      <c r="E32" s="149" t="str">
        <f>+Processes!O13</f>
        <v>INDHFO</v>
      </c>
      <c r="F32" s="172" t="str">
        <f ca="1">+OFFSET(Processes!$M$12,$D$11,0) &amp; Processes!P13</f>
        <v>IMDPH</v>
      </c>
      <c r="G32" s="322">
        <f t="shared" si="18"/>
        <v>6.4390000000000001</v>
      </c>
      <c r="H32" s="322">
        <f t="shared" si="19"/>
        <v>0.35799999999999998</v>
      </c>
      <c r="I32" s="322">
        <f t="shared" si="20"/>
        <v>0.35799999999999998</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0.11500325238671107</v>
      </c>
      <c r="AH32" s="236">
        <f t="shared" si="9"/>
        <v>3.8719477619083065E-2</v>
      </c>
      <c r="AI32" s="236">
        <f t="shared" si="10"/>
        <v>3.8350560985207012E-2</v>
      </c>
      <c r="AJ32" s="285"/>
      <c r="AK32" s="290"/>
      <c r="AL32" s="559" t="s">
        <v>101</v>
      </c>
      <c r="AM32" s="560">
        <f>E77/1000</f>
        <v>0.121044</v>
      </c>
      <c r="AN32" s="561">
        <f t="shared" si="47"/>
        <v>0.1089396</v>
      </c>
      <c r="AO32" s="562">
        <f>AM32*$AO$23</f>
        <v>6.0522000000000006E-3</v>
      </c>
      <c r="AP32" s="562">
        <f t="shared" si="49"/>
        <v>6.0522000000000006E-3</v>
      </c>
      <c r="AQ32" s="582">
        <f t="shared" si="28"/>
        <v>0.1014287232767233</v>
      </c>
      <c r="AR32" s="562">
        <f t="shared" si="29"/>
        <v>5.6393046953046961E-3</v>
      </c>
      <c r="AS32" s="563">
        <f t="shared" si="30"/>
        <v>5.6393046953046961E-3</v>
      </c>
      <c r="AT32" s="560">
        <f t="shared" si="50"/>
        <v>0.10894599707489076</v>
      </c>
      <c r="AU32" s="561">
        <f t="shared" si="50"/>
        <v>6.0572553118202971E-3</v>
      </c>
      <c r="AV32" s="566">
        <f t="shared" si="50"/>
        <v>6.0572553118202971E-3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INDMDPHBLPGE1</v>
      </c>
      <c r="D33" s="146" t="str">
        <f ca="1">+OFFSET(Processes!E14,$D$11,0)</f>
        <v>Machinery industry Heat Medium Temp. Boiler - Liquified Petroleum Gas Existing 1</v>
      </c>
      <c r="E33" s="149" t="str">
        <f>+Processes!O14</f>
        <v>INDLPG</v>
      </c>
      <c r="F33" s="172" t="str">
        <f ca="1">+OFFSET(Processes!$M$12,$D$11,0) &amp; Processes!P14</f>
        <v>IMDPH</v>
      </c>
      <c r="G33" s="322">
        <f t="shared" si="18"/>
        <v>34.150999999999996</v>
      </c>
      <c r="H33" s="322">
        <f t="shared" si="19"/>
        <v>1.8979999999999999</v>
      </c>
      <c r="I33" s="322">
        <f t="shared" si="20"/>
        <v>1.8979999999999999</v>
      </c>
      <c r="J33" s="322">
        <f t="shared" si="21"/>
        <v>21.145</v>
      </c>
      <c r="K33" s="322">
        <f t="shared" si="22"/>
        <v>1.1749999999999998</v>
      </c>
      <c r="L33" s="322">
        <f t="shared" si="23"/>
        <v>1.1749999999999998</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0.5794416114497748</v>
      </c>
      <c r="AH33" s="236">
        <f t="shared" si="9"/>
        <v>0.35556855930491016</v>
      </c>
      <c r="AI33" s="236" t="e">
        <f t="shared" si="10"/>
        <v>#REF!</v>
      </c>
      <c r="AJ33" s="285"/>
      <c r="AK33" s="290"/>
      <c r="AL33" s="559" t="s">
        <v>53</v>
      </c>
      <c r="AM33" s="560">
        <f>H77/1000</f>
        <v>0.60991075000000006</v>
      </c>
      <c r="AN33" s="561">
        <f t="shared" si="47"/>
        <v>0.54891967500000005</v>
      </c>
      <c r="AO33" s="562">
        <f t="shared" si="48"/>
        <v>3.0495537500000003E-2</v>
      </c>
      <c r="AP33" s="562">
        <f t="shared" si="49"/>
        <v>3.0495537500000003E-2</v>
      </c>
      <c r="AQ33" s="582">
        <f t="shared" si="28"/>
        <v>0.53795501298701309</v>
      </c>
      <c r="AR33" s="562">
        <f t="shared" si="29"/>
        <v>2.9897766233766238E-2</v>
      </c>
      <c r="AS33" s="563">
        <f t="shared" si="30"/>
        <v>2.9897766233766238E-2</v>
      </c>
      <c r="AT33" s="560">
        <f t="shared" si="50"/>
        <v>0.54893368672144194</v>
      </c>
      <c r="AU33" s="561">
        <f t="shared" si="50"/>
        <v>3.0507924728332896E-2</v>
      </c>
      <c r="AV33" s="566">
        <f t="shared" si="50"/>
        <v>3.0507924728332896E-2</v>
      </c>
      <c r="AW33" s="285"/>
      <c r="AX33" s="290"/>
      <c r="AY33" s="559" t="s">
        <v>53</v>
      </c>
      <c r="AZ33" s="560">
        <f>H97/1000</f>
        <v>0.37426949999999998</v>
      </c>
      <c r="BA33" s="561">
        <f>AZ33*$AN$23</f>
        <v>0.33684254999999996</v>
      </c>
      <c r="BB33" s="562">
        <f t="shared" si="51"/>
        <v>1.8713475E-2</v>
      </c>
      <c r="BC33" s="562">
        <f t="shared" si="52"/>
        <v>1.8713475E-2</v>
      </c>
      <c r="BD33" s="560">
        <f t="shared" si="33"/>
        <v>0.3301132277227723</v>
      </c>
      <c r="BE33" s="561">
        <f t="shared" si="34"/>
        <v>1.8343960396039603E-2</v>
      </c>
      <c r="BF33" s="566">
        <f t="shared" si="35"/>
        <v>1.8343960396039603E-2</v>
      </c>
      <c r="BG33" s="560">
        <f t="shared" si="15"/>
        <v>0.33685023237017581</v>
      </c>
      <c r="BH33" s="561">
        <f t="shared" si="16"/>
        <v>1.871832693473429E-2</v>
      </c>
      <c r="BI33" s="566">
        <f t="shared" si="17"/>
        <v>1.871832693473429E-2</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INDMDPHBWSTE1</v>
      </c>
      <c r="D34" s="146" t="str">
        <f ca="1">+OFFSET(Processes!E15,$D$11,0)</f>
        <v>Machinery industry Heat Medium Temp. Boiler - Waste Existing 1</v>
      </c>
      <c r="E34" s="149" t="str">
        <f>+Processes!O15</f>
        <v>INDWST</v>
      </c>
      <c r="F34" s="172" t="str">
        <f ca="1">+OFFSET(Processes!$M$12,$D$11,0) &amp; Processes!P15</f>
        <v>IMDPH</v>
      </c>
      <c r="G34" s="322">
        <f t="shared" si="18"/>
        <v>0.42599999999999999</v>
      </c>
      <c r="H34" s="322">
        <f t="shared" si="19"/>
        <v>2.4E-2</v>
      </c>
      <c r="I34" s="322">
        <f t="shared" si="20"/>
        <v>2.4E-2</v>
      </c>
      <c r="J34" s="322">
        <f t="shared" si="21"/>
        <v>5.3999999999999999E-2</v>
      </c>
      <c r="K34" s="322">
        <f t="shared" si="22"/>
        <v>3.0000000000000001E-3</v>
      </c>
      <c r="L34" s="322">
        <f t="shared" si="23"/>
        <v>3.0000000000000001E-3</v>
      </c>
      <c r="M34" s="322">
        <f t="shared" si="24"/>
        <v>67.518000000000001</v>
      </c>
      <c r="N34" s="322">
        <f t="shared" si="25"/>
        <v>3.7509999999999999</v>
      </c>
      <c r="O34" s="322">
        <f t="shared" si="26"/>
        <v>3.7509999999999999</v>
      </c>
      <c r="P34" s="322">
        <f t="shared" si="1"/>
        <v>67.518000000000001</v>
      </c>
      <c r="Q34" s="322">
        <f t="shared" si="2"/>
        <v>3.7509999999999999</v>
      </c>
      <c r="R34" s="322">
        <f t="shared" si="3"/>
        <v>3.7509999999999999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7.6138684087126637E-3</v>
      </c>
      <c r="AH34" s="236">
        <f t="shared" si="9"/>
        <v>9.5582946049707022E-4</v>
      </c>
      <c r="AI34" s="236">
        <f t="shared" si="10"/>
        <v>1.1951054354415036</v>
      </c>
      <c r="AJ34" s="285"/>
      <c r="AK34" s="290"/>
      <c r="AL34" s="559" t="s">
        <v>102</v>
      </c>
      <c r="AM34" s="560">
        <f>$L77/1000</f>
        <v>8.0000000000000002E-3</v>
      </c>
      <c r="AN34" s="561">
        <f t="shared" si="47"/>
        <v>7.2000000000000007E-3</v>
      </c>
      <c r="AO34" s="562">
        <f t="shared" ref="AO34" si="55">AM34*$AO$23</f>
        <v>4.0000000000000002E-4</v>
      </c>
      <c r="AP34" s="562">
        <f t="shared" si="49"/>
        <v>4.0000000000000002E-4</v>
      </c>
      <c r="AQ34" s="582">
        <f t="shared" si="28"/>
        <v>6.7104575424575428E-3</v>
      </c>
      <c r="AR34" s="562">
        <f t="shared" si="29"/>
        <v>3.7805394605394617E-4</v>
      </c>
      <c r="AS34" s="563">
        <f t="shared" si="30"/>
        <v>3.7805394605394617E-4</v>
      </c>
      <c r="AT34" s="560">
        <f t="shared" si="50"/>
        <v>7.2077954269146541E-3</v>
      </c>
      <c r="AU34" s="561">
        <f t="shared" si="50"/>
        <v>4.0607298179800878E-4</v>
      </c>
      <c r="AV34" s="566">
        <f t="shared" si="50"/>
        <v>4.0607298179800878E-4</v>
      </c>
      <c r="AW34" s="285"/>
      <c r="AX34" s="290"/>
      <c r="AY34" s="559" t="s">
        <v>102</v>
      </c>
      <c r="AZ34" s="560">
        <f>$L97/1000</f>
        <v>1E-3</v>
      </c>
      <c r="BA34" s="561">
        <f>AZ34*$AN$23</f>
        <v>9.0000000000000008E-4</v>
      </c>
      <c r="BB34" s="562">
        <f t="shared" si="51"/>
        <v>5.0000000000000002E-5</v>
      </c>
      <c r="BC34" s="562">
        <f t="shared" si="52"/>
        <v>5.0000000000000002E-5</v>
      </c>
      <c r="BD34" s="560">
        <f t="shared" si="33"/>
        <v>8.4304158415841586E-4</v>
      </c>
      <c r="BE34" s="561">
        <f t="shared" si="34"/>
        <v>4.6835643564356444E-5</v>
      </c>
      <c r="BF34" s="566">
        <f t="shared" si="35"/>
        <v>4.6835643564356444E-5</v>
      </c>
      <c r="BG34" s="560">
        <f t="shared" si="15"/>
        <v>9.0552264678669806E-4</v>
      </c>
      <c r="BH34" s="561">
        <f t="shared" si="16"/>
        <v>5.0306813710372123E-5</v>
      </c>
      <c r="BI34" s="566">
        <f t="shared" si="17"/>
        <v>5.0306813710372123E-5</v>
      </c>
      <c r="BJ34" s="285"/>
      <c r="BK34" s="290"/>
      <c r="BL34" s="559" t="s">
        <v>102</v>
      </c>
      <c r="BM34" s="560">
        <f>$L117/1000</f>
        <v>1.258</v>
      </c>
      <c r="BN34" s="561">
        <f>BM34*$AN$23</f>
        <v>1.1322000000000001</v>
      </c>
      <c r="BO34" s="562">
        <f t="shared" si="53"/>
        <v>6.2899999999999998E-2</v>
      </c>
      <c r="BP34" s="562">
        <f t="shared" si="54"/>
        <v>6.2899999999999998E-2</v>
      </c>
      <c r="BQ34" s="560">
        <f t="shared" si="38"/>
        <v>1.0540829940594061</v>
      </c>
      <c r="BR34" s="561">
        <f t="shared" si="39"/>
        <v>5.8560166336633662E-2</v>
      </c>
      <c r="BS34" s="566">
        <f t="shared" si="40"/>
        <v>5.8560166336633662E-2</v>
      </c>
      <c r="BT34" s="560">
        <f t="shared" si="41"/>
        <v>1.1322051493656349</v>
      </c>
      <c r="BU34" s="561">
        <f t="shared" si="42"/>
        <v>6.2900286075868603E-2</v>
      </c>
      <c r="BV34" s="566">
        <f t="shared" si="43"/>
        <v>6.2900286075868603E-2</v>
      </c>
      <c r="BW34" s="285"/>
      <c r="BX34" s="285"/>
      <c r="BY34" s="285"/>
    </row>
    <row r="35" spans="3:77" ht="12.75" customHeight="1">
      <c r="C35" s="173" t="str">
        <f ca="1">+IF(OFFSET(Processes!B16,$D$11,0)="*","*",OFFSET(Processes!D16,$D$11,0))</f>
        <v>INDMDPHBHETE1</v>
      </c>
      <c r="D35" s="146" t="str">
        <f ca="1">+OFFSET(Processes!E16,$D$11,0)</f>
        <v>Machinery industry Heat Medium Temp. Boiler - Dist. Heat Existing 1</v>
      </c>
      <c r="E35" s="149" t="str">
        <f>+Processes!O16</f>
        <v>INDHCE</v>
      </c>
      <c r="F35" s="172" t="str">
        <f ca="1">+OFFSET(Processes!$M$12,$D$11,0) &amp; Processes!P16</f>
        <v>IMDPH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INDMDPHBHETE2</v>
      </c>
      <c r="D36" s="146" t="str">
        <f ca="1">+OFFSET(Processes!E17,$D$11,0)</f>
        <v>Machinery industry Heat Medium Temp. Boiler - Dist. Heat Existing 2</v>
      </c>
      <c r="E36" s="149" t="str">
        <f>+Processes!O17</f>
        <v>INDHDE</v>
      </c>
      <c r="F36" s="172" t="str">
        <f ca="1">+OFFSET(Processes!$M$12,$D$11,0) &amp; Processes!P17</f>
        <v>IMDPH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INDMDPHBELCE1</v>
      </c>
      <c r="D37" s="148" t="str">
        <f ca="1">+OFFSET(Processes!E18,$D$11,0)</f>
        <v>Machinery industry Heat Medium Temp. Boiler - Electricity Existing 1</v>
      </c>
      <c r="E37" s="174" t="str">
        <f>+Processes!O18</f>
        <v>INDELC</v>
      </c>
      <c r="F37" s="174" t="str">
        <f ca="1">+OFFSET(Processes!$M$12,$D$11,0) &amp; Processes!P18</f>
        <v>IMDPH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INDMDCOBNGAE1</v>
      </c>
      <c r="D38" s="173" t="str">
        <f ca="1">+OFFSET(Processes!E19,$D$11,0)</f>
        <v>Machinery industry Heat High Temp. Boiler - Nat. Gas Existing 1</v>
      </c>
      <c r="E38" s="172" t="str">
        <f>+Processes!O19</f>
        <v>INDSNG1,INDSNG2,INDNGA</v>
      </c>
      <c r="F38" s="172" t="str">
        <f ca="1">+OFFSET(Processes!$M$12,$D$11,0) &amp; Processes!P19</f>
        <v>IMDCO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IMDCO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IMDCO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IMDCO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INDMDCOBCOAE1</v>
      </c>
      <c r="D39" s="173" t="str">
        <f ca="1">+OFFSET(Processes!E20,$D$11,0)</f>
        <v>Machinery industry Heat High Temp. Boiler - Coal Existing 1</v>
      </c>
      <c r="E39" s="172" t="str">
        <f>+Processes!O20</f>
        <v>INDCOA</v>
      </c>
      <c r="F39" s="172" t="str">
        <f ca="1">+OFFSET(Processes!$M$12,$D$11,0) &amp; Processes!P20</f>
        <v>IMDCO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INDMDCOBDSLE1</v>
      </c>
      <c r="D40" s="173" t="str">
        <f ca="1">+OFFSET(Processes!E21,$D$11,0)</f>
        <v>Machinery industry Heat High Temp. Boiler - Diesel Existing 1</v>
      </c>
      <c r="E40" s="172" t="str">
        <f>+Processes!O21</f>
        <v>INDDSB1,INDDSB2,INDDSL</v>
      </c>
      <c r="F40" s="172" t="str">
        <f ca="1">+OFFSET(Processes!$M$12,$D$11,0) &amp; Processes!P21</f>
        <v>IMDCO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INDMDCOBWPEE1</v>
      </c>
      <c r="D41" s="173" t="str">
        <f ca="1">+OFFSET(Processes!E22,$D$11,0)</f>
        <v>Machinery industry Heat High Temp. Boiler - Wood Pellets Existing 1</v>
      </c>
      <c r="E41" s="172" t="str">
        <f>+Processes!O22</f>
        <v>INDWPE</v>
      </c>
      <c r="F41" s="172" t="str">
        <f ca="1">+OFFSET(Processes!$M$12,$D$11,0) &amp; Processes!P22</f>
        <v>IMDCO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INDMDCOBHFOE1</v>
      </c>
      <c r="D43" s="173" t="str">
        <f ca="1">+OFFSET(Processes!E24,$D$11,0)</f>
        <v>Machinery industry Heat High Temp. Boiler - Heavy Fuel Oil Existing 1</v>
      </c>
      <c r="E43" s="172" t="str">
        <f>+Processes!O24</f>
        <v>INDHFO</v>
      </c>
      <c r="F43" s="172" t="str">
        <f ca="1">+OFFSET(Processes!$M$12,$D$11,0) &amp; Processes!P24</f>
        <v>IMDCO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INDMDCOBLPGE1</v>
      </c>
      <c r="D44" s="173" t="str">
        <f ca="1">+OFFSET(Processes!E25,$D$11,0)</f>
        <v>Machinery industry Heat High Temp. Boiler - Liquified Petroleum Gas Existing 1</v>
      </c>
      <c r="E44" s="172" t="str">
        <f>+Processes!O25</f>
        <v>INDLPG</v>
      </c>
      <c r="F44" s="172" t="str">
        <f ca="1">+OFFSET(Processes!$M$12,$D$11,0) &amp; Processes!P25</f>
        <v>IMDCO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INDMDCOBWSTE1</v>
      </c>
      <c r="D45" s="173" t="str">
        <f ca="1">+OFFSET(Processes!E26,$D$11,0)</f>
        <v>Machinery industry Heat High Temp. Boiler - Waste Existing 1</v>
      </c>
      <c r="E45" s="172" t="str">
        <f>+Processes!O26</f>
        <v>INDWST</v>
      </c>
      <c r="F45" s="172" t="str">
        <f ca="1">+OFFSET(Processes!$M$12,$D$11,0) &amp; Processes!P26</f>
        <v>IMDCO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INDMDCOBELCE1</v>
      </c>
      <c r="D46" s="148" t="str">
        <f ca="1">+OFFSET(Processes!E27,$D$11,0)</f>
        <v>Machinery industry Heat High Temp. Boiler - Electricity Existing 1</v>
      </c>
      <c r="E46" s="174" t="str">
        <f>+Processes!O27</f>
        <v>INDELC</v>
      </c>
      <c r="F46" s="174" t="str">
        <f ca="1">+OFFSET(Processes!$M$12,$D$11,0) &amp; Processes!P27</f>
        <v>IMDCO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INDMDSHBNGAE1</v>
      </c>
      <c r="D47" s="146" t="str">
        <f ca="1">+OFFSET(Processes!E28,$D$11,0)</f>
        <v>Machinery industry Heat Room Boiler - Nat. Gas Existing 1</v>
      </c>
      <c r="E47" s="149" t="str">
        <f>+Processes!O28</f>
        <v>INDSNG1,INDSNG2,INDNGA</v>
      </c>
      <c r="F47" s="149" t="str">
        <f ca="1">+OFFSET(Processes!$M$12,$D$11,0) &amp; Processes!P28</f>
        <v>IMDSH</v>
      </c>
      <c r="G47" s="322">
        <f t="shared" si="18"/>
        <v>427.94799999999998</v>
      </c>
      <c r="H47" s="322">
        <f t="shared" si="19"/>
        <v>23.775000000000002</v>
      </c>
      <c r="I47" s="322">
        <f t="shared" si="20"/>
        <v>23.775000000000002</v>
      </c>
      <c r="J47" s="322">
        <f t="shared" si="21"/>
        <v>410.13499999999999</v>
      </c>
      <c r="K47" s="322">
        <f t="shared" si="22"/>
        <v>22.786000000000001</v>
      </c>
      <c r="L47" s="322">
        <f t="shared" si="23"/>
        <v>22.786000000000001</v>
      </c>
      <c r="M47" s="322">
        <f t="shared" si="24"/>
        <v>2.1069999999999998</v>
      </c>
      <c r="N47" s="322">
        <f t="shared" si="25"/>
        <v>0.11800000000000001</v>
      </c>
      <c r="O47" s="322">
        <f t="shared" si="26"/>
        <v>0.11800000000000001</v>
      </c>
      <c r="P47" s="322">
        <f t="shared" si="1"/>
        <v>2.1069999999999998</v>
      </c>
      <c r="Q47" s="322">
        <f t="shared" si="2"/>
        <v>0.11800000000000001</v>
      </c>
      <c r="R47" s="322">
        <f t="shared" si="3"/>
        <v>0.11800000000000001</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7.1156526113886125</v>
      </c>
      <c r="AH47" s="236">
        <f t="shared" si="71"/>
        <v>6.7587112158415845</v>
      </c>
      <c r="AI47" s="236">
        <f t="shared" si="72"/>
        <v>3.4736435643564358E-2</v>
      </c>
      <c r="AJ47" s="285"/>
      <c r="AK47" s="530" t="str">
        <f ca="1">F47</f>
        <v>IMDSH</v>
      </c>
      <c r="AL47" s="571" t="s">
        <v>97</v>
      </c>
      <c r="AM47" s="572">
        <f>I82/1000</f>
        <v>7.4901571000000002</v>
      </c>
      <c r="AN47" s="574">
        <f t="shared" si="73"/>
        <v>6.7411413900000001</v>
      </c>
      <c r="AO47" s="562">
        <f>AM47*$AO$23</f>
        <v>0.37450785500000006</v>
      </c>
      <c r="AP47" s="562">
        <f>AM47*$AP$23</f>
        <v>0.37450785500000006</v>
      </c>
      <c r="AQ47" s="582">
        <f t="shared" si="28"/>
        <v>6.7411429210789215</v>
      </c>
      <c r="AR47" s="562">
        <f t="shared" si="29"/>
        <v>0.37450969030969039</v>
      </c>
      <c r="AS47" s="563">
        <f t="shared" si="30"/>
        <v>0.37450969030969039</v>
      </c>
      <c r="AT47" s="572">
        <f t="shared" si="74"/>
        <v>6.7411429210789215</v>
      </c>
      <c r="AU47" s="574">
        <f t="shared" si="74"/>
        <v>0.37450969030969039</v>
      </c>
      <c r="AV47" s="575">
        <f t="shared" si="74"/>
        <v>0.37450969030969039</v>
      </c>
      <c r="AW47" s="285"/>
      <c r="AX47" s="530" t="str">
        <f t="shared" ca="1" si="12"/>
        <v>IMDSH</v>
      </c>
      <c r="AY47" s="571" t="s">
        <v>97</v>
      </c>
      <c r="AZ47" s="572">
        <f>I102/1000</f>
        <v>7.1144100000000003</v>
      </c>
      <c r="BA47" s="574">
        <f t="shared" si="75"/>
        <v>6.4029690000000006</v>
      </c>
      <c r="BB47" s="562">
        <f t="shared" si="60"/>
        <v>0.35572050000000005</v>
      </c>
      <c r="BC47" s="562">
        <f t="shared" si="61"/>
        <v>0.35572050000000005</v>
      </c>
      <c r="BD47" s="572">
        <f t="shared" si="33"/>
        <v>6.4029788910891092</v>
      </c>
      <c r="BE47" s="574">
        <f t="shared" si="34"/>
        <v>0.35573232475247524</v>
      </c>
      <c r="BF47" s="575">
        <f t="shared" si="35"/>
        <v>0.35573232475247524</v>
      </c>
      <c r="BG47" s="572">
        <f t="shared" si="62"/>
        <v>6.4029788910891092</v>
      </c>
      <c r="BH47" s="574">
        <f t="shared" si="63"/>
        <v>0.35573232475247524</v>
      </c>
      <c r="BI47" s="575">
        <f t="shared" si="64"/>
        <v>0.35573232475247524</v>
      </c>
      <c r="BJ47" s="285"/>
      <c r="BK47" s="530" t="str">
        <f ca="1">AK47</f>
        <v>IMDSH</v>
      </c>
      <c r="BL47" s="571" t="s">
        <v>97</v>
      </c>
      <c r="BM47" s="572">
        <f>I122/1000</f>
        <v>3.6539999999999996E-2</v>
      </c>
      <c r="BN47" s="574">
        <f t="shared" si="76"/>
        <v>3.2885999999999999E-2</v>
      </c>
      <c r="BO47" s="562">
        <f t="shared" si="53"/>
        <v>1.8269999999999998E-3</v>
      </c>
      <c r="BP47" s="562">
        <f t="shared" si="54"/>
        <v>1.8269999999999998E-3</v>
      </c>
      <c r="BQ47" s="572">
        <f t="shared" si="38"/>
        <v>3.2894233663366336E-2</v>
      </c>
      <c r="BR47" s="574">
        <f t="shared" si="39"/>
        <v>1.8422019801980199E-3</v>
      </c>
      <c r="BS47" s="575">
        <f t="shared" si="40"/>
        <v>1.8422019801980199E-3</v>
      </c>
      <c r="BT47" s="572">
        <f t="shared" si="65"/>
        <v>3.2894233663366336E-2</v>
      </c>
      <c r="BU47" s="574">
        <f t="shared" si="66"/>
        <v>1.8422019801980199E-3</v>
      </c>
      <c r="BV47" s="575">
        <f t="shared" si="67"/>
        <v>1.8422019801980199E-3</v>
      </c>
      <c r="BW47" s="285"/>
      <c r="BX47" s="285"/>
      <c r="BY47" s="285"/>
    </row>
    <row r="48" spans="3:77" ht="12.75" customHeight="1">
      <c r="C48" s="173" t="str">
        <f ca="1">+IF(OFFSET(Processes!B29,$D$11,0)="*","*",OFFSET(Processes!D29,$D$11,0))</f>
        <v>INDMDSHBCOAE1</v>
      </c>
      <c r="D48" s="146" t="str">
        <f ca="1">+OFFSET(Processes!E29,$D$11,0)</f>
        <v>Machinery industry Heat Room Boiler - Coal Existing 1</v>
      </c>
      <c r="E48" s="149" t="str">
        <f>+Processes!O29</f>
        <v>INDCOA</v>
      </c>
      <c r="F48" s="149" t="str">
        <f ca="1">+OFFSET(Processes!$M$12,$D$11,0) &amp; Processes!P29</f>
        <v>IMDSH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INDMDSHBDSLE1</v>
      </c>
      <c r="D49" s="146" t="str">
        <f ca="1">+OFFSET(Processes!E30,$D$11,0)</f>
        <v>Machinery industry Heat Room Boiler - Diesel Existing 1</v>
      </c>
      <c r="E49" s="149" t="str">
        <f>+Processes!O30</f>
        <v>INDDSB1,INDDSB2,INDDSL</v>
      </c>
      <c r="F49" s="149" t="str">
        <f ca="1">+OFFSET(Processes!$M$12,$D$11,0) &amp; Processes!P30</f>
        <v>IMDSH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INDMDSHBWPEE1</v>
      </c>
      <c r="D50" s="146" t="str">
        <f ca="1">+OFFSET(Processes!E31,$D$11,0)</f>
        <v>Machinery industry Heat Room Boiler - Wood Pellets Existing 1</v>
      </c>
      <c r="E50" s="149" t="str">
        <f>+Processes!O31</f>
        <v>INDWPE</v>
      </c>
      <c r="F50" s="149" t="str">
        <f ca="1">+OFFSET(Processes!$M$12,$D$11,0) &amp; Processes!P31</f>
        <v>IMDSH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INDMDSHBBGAE1</v>
      </c>
      <c r="D52" s="146" t="str">
        <f ca="1">+OFFSET(Processes!E33,$D$11,0)</f>
        <v>Machinery industry Heat Room Boiler - Biogas Existing 1</v>
      </c>
      <c r="E52" s="149" t="str">
        <f>+Processes!O33</f>
        <v>INDBGA</v>
      </c>
      <c r="F52" s="149" t="str">
        <f ca="1">+OFFSET(Processes!$M$12,$D$11,0) &amp; Processes!P33</f>
        <v>IMDSH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INDMDSHBHFOE1</v>
      </c>
      <c r="D53" s="146" t="str">
        <f ca="1">+OFFSET(Processes!E34,$D$11,0)</f>
        <v>Machinery industry Heat Room Boiler - Heavy Fuel Oil Existing 1</v>
      </c>
      <c r="E53" s="149" t="str">
        <f>+Processes!O34</f>
        <v>INDHFO</v>
      </c>
      <c r="F53" s="149" t="str">
        <f ca="1">+OFFSET(Processes!$M$12,$D$11,0) &amp; Processes!P34</f>
        <v>IMDSH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INDMDSHBLPGE1</v>
      </c>
      <c r="D54" s="146" t="str">
        <f ca="1">+OFFSET(Processes!E35,$D$11,0)</f>
        <v>Machinery industry Heat Room Boiler - Liquified Petroleum Gas Existing 1</v>
      </c>
      <c r="E54" s="149" t="str">
        <f>+Processes!O35</f>
        <v>INDLPG</v>
      </c>
      <c r="F54" s="149" t="str">
        <f ca="1">+OFFSET(Processes!$M$12,$D$11,0) &amp; Processes!P35</f>
        <v>IMDSH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INDMDSHBWSTE1</v>
      </c>
      <c r="D55" s="146" t="str">
        <f ca="1">+OFFSET(Processes!E36,$D$11,0)</f>
        <v>Machinery industry Heat Room Boiler - Waste Existing 1</v>
      </c>
      <c r="E55" s="149" t="str">
        <f>+Processes!O36</f>
        <v>INDWST</v>
      </c>
      <c r="F55" s="149" t="str">
        <f ca="1">+OFFSET(Processes!$M$12,$D$11,0) &amp; Processes!P36</f>
        <v>IMDSH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INDMDSHBHETE1</v>
      </c>
      <c r="D56" s="146" t="str">
        <f ca="1">+OFFSET(Processes!E37,$D$11,0)</f>
        <v>Machinery industry Heat Room Boiler - Dist. Heat Existing 1</v>
      </c>
      <c r="E56" s="149" t="str">
        <f>+Processes!O37</f>
        <v>INDHCE</v>
      </c>
      <c r="F56" s="149" t="str">
        <f ca="1">+OFFSET(Processes!$M$12,$D$11,0) &amp; Processes!P37</f>
        <v>IMDSH</v>
      </c>
      <c r="G56" s="321">
        <f t="shared" si="18"/>
        <v>800.55700000000002</v>
      </c>
      <c r="H56" s="321">
        <f t="shared" si="19"/>
        <v>0</v>
      </c>
      <c r="I56" s="321">
        <f t="shared" si="20"/>
        <v>0</v>
      </c>
      <c r="J56" s="321">
        <f t="shared" si="21"/>
        <v>610.55099999999993</v>
      </c>
      <c r="K56" s="321">
        <f t="shared" si="22"/>
        <v>0</v>
      </c>
      <c r="L56" s="321">
        <f t="shared" si="23"/>
        <v>0</v>
      </c>
      <c r="M56" s="321">
        <f t="shared" si="24"/>
        <v>7290.3739999999998</v>
      </c>
      <c r="N56" s="321">
        <f t="shared" si="25"/>
        <v>0</v>
      </c>
      <c r="O56" s="321">
        <f t="shared" si="26"/>
        <v>0</v>
      </c>
      <c r="P56" s="321">
        <f t="shared" si="1"/>
        <v>7290.3739999999998</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13.136012712287714</v>
      </c>
      <c r="AH56" s="236">
        <f t="shared" si="83"/>
        <v>9.929010074257425</v>
      </c>
      <c r="AI56" s="236">
        <f t="shared" si="84"/>
        <v>118.5588049009901</v>
      </c>
      <c r="AJ56" s="285"/>
      <c r="AK56" s="356"/>
      <c r="AL56" s="559" t="s">
        <v>103</v>
      </c>
      <c r="AM56" s="560">
        <f>N82/1000</f>
        <v>13.135999999999999</v>
      </c>
      <c r="AN56" s="613">
        <f>AM56</f>
        <v>13.135999999999999</v>
      </c>
      <c r="AO56" s="614">
        <v>0</v>
      </c>
      <c r="AP56" s="614">
        <v>0</v>
      </c>
      <c r="AQ56" s="582">
        <f t="shared" si="28"/>
        <v>12.610572203796206</v>
      </c>
      <c r="AR56" s="562">
        <f t="shared" si="29"/>
        <v>0</v>
      </c>
      <c r="AS56" s="563">
        <f t="shared" si="30"/>
        <v>0</v>
      </c>
      <c r="AT56" s="560">
        <f t="shared" si="85"/>
        <v>13.136012712287716</v>
      </c>
      <c r="AU56" s="561">
        <f t="shared" si="85"/>
        <v>0</v>
      </c>
      <c r="AV56" s="566">
        <f t="shared" si="85"/>
        <v>0</v>
      </c>
      <c r="AW56" s="285"/>
      <c r="AX56" s="356"/>
      <c r="AY56" s="559" t="s">
        <v>103</v>
      </c>
      <c r="AZ56" s="560">
        <f>N102/1000</f>
        <v>9.9290000000000003</v>
      </c>
      <c r="BA56" s="613">
        <f>AZ56</f>
        <v>9.9290000000000003</v>
      </c>
      <c r="BB56" s="614">
        <v>0</v>
      </c>
      <c r="BC56" s="614">
        <v>0</v>
      </c>
      <c r="BD56" s="560">
        <f t="shared" si="33"/>
        <v>9.5318496712871283</v>
      </c>
      <c r="BE56" s="561">
        <f t="shared" si="34"/>
        <v>0</v>
      </c>
      <c r="BF56" s="566">
        <f t="shared" si="35"/>
        <v>0</v>
      </c>
      <c r="BG56" s="560">
        <f t="shared" si="62"/>
        <v>9.929010074257425</v>
      </c>
      <c r="BH56" s="561">
        <f t="shared" si="63"/>
        <v>0</v>
      </c>
      <c r="BI56" s="566">
        <f t="shared" si="64"/>
        <v>0</v>
      </c>
      <c r="BJ56" s="285"/>
      <c r="BK56" s="356"/>
      <c r="BL56" s="559" t="s">
        <v>103</v>
      </c>
      <c r="BM56" s="560">
        <f>N122/1000</f>
        <v>118.55880000000001</v>
      </c>
      <c r="BN56" s="613">
        <f>BM56</f>
        <v>118.55880000000001</v>
      </c>
      <c r="BO56" s="614">
        <v>0</v>
      </c>
      <c r="BP56" s="614">
        <v>0</v>
      </c>
      <c r="BQ56" s="560">
        <f t="shared" si="38"/>
        <v>113.81645270495049</v>
      </c>
      <c r="BR56" s="561">
        <f t="shared" si="39"/>
        <v>0</v>
      </c>
      <c r="BS56" s="566">
        <f t="shared" si="40"/>
        <v>0</v>
      </c>
      <c r="BT56" s="560">
        <f t="shared" si="65"/>
        <v>118.5588049009901</v>
      </c>
      <c r="BU56" s="561">
        <f t="shared" si="66"/>
        <v>0</v>
      </c>
      <c r="BV56" s="566">
        <f t="shared" si="67"/>
        <v>0</v>
      </c>
      <c r="BW56" s="285"/>
      <c r="BX56" s="285"/>
      <c r="BY56" s="285"/>
    </row>
    <row r="57" spans="3:77" ht="12.75" customHeight="1">
      <c r="C57" s="173" t="str">
        <f ca="1">+IF(OFFSET(Processes!B38,$D$11,0)="*","*",OFFSET(Processes!D38,$D$11,0))</f>
        <v>INDMDSHBHETE2</v>
      </c>
      <c r="D57" s="146" t="str">
        <f ca="1">+OFFSET(Processes!E38,$D$11,0)</f>
        <v>Machinery industry Heat Room Boiler - Dist. Heat Existing 2</v>
      </c>
      <c r="E57" s="149" t="str">
        <f>+Processes!O38</f>
        <v>INDHDE</v>
      </c>
      <c r="F57" s="149" t="str">
        <f ca="1">+OFFSET(Processes!$M$12,$D$11,0) &amp; Processes!P38</f>
        <v>IMDSH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INDMDSHBELCE1</v>
      </c>
      <c r="D58" s="148" t="str">
        <f ca="1">+OFFSET(Processes!E39,$D$11,0)</f>
        <v>Machinery industry Heat Room Boiler - Electricity Existing 1</v>
      </c>
      <c r="E58" s="172" t="str">
        <f>+Processes!O39</f>
        <v>INDELC</v>
      </c>
      <c r="F58" s="174" t="str">
        <f ca="1">+OFFSET(Processes!$M$12,$D$11,0) &amp; Processes!P39</f>
        <v>IMDSH</v>
      </c>
      <c r="G58" s="324">
        <f t="shared" si="18"/>
        <v>257.226</v>
      </c>
      <c r="H58" s="324">
        <f t="shared" si="19"/>
        <v>14.290999999999999</v>
      </c>
      <c r="I58" s="324">
        <f t="shared" si="20"/>
        <v>14.290999999999999</v>
      </c>
      <c r="J58" s="324">
        <f t="shared" si="21"/>
        <v>263.56899999999996</v>
      </c>
      <c r="K58" s="324">
        <f t="shared" si="22"/>
        <v>14.642999999999999</v>
      </c>
      <c r="L58" s="324">
        <f t="shared" si="23"/>
        <v>14.642999999999999</v>
      </c>
      <c r="M58" s="324">
        <f t="shared" si="24"/>
        <v>1.7109999999999999</v>
      </c>
      <c r="N58" s="324">
        <f t="shared" si="25"/>
        <v>9.6000000000000002E-2</v>
      </c>
      <c r="O58" s="324">
        <f t="shared" si="26"/>
        <v>9.6000000000000002E-2</v>
      </c>
      <c r="P58" s="324">
        <f t="shared" si="1"/>
        <v>1.7109999999999999</v>
      </c>
      <c r="Q58" s="324">
        <f t="shared" si="2"/>
        <v>9.6000000000000002E-2</v>
      </c>
      <c r="R58" s="324">
        <f t="shared" si="3"/>
        <v>9.6000000000000002E-2</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4.5021084767863719</v>
      </c>
      <c r="AH58" s="236">
        <f t="shared" si="83"/>
        <v>4.5720133569567487</v>
      </c>
      <c r="AI58" s="236">
        <f t="shared" si="84"/>
        <v>2.969544137571652E-2</v>
      </c>
      <c r="AJ58" s="285"/>
      <c r="AK58" s="355"/>
      <c r="AL58" s="567" t="s">
        <v>61</v>
      </c>
      <c r="AM58" s="560">
        <f>M82/1000</f>
        <v>4.7390400000000001</v>
      </c>
      <c r="AN58" s="561">
        <f t="shared" si="77"/>
        <v>4.265136</v>
      </c>
      <c r="AO58" s="562">
        <f t="shared" si="78"/>
        <v>0.23695200000000002</v>
      </c>
      <c r="AP58" s="562">
        <f t="shared" si="79"/>
        <v>0.23695200000000002</v>
      </c>
      <c r="AQ58" s="582">
        <f t="shared" si="28"/>
        <v>4.0518876803196813</v>
      </c>
      <c r="AR58" s="562">
        <f t="shared" si="29"/>
        <v>0.22511537262737263</v>
      </c>
      <c r="AS58" s="563">
        <f t="shared" si="30"/>
        <v>0.22511537262737263</v>
      </c>
      <c r="AT58" s="560">
        <f t="shared" ref="AT58:AV62" si="87">IFERROR(AQ58/W58,0)</f>
        <v>4.2651449266522965</v>
      </c>
      <c r="AU58" s="561">
        <f t="shared" si="87"/>
        <v>0.23696355013407647</v>
      </c>
      <c r="AV58" s="566">
        <f t="shared" si="87"/>
        <v>0.23696355013407647</v>
      </c>
      <c r="AW58" s="285"/>
      <c r="AX58" s="355"/>
      <c r="AY58" s="567" t="s">
        <v>61</v>
      </c>
      <c r="AZ58" s="560">
        <f>M102/1000</f>
        <v>4.8126240000000005</v>
      </c>
      <c r="BA58" s="561">
        <f>AZ58*$AN$23</f>
        <v>4.3313616000000001</v>
      </c>
      <c r="BB58" s="562">
        <f t="shared" si="60"/>
        <v>0.24063120000000005</v>
      </c>
      <c r="BC58" s="562">
        <f t="shared" si="61"/>
        <v>0.24063120000000005</v>
      </c>
      <c r="BD58" s="560">
        <f t="shared" si="33"/>
        <v>4.1148079128712869</v>
      </c>
      <c r="BE58" s="561">
        <f t="shared" si="34"/>
        <v>0.22860477623762376</v>
      </c>
      <c r="BF58" s="566">
        <f t="shared" si="35"/>
        <v>0.22860477623762376</v>
      </c>
      <c r="BG58" s="560">
        <f t="shared" ref="BG58:BI62" si="88">IFERROR(BD58/W58,0)</f>
        <v>4.3313767503908283</v>
      </c>
      <c r="BH58" s="561">
        <f t="shared" si="88"/>
        <v>0.24063660656591976</v>
      </c>
      <c r="BI58" s="566">
        <f t="shared" si="88"/>
        <v>0.24063660656591976</v>
      </c>
      <c r="BJ58" s="285"/>
      <c r="BK58" s="355"/>
      <c r="BL58" s="567" t="s">
        <v>61</v>
      </c>
      <c r="BM58" s="560">
        <f>M122/1000</f>
        <v>3.124E-2</v>
      </c>
      <c r="BN58" s="561">
        <f>BM58*$AN$23</f>
        <v>2.8116000000000002E-2</v>
      </c>
      <c r="BO58" s="562">
        <f t="shared" si="53"/>
        <v>1.562E-3</v>
      </c>
      <c r="BP58" s="562">
        <f t="shared" si="54"/>
        <v>1.562E-3</v>
      </c>
      <c r="BQ58" s="560">
        <f t="shared" si="38"/>
        <v>2.6711928712871286E-2</v>
      </c>
      <c r="BR58" s="561">
        <f t="shared" si="39"/>
        <v>1.4987405940594062E-3</v>
      </c>
      <c r="BS58" s="566">
        <f t="shared" si="40"/>
        <v>1.4987405940594062E-3</v>
      </c>
      <c r="BT58" s="560">
        <f t="shared" ref="BT58:BV62" si="89">IFERROR(BQ58/W58,0)</f>
        <v>2.8117819697759248E-2</v>
      </c>
      <c r="BU58" s="561">
        <f t="shared" si="89"/>
        <v>1.5776216779572697E-3</v>
      </c>
      <c r="BV58" s="566">
        <f t="shared" si="89"/>
        <v>1.5776216779572697E-3</v>
      </c>
      <c r="BW58" s="285"/>
      <c r="BX58" s="285"/>
      <c r="BY58" s="285"/>
    </row>
    <row r="59" spans="3:77" ht="12.75" customHeight="1">
      <c r="C59" s="175" t="str">
        <f ca="1">+IF(OFFSET(Processes!B40,$D$11,0)="*","*",OFFSET(Processes!D40,$D$11,0))</f>
        <v>INDMDLAAELCE1</v>
      </c>
      <c r="D59" s="146" t="str">
        <f ca="1">+OFFSET(Processes!E40,$D$11,0)</f>
        <v>Machinery industry Electricity Light Appliance - Electricity Existing 1</v>
      </c>
      <c r="E59" s="176" t="str">
        <f>+Processes!O40</f>
        <v>INDELC</v>
      </c>
      <c r="F59" s="149" t="str">
        <f ca="1">+OFFSET(Processes!$M$12,$D$11,0) &amp; Processes!P40</f>
        <v>IMDLA</v>
      </c>
      <c r="G59" s="323">
        <f t="shared" si="18"/>
        <v>1015.364</v>
      </c>
      <c r="H59" s="323">
        <f t="shared" si="19"/>
        <v>56.41</v>
      </c>
      <c r="I59" s="323">
        <f t="shared" si="20"/>
        <v>56.41</v>
      </c>
      <c r="J59" s="323">
        <f t="shared" si="21"/>
        <v>1040.4010000000001</v>
      </c>
      <c r="K59" s="323">
        <f t="shared" si="22"/>
        <v>57.800999999999995</v>
      </c>
      <c r="L59" s="323">
        <f t="shared" si="23"/>
        <v>57.800999999999995</v>
      </c>
      <c r="M59" s="323">
        <f t="shared" si="24"/>
        <v>6.7540000000000004</v>
      </c>
      <c r="N59" s="323">
        <f t="shared" si="25"/>
        <v>0.376</v>
      </c>
      <c r="O59" s="323">
        <f t="shared" si="26"/>
        <v>0.376</v>
      </c>
      <c r="P59" s="323">
        <f t="shared" si="1"/>
        <v>6.7540000000000004</v>
      </c>
      <c r="Q59" s="323">
        <f t="shared" si="2"/>
        <v>0.376</v>
      </c>
      <c r="R59" s="323">
        <f t="shared" si="3"/>
        <v>0.376</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16.882849582417585</v>
      </c>
      <c r="AH59" s="236">
        <f t="shared" si="83"/>
        <v>17.144999144554458</v>
      </c>
      <c r="AI59" s="236">
        <f t="shared" si="84"/>
        <v>0.11131271287128713</v>
      </c>
      <c r="AJ59" s="285"/>
      <c r="AK59" s="531" t="str">
        <f ca="1">F59</f>
        <v>IMDLA</v>
      </c>
      <c r="AL59" s="578" t="s">
        <v>61</v>
      </c>
      <c r="AM59" s="579">
        <f>M80/1000</f>
        <v>17.771399999999996</v>
      </c>
      <c r="AN59" s="580">
        <f t="shared" si="77"/>
        <v>15.994259999999997</v>
      </c>
      <c r="AO59" s="583">
        <f t="shared" si="78"/>
        <v>0.88856999999999986</v>
      </c>
      <c r="AP59" s="583">
        <f t="shared" si="79"/>
        <v>0.88856999999999986</v>
      </c>
      <c r="AQ59" s="584">
        <f t="shared" si="28"/>
        <v>15.99426528671329</v>
      </c>
      <c r="AR59" s="583">
        <f t="shared" si="29"/>
        <v>0.88858429570429587</v>
      </c>
      <c r="AS59" s="585">
        <f t="shared" si="30"/>
        <v>0.88858429570429587</v>
      </c>
      <c r="AT59" s="579">
        <f t="shared" si="87"/>
        <v>15.99426528671329</v>
      </c>
      <c r="AU59" s="580">
        <f t="shared" si="87"/>
        <v>0.88858429570429587</v>
      </c>
      <c r="AV59" s="581">
        <f t="shared" si="87"/>
        <v>0.88858429570429587</v>
      </c>
      <c r="AW59" s="285"/>
      <c r="AX59" s="531" t="str">
        <f t="shared" ca="1" si="12"/>
        <v>IMDLA</v>
      </c>
      <c r="AY59" s="578" t="s">
        <v>61</v>
      </c>
      <c r="AZ59" s="579">
        <f>M100/1000</f>
        <v>18.047339999999998</v>
      </c>
      <c r="BA59" s="580">
        <f>AZ59*$AN$23</f>
        <v>16.242605999999999</v>
      </c>
      <c r="BB59" s="583">
        <f t="shared" si="60"/>
        <v>0.90236699999999992</v>
      </c>
      <c r="BC59" s="583">
        <f t="shared" si="61"/>
        <v>0.90236699999999992</v>
      </c>
      <c r="BD59" s="579">
        <f t="shared" si="33"/>
        <v>16.242616800000004</v>
      </c>
      <c r="BE59" s="580">
        <f t="shared" si="34"/>
        <v>0.90238234455445543</v>
      </c>
      <c r="BF59" s="581">
        <f t="shared" si="35"/>
        <v>0.90238234455445543</v>
      </c>
      <c r="BG59" s="579">
        <f t="shared" si="88"/>
        <v>16.242616800000004</v>
      </c>
      <c r="BH59" s="580">
        <f t="shared" si="88"/>
        <v>0.90238234455445543</v>
      </c>
      <c r="BI59" s="581">
        <f t="shared" si="88"/>
        <v>0.90238234455445543</v>
      </c>
      <c r="BJ59" s="285"/>
      <c r="BK59" s="531" t="str">
        <f ca="1">AK59</f>
        <v>IMDLA</v>
      </c>
      <c r="BL59" s="578" t="s">
        <v>61</v>
      </c>
      <c r="BM59" s="579">
        <f>M120/1000</f>
        <v>0.11714999999999999</v>
      </c>
      <c r="BN59" s="580">
        <f>BM59*$AN$23</f>
        <v>0.10543499999999999</v>
      </c>
      <c r="BO59" s="583">
        <f t="shared" si="53"/>
        <v>5.8574999999999999E-3</v>
      </c>
      <c r="BP59" s="583">
        <f t="shared" si="54"/>
        <v>5.8574999999999999E-3</v>
      </c>
      <c r="BQ59" s="579">
        <f t="shared" si="38"/>
        <v>0.10544264554455447</v>
      </c>
      <c r="BR59" s="580">
        <f t="shared" si="39"/>
        <v>5.8700673267326735E-3</v>
      </c>
      <c r="BS59" s="581">
        <f t="shared" si="40"/>
        <v>5.8700673267326735E-3</v>
      </c>
      <c r="BT59" s="579">
        <f t="shared" si="89"/>
        <v>0.10544264554455447</v>
      </c>
      <c r="BU59" s="580">
        <f t="shared" si="89"/>
        <v>5.8700673267326735E-3</v>
      </c>
      <c r="BV59" s="581">
        <f t="shared" si="89"/>
        <v>5.8700673267326735E-3</v>
      </c>
      <c r="BW59" s="285"/>
      <c r="BX59" s="285"/>
      <c r="BY59" s="285"/>
    </row>
    <row r="60" spans="3:77" ht="12.75" customHeight="1">
      <c r="C60" s="148" t="str">
        <f ca="1">+IF(OFFSET(Processes!B41,$D$11,0)="*","*",OFFSET(Processes!D41,$D$11,0))</f>
        <v>INDMDEMMELCE1</v>
      </c>
      <c r="D60" s="148" t="str">
        <f ca="1">+OFFSET(Processes!E41,$D$11,0)</f>
        <v>Machinery industry Electricity Motors - Electricity Existing 1</v>
      </c>
      <c r="E60" s="174" t="str">
        <f>+Processes!O41</f>
        <v>INDELC</v>
      </c>
      <c r="F60" s="174" t="str">
        <f ca="1">+OFFSET(Processes!$M$12,$D$11,0) &amp; Processes!P41</f>
        <v>IMDEM</v>
      </c>
      <c r="G60" s="324">
        <f t="shared" si="18"/>
        <v>5482.9639999999999</v>
      </c>
      <c r="H60" s="324">
        <f t="shared" si="19"/>
        <v>304.60999999999996</v>
      </c>
      <c r="I60" s="324">
        <f t="shared" si="20"/>
        <v>304.60999999999996</v>
      </c>
      <c r="J60" s="324">
        <f t="shared" si="21"/>
        <v>5618.1620000000003</v>
      </c>
      <c r="K60" s="324">
        <f t="shared" si="22"/>
        <v>312.12099999999998</v>
      </c>
      <c r="L60" s="324">
        <f t="shared" si="23"/>
        <v>312.12099999999998</v>
      </c>
      <c r="M60" s="324">
        <f t="shared" si="24"/>
        <v>36.469000000000001</v>
      </c>
      <c r="N60" s="324">
        <f t="shared" si="25"/>
        <v>2.0269999999999997</v>
      </c>
      <c r="O60" s="324">
        <f t="shared" si="26"/>
        <v>2.0269999999999997</v>
      </c>
      <c r="P60" s="324">
        <f t="shared" si="1"/>
        <v>36.469000000000001</v>
      </c>
      <c r="Q60" s="324">
        <f t="shared" si="2"/>
        <v>2.0269999999999997</v>
      </c>
      <c r="R60" s="324">
        <f t="shared" si="3"/>
        <v>2.0269999999999997</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91.167299532467538</v>
      </c>
      <c r="AH60" s="236">
        <f t="shared" si="83"/>
        <v>92.582873607920803</v>
      </c>
      <c r="AI60" s="236">
        <f t="shared" si="84"/>
        <v>0.60099497821782188</v>
      </c>
      <c r="AJ60" s="285"/>
      <c r="AK60" s="536" t="str">
        <f ca="1">F60</f>
        <v>IMDEM</v>
      </c>
      <c r="AL60" s="578" t="s">
        <v>61</v>
      </c>
      <c r="AM60" s="579">
        <f>M81/1000</f>
        <v>95.965560000000011</v>
      </c>
      <c r="AN60" s="580">
        <f t="shared" si="77"/>
        <v>86.369004000000018</v>
      </c>
      <c r="AO60" s="583">
        <f t="shared" si="78"/>
        <v>4.7982780000000007</v>
      </c>
      <c r="AP60" s="583">
        <f t="shared" si="79"/>
        <v>4.7982780000000007</v>
      </c>
      <c r="AQ60" s="584">
        <f t="shared" si="28"/>
        <v>86.369007344655358</v>
      </c>
      <c r="AR60" s="583">
        <f t="shared" si="29"/>
        <v>4.798292187812188</v>
      </c>
      <c r="AS60" s="585">
        <f t="shared" si="30"/>
        <v>4.798292187812188</v>
      </c>
      <c r="AT60" s="579">
        <f t="shared" si="87"/>
        <v>86.369007344655358</v>
      </c>
      <c r="AU60" s="580">
        <f t="shared" si="87"/>
        <v>4.798292187812188</v>
      </c>
      <c r="AV60" s="581">
        <f t="shared" si="87"/>
        <v>4.798292187812188</v>
      </c>
      <c r="AW60" s="285"/>
      <c r="AX60" s="536" t="str">
        <f t="shared" ca="1" si="12"/>
        <v>IMDEM</v>
      </c>
      <c r="AY60" s="578" t="s">
        <v>61</v>
      </c>
      <c r="AZ60" s="579">
        <f>M101/1000</f>
        <v>97.455636000000013</v>
      </c>
      <c r="BA60" s="580">
        <f>AZ60*$AN$23</f>
        <v>87.710072400000016</v>
      </c>
      <c r="BB60" s="583">
        <f t="shared" si="60"/>
        <v>4.8727818000000012</v>
      </c>
      <c r="BC60" s="583">
        <f t="shared" si="61"/>
        <v>4.8727818000000012</v>
      </c>
      <c r="BD60" s="579">
        <f t="shared" si="33"/>
        <v>87.710077639603981</v>
      </c>
      <c r="BE60" s="580">
        <f t="shared" si="34"/>
        <v>4.872795968316832</v>
      </c>
      <c r="BF60" s="581">
        <f t="shared" si="35"/>
        <v>4.872795968316832</v>
      </c>
      <c r="BG60" s="579">
        <f t="shared" si="88"/>
        <v>87.710077639603981</v>
      </c>
      <c r="BH60" s="580">
        <f t="shared" si="88"/>
        <v>4.872795968316832</v>
      </c>
      <c r="BI60" s="581">
        <f t="shared" si="88"/>
        <v>4.872795968316832</v>
      </c>
      <c r="BJ60" s="285"/>
      <c r="BK60" s="536" t="str">
        <f ca="1">AK60</f>
        <v>IMDEM</v>
      </c>
      <c r="BL60" s="578" t="s">
        <v>61</v>
      </c>
      <c r="BM60" s="579">
        <f>M121/1000</f>
        <v>0.63261000000000001</v>
      </c>
      <c r="BN60" s="580">
        <f>BM60*$AN$23</f>
        <v>0.56934899999999999</v>
      </c>
      <c r="BO60" s="583">
        <f t="shared" si="53"/>
        <v>3.1630499999999999E-2</v>
      </c>
      <c r="BP60" s="583">
        <f t="shared" si="54"/>
        <v>3.1630499999999999E-2</v>
      </c>
      <c r="BQ60" s="579">
        <f t="shared" si="38"/>
        <v>0.56934969504950506</v>
      </c>
      <c r="BR60" s="580">
        <f t="shared" si="39"/>
        <v>3.1645283168316829E-2</v>
      </c>
      <c r="BS60" s="581">
        <f t="shared" si="40"/>
        <v>3.1645283168316829E-2</v>
      </c>
      <c r="BT60" s="579">
        <f t="shared" si="89"/>
        <v>0.56934969504950506</v>
      </c>
      <c r="BU60" s="580">
        <f t="shared" si="89"/>
        <v>3.1645283168316829E-2</v>
      </c>
      <c r="BV60" s="581">
        <f t="shared" si="89"/>
        <v>3.1645283168316829E-2</v>
      </c>
      <c r="BW60" s="285"/>
      <c r="BX60" s="285"/>
      <c r="BY60" s="285"/>
    </row>
    <row r="61" spans="3:77" ht="12.75" customHeight="1">
      <c r="C61" s="173" t="str">
        <f ca="1">+IF(OFFSET(Processes!B42,$D$11,0)="*","*",OFFSET(Processes!D42,$D$11,0))</f>
        <v>INDMDTFTDSLE1</v>
      </c>
      <c r="D61" s="173" t="str">
        <f ca="1">+OFFSET(Processes!E42,$D$11,0)</f>
        <v>Machinery industry Tractors, Trucks, Fishing boats, Forest machines - Diesel Existing 1</v>
      </c>
      <c r="E61" s="172" t="str">
        <f>+Processes!O42</f>
        <v>INDDSB1,INDDSB2,INDDSL</v>
      </c>
      <c r="F61" s="173" t="str">
        <f ca="1">+OFFSET(Processes!$M$12,$D$11,0) &amp; Processes!P42</f>
        <v>IMDTF</v>
      </c>
      <c r="G61" s="323">
        <f t="shared" si="18"/>
        <v>1183.7339999999999</v>
      </c>
      <c r="H61" s="323">
        <f t="shared" si="19"/>
        <v>65.763000000000005</v>
      </c>
      <c r="I61" s="323">
        <f t="shared" si="20"/>
        <v>65.763000000000005</v>
      </c>
      <c r="J61" s="323">
        <f t="shared" si="21"/>
        <v>476.35499999999996</v>
      </c>
      <c r="K61" s="323">
        <f t="shared" si="22"/>
        <v>26.465</v>
      </c>
      <c r="L61" s="323">
        <f t="shared" si="23"/>
        <v>26.465</v>
      </c>
      <c r="M61" s="323">
        <f t="shared" si="24"/>
        <v>430.59399999999999</v>
      </c>
      <c r="N61" s="323">
        <f t="shared" si="25"/>
        <v>23.922000000000001</v>
      </c>
      <c r="O61" s="323">
        <f t="shared" si="26"/>
        <v>23.922000000000001</v>
      </c>
      <c r="P61" s="323">
        <f t="shared" si="1"/>
        <v>430.59399999999999</v>
      </c>
      <c r="Q61" s="323">
        <f t="shared" si="2"/>
        <v>23.922000000000001</v>
      </c>
      <c r="R61" s="323">
        <f t="shared" si="3"/>
        <v>23.922000000000001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19.682386309690312</v>
      </c>
      <c r="AH61" s="236">
        <f t="shared" si="83"/>
        <v>7.8499660990099009</v>
      </c>
      <c r="AI61" s="236">
        <f t="shared" si="84"/>
        <v>7.0958497900990105</v>
      </c>
      <c r="AJ61" s="285"/>
      <c r="AK61" s="536" t="str">
        <f ca="1">F61</f>
        <v>IMDTF</v>
      </c>
      <c r="AL61" s="578" t="s">
        <v>59</v>
      </c>
      <c r="AM61" s="579">
        <f>F79/1000</f>
        <v>20.718285000000002</v>
      </c>
      <c r="AN61" s="580">
        <f t="shared" si="77"/>
        <v>18.646456500000003</v>
      </c>
      <c r="AO61" s="583">
        <f t="shared" si="78"/>
        <v>1.03591425</v>
      </c>
      <c r="AP61" s="583">
        <f t="shared" si="79"/>
        <v>1.03591425</v>
      </c>
      <c r="AQ61" s="584">
        <f t="shared" si="28"/>
        <v>18.646471240759244</v>
      </c>
      <c r="AR61" s="583">
        <f t="shared" si="29"/>
        <v>1.0359150689310692</v>
      </c>
      <c r="AS61" s="585">
        <f t="shared" si="30"/>
        <v>1.0359150689310692</v>
      </c>
      <c r="AT61" s="579">
        <f t="shared" si="87"/>
        <v>18.646471240759244</v>
      </c>
      <c r="AU61" s="580">
        <f t="shared" si="87"/>
        <v>1.0359150689310692</v>
      </c>
      <c r="AV61" s="581">
        <f t="shared" si="87"/>
        <v>1.0359150689310692</v>
      </c>
      <c r="AW61" s="285"/>
      <c r="AX61" s="536" t="str">
        <f t="shared" ca="1" si="12"/>
        <v>IMDTF</v>
      </c>
      <c r="AY61" s="578" t="s">
        <v>59</v>
      </c>
      <c r="AZ61" s="579">
        <f>F99/1000</f>
        <v>8.2631019999999999</v>
      </c>
      <c r="BA61" s="580">
        <f>AZ61*$AN$23</f>
        <v>7.4367918</v>
      </c>
      <c r="BB61" s="583">
        <f t="shared" si="60"/>
        <v>0.4131551</v>
      </c>
      <c r="BC61" s="583">
        <f t="shared" si="61"/>
        <v>0.4131551</v>
      </c>
      <c r="BD61" s="579">
        <f t="shared" si="33"/>
        <v>7.4367976633663364</v>
      </c>
      <c r="BE61" s="580">
        <f t="shared" si="34"/>
        <v>0.41316843564356437</v>
      </c>
      <c r="BF61" s="581">
        <f t="shared" si="35"/>
        <v>0.41316843564356437</v>
      </c>
      <c r="BG61" s="579">
        <f t="shared" si="88"/>
        <v>7.4367976633663364</v>
      </c>
      <c r="BH61" s="580">
        <f t="shared" si="88"/>
        <v>0.41316843564356437</v>
      </c>
      <c r="BI61" s="581">
        <f t="shared" si="88"/>
        <v>0.41316843564356437</v>
      </c>
      <c r="BJ61" s="285"/>
      <c r="BK61" s="536" t="str">
        <f ca="1">AK61</f>
        <v>IMDTF</v>
      </c>
      <c r="BL61" s="578" t="s">
        <v>59</v>
      </c>
      <c r="BM61" s="579">
        <f>F119/1000</f>
        <v>7.4692980000000002</v>
      </c>
      <c r="BN61" s="580">
        <f>BM61*$AN$23</f>
        <v>6.7223682</v>
      </c>
      <c r="BO61" s="583">
        <f t="shared" si="53"/>
        <v>0.37346490000000004</v>
      </c>
      <c r="BP61" s="583">
        <f t="shared" si="54"/>
        <v>0.37346490000000004</v>
      </c>
      <c r="BQ61" s="579">
        <f t="shared" si="38"/>
        <v>6.7223823683168318</v>
      </c>
      <c r="BR61" s="580">
        <f t="shared" si="39"/>
        <v>0.37346742178217823</v>
      </c>
      <c r="BS61" s="581">
        <f t="shared" si="40"/>
        <v>0.37346742178217823</v>
      </c>
      <c r="BT61" s="579">
        <f t="shared" si="89"/>
        <v>6.7223823683168318</v>
      </c>
      <c r="BU61" s="580">
        <f t="shared" si="89"/>
        <v>0.37346742178217823</v>
      </c>
      <c r="BV61" s="581">
        <f t="shared" si="89"/>
        <v>0.37346742178217823</v>
      </c>
      <c r="BW61" s="285"/>
      <c r="BX61" s="285"/>
      <c r="BY61" s="285"/>
    </row>
    <row r="62" spans="3:77" ht="12.75" customHeight="1">
      <c r="C62" s="173" t="str">
        <f ca="1">+IF(OFFSET(Processes!B43,$D$11,0)="*","*",OFFSET(Processes!D43,$D$11,0))</f>
        <v>INDMDFLTLPGE1</v>
      </c>
      <c r="D62" s="173" t="str">
        <f ca="1">+OFFSET(Processes!E43,$D$11,0)</f>
        <v>Machinery industry Forklifts - LPG Existing 1</v>
      </c>
      <c r="E62" s="172" t="str">
        <f>+Processes!O43</f>
        <v>INDLPG,INDSNG1,INDSNG2</v>
      </c>
      <c r="F62" s="173" t="str">
        <f ca="1">+OFFSET(Processes!$M$12,$D$11,0) &amp; Processes!P43</f>
        <v>IMDFL</v>
      </c>
      <c r="G62" s="323">
        <f t="shared" si="18"/>
        <v>104.95400000000001</v>
      </c>
      <c r="H62" s="323">
        <f t="shared" si="19"/>
        <v>5.8310000000000004</v>
      </c>
      <c r="I62" s="323">
        <f>ROUNDUP(AP62/($Z62*$AA62)*I$21*Y62,3)</f>
        <v>5.8310000000000004</v>
      </c>
      <c r="J62" s="323">
        <f t="shared" si="21"/>
        <v>64.984000000000009</v>
      </c>
      <c r="K62" s="323">
        <f t="shared" si="22"/>
        <v>3.6109999999999998</v>
      </c>
      <c r="L62" s="323">
        <f t="shared" si="23"/>
        <v>3.6109999999999998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1.7451127672327678</v>
      </c>
      <c r="AH62" s="236">
        <f t="shared" si="83"/>
        <v>1.0708969900990102</v>
      </c>
      <c r="AI62" s="236" t="e">
        <f t="shared" si="84"/>
        <v>#REF!</v>
      </c>
      <c r="AJ62" s="285"/>
      <c r="AK62" s="536" t="str">
        <f ca="1">F62</f>
        <v>IMDFL</v>
      </c>
      <c r="AL62" s="532" t="s">
        <v>53</v>
      </c>
      <c r="AM62" s="533">
        <f>H79/1000</f>
        <v>1.8369472877185038</v>
      </c>
      <c r="AN62" s="534">
        <f t="shared" si="77"/>
        <v>1.6532525589466533</v>
      </c>
      <c r="AO62" s="535">
        <f t="shared" si="78"/>
        <v>9.1847364385925195E-2</v>
      </c>
      <c r="AP62" s="535">
        <f t="shared" si="79"/>
        <v>9.1847364385925195E-2</v>
      </c>
      <c r="AQ62" s="545">
        <f t="shared" si="28"/>
        <v>1.653261410589411</v>
      </c>
      <c r="AR62" s="535">
        <f t="shared" si="29"/>
        <v>9.1851356643356669E-2</v>
      </c>
      <c r="AS62" s="541">
        <f t="shared" si="30"/>
        <v>9.1851356643356669E-2</v>
      </c>
      <c r="AT62" s="546">
        <f t="shared" si="87"/>
        <v>1.653261410589411</v>
      </c>
      <c r="AU62" s="537">
        <f t="shared" si="87"/>
        <v>9.1851356643356669E-2</v>
      </c>
      <c r="AV62" s="538">
        <f t="shared" si="87"/>
        <v>9.1851356643356669E-2</v>
      </c>
      <c r="AW62" s="285"/>
      <c r="AX62" s="536" t="str">
        <f t="shared" ca="1" si="12"/>
        <v>IMDFL</v>
      </c>
      <c r="AY62" s="532" t="s">
        <v>53</v>
      </c>
      <c r="AZ62" s="533">
        <f>H99/1000</f>
        <v>1.1272359814952606</v>
      </c>
      <c r="BA62" s="534">
        <f>AZ62*$AN$23</f>
        <v>1.0145123833457346</v>
      </c>
      <c r="BB62" s="535">
        <f t="shared" si="60"/>
        <v>5.6361799074763033E-2</v>
      </c>
      <c r="BC62" s="535">
        <f t="shared" si="61"/>
        <v>5.6361799074763033E-2</v>
      </c>
      <c r="BD62" s="546">
        <f t="shared" si="33"/>
        <v>1.0145224871287131</v>
      </c>
      <c r="BE62" s="537">
        <f t="shared" si="34"/>
        <v>5.6374502970297023E-2</v>
      </c>
      <c r="BF62" s="538">
        <f t="shared" si="35"/>
        <v>5.6374502970297023E-2</v>
      </c>
      <c r="BG62" s="546">
        <f t="shared" si="88"/>
        <v>1.0145224871287131</v>
      </c>
      <c r="BH62" s="537">
        <f t="shared" si="88"/>
        <v>5.6374502970297023E-2</v>
      </c>
      <c r="BI62" s="538">
        <f t="shared" si="88"/>
        <v>5.6374502970297023E-2</v>
      </c>
      <c r="BJ62" s="285"/>
      <c r="BK62" s="536" t="str">
        <f ca="1">AK62</f>
        <v>IMDFL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720.02099999999996</v>
      </c>
      <c r="E77" s="14">
        <f t="shared" si="93"/>
        <v>121.044</v>
      </c>
      <c r="F77" s="14">
        <f t="shared" si="93"/>
        <v>0</v>
      </c>
      <c r="G77" s="14">
        <f t="shared" si="93"/>
        <v>0</v>
      </c>
      <c r="H77" s="14">
        <f t="shared" si="93"/>
        <v>609.91075000000001</v>
      </c>
      <c r="I77" s="14">
        <f t="shared" si="93"/>
        <v>67411.4139</v>
      </c>
      <c r="J77" s="14">
        <f t="shared" si="93"/>
        <v>33</v>
      </c>
      <c r="K77" s="14">
        <f t="shared" si="93"/>
        <v>1648</v>
      </c>
      <c r="L77" s="14">
        <f t="shared" si="93"/>
        <v>8</v>
      </c>
      <c r="M77" s="14">
        <f t="shared" si="93"/>
        <v>0</v>
      </c>
      <c r="N77" s="14">
        <f t="shared" si="93"/>
        <v>0</v>
      </c>
      <c r="O77" s="86"/>
      <c r="T77" s="48" t="s">
        <v>209</v>
      </c>
      <c r="U77" s="48"/>
      <c r="V77" s="126" t="str">
        <f>+INDEX('Energy matrix'!C4:N4,1,$D$2)</f>
        <v>Machinery</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720.02099999999996</v>
      </c>
      <c r="W78" s="117"/>
    </row>
    <row r="79" spans="3:66" ht="12.75" customHeight="1">
      <c r="C79" s="13" t="str">
        <f>$D$152</f>
        <v>Haullage</v>
      </c>
      <c r="D79" s="19">
        <f t="shared" ref="D79:N79" si="95">+INDEX($E152:$O152,1,D$75) * INDEX($V$78:$V$88,D$75,1)</f>
        <v>0</v>
      </c>
      <c r="E79" s="19">
        <f t="shared" si="95"/>
        <v>0</v>
      </c>
      <c r="F79" s="19">
        <f t="shared" si="95"/>
        <v>20718.285</v>
      </c>
      <c r="G79" s="19">
        <f t="shared" si="95"/>
        <v>0</v>
      </c>
      <c r="H79" s="19">
        <f t="shared" si="95"/>
        <v>1836.9472877185037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121.044</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17771.399999999998</v>
      </c>
      <c r="N80" s="14">
        <f t="shared" si="96"/>
        <v>0</v>
      </c>
      <c r="O80" s="86"/>
      <c r="T80" s="117" t="str">
        <f>+'Energy matrix'!B7</f>
        <v>Diesel</v>
      </c>
      <c r="U80" s="117"/>
      <c r="V80" s="118">
        <f>+INDEX('Energy matrix'!C7:N7,1,$D$2)</f>
        <v>20718.285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95965.560000000012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7490.1571000000004</v>
      </c>
      <c r="J82" s="14">
        <f t="shared" si="98"/>
        <v>0</v>
      </c>
      <c r="K82" s="14">
        <f t="shared" si="98"/>
        <v>0</v>
      </c>
      <c r="L82" s="14">
        <f t="shared" si="98"/>
        <v>0</v>
      </c>
      <c r="M82" s="14">
        <f t="shared" si="98"/>
        <v>4739.04</v>
      </c>
      <c r="N82" s="14">
        <f t="shared" si="98"/>
        <v>13136</v>
      </c>
      <c r="O82" s="86"/>
      <c r="T82" s="117" t="str">
        <f>+'Energy matrix'!B9</f>
        <v>LPG</v>
      </c>
      <c r="U82" s="117"/>
      <c r="V82" s="118">
        <f>+INDEX('Energy matrix'!C9:N9,1,$D$2)</f>
        <v>2439.643</v>
      </c>
      <c r="W82" s="117"/>
    </row>
    <row r="83" spans="3:24" ht="12.75" customHeight="1">
      <c r="C83" s="17" t="s">
        <v>57</v>
      </c>
      <c r="D83" s="18">
        <f t="shared" ref="D83:N83" si="99">SUM(D77:D82)</f>
        <v>720.02099999999996</v>
      </c>
      <c r="E83" s="18">
        <f t="shared" si="99"/>
        <v>121.044</v>
      </c>
      <c r="F83" s="18">
        <f t="shared" si="99"/>
        <v>20718.285</v>
      </c>
      <c r="G83" s="18">
        <f t="shared" si="99"/>
        <v>0</v>
      </c>
      <c r="H83" s="18">
        <f t="shared" si="99"/>
        <v>2446.8580377185035</v>
      </c>
      <c r="I83" s="18">
        <f t="shared" si="99"/>
        <v>74901.570999999996</v>
      </c>
      <c r="J83" s="18">
        <f t="shared" si="99"/>
        <v>33</v>
      </c>
      <c r="K83" s="18">
        <f t="shared" si="99"/>
        <v>1648</v>
      </c>
      <c r="L83" s="18">
        <f t="shared" si="99"/>
        <v>8</v>
      </c>
      <c r="M83" s="18">
        <f t="shared" si="99"/>
        <v>118476</v>
      </c>
      <c r="N83" s="18">
        <f t="shared" si="99"/>
        <v>13136</v>
      </c>
      <c r="O83" s="86"/>
      <c r="T83" s="117" t="str">
        <f>+'Energy matrix'!B11</f>
        <v>Natural gas</v>
      </c>
      <c r="U83" s="117"/>
      <c r="V83" s="118">
        <f>+INDEX('Energy matrix'!C11:N11,1,$D$2)</f>
        <v>74901.570999999996</v>
      </c>
      <c r="W83" s="117"/>
    </row>
    <row r="84" spans="3:24" ht="12.75" customHeight="1">
      <c r="E84" s="25"/>
      <c r="F84" s="25"/>
      <c r="G84" s="25"/>
      <c r="H84" s="25"/>
      <c r="I84" s="25"/>
      <c r="J84" s="25"/>
      <c r="K84" s="25"/>
      <c r="O84" s="86"/>
      <c r="T84" s="117" t="str">
        <f>+'Energy matrix'!B12</f>
        <v>Biogas</v>
      </c>
      <c r="U84" s="117"/>
      <c r="V84" s="118">
        <f>+INDEX('Energy matrix'!C12:N12,1,$D$2)</f>
        <v>33</v>
      </c>
      <c r="W84" s="117"/>
    </row>
    <row r="85" spans="3:24" ht="12.75" customHeight="1">
      <c r="E85" s="25"/>
      <c r="F85" s="25"/>
      <c r="G85" s="25"/>
      <c r="H85" s="25"/>
      <c r="I85" s="25"/>
      <c r="J85" s="25"/>
      <c r="K85" s="25"/>
      <c r="O85" s="86"/>
      <c r="T85" s="117" t="str">
        <f>+'Energy matrix'!B17</f>
        <v>Biomass</v>
      </c>
      <c r="U85" s="117"/>
      <c r="V85" s="118">
        <f>+INDEX('Energy matrix'!C17:N17,1,$D$2)</f>
        <v>1648</v>
      </c>
      <c r="W85" s="117"/>
    </row>
    <row r="86" spans="3:24" ht="12.75" customHeight="1">
      <c r="O86" s="86"/>
      <c r="T86" s="117" t="str">
        <f>+'Energy matrix'!B18</f>
        <v>Waste</v>
      </c>
      <c r="U86" s="117"/>
      <c r="V86" s="118">
        <f>+INDEX('Energy matrix'!C18:N18,1,$D$2)</f>
        <v>8</v>
      </c>
      <c r="W86" s="117"/>
    </row>
    <row r="87" spans="3:24" ht="12.75" customHeight="1">
      <c r="O87" s="86"/>
      <c r="T87" s="117" t="str">
        <f>+'Energy matrix'!B19</f>
        <v>Electricity</v>
      </c>
      <c r="U87" s="117"/>
      <c r="V87" s="118">
        <f>+INDEX('Energy matrix'!C19:N19,1,$D$2)</f>
        <v>118476</v>
      </c>
      <c r="W87" s="117"/>
    </row>
    <row r="88" spans="3:24" ht="12.75" customHeight="1">
      <c r="O88" s="86"/>
      <c r="T88" s="122" t="str">
        <f>+'Energy matrix'!B20</f>
        <v>District Heating</v>
      </c>
      <c r="U88" s="122"/>
      <c r="V88" s="123">
        <f>+INDEX('Energy matrix'!C20:N20,1,$D$2)</f>
        <v>13136</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232201.56400000001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336.67700000000002</v>
      </c>
      <c r="E97" s="14">
        <f t="shared" si="110"/>
        <v>40.734999999999999</v>
      </c>
      <c r="F97" s="14">
        <f t="shared" si="110"/>
        <v>0</v>
      </c>
      <c r="G97" s="14">
        <f t="shared" si="110"/>
        <v>0</v>
      </c>
      <c r="H97" s="14">
        <f t="shared" si="110"/>
        <v>374.26949999999999</v>
      </c>
      <c r="I97" s="14">
        <f t="shared" si="110"/>
        <v>64029.69000000001</v>
      </c>
      <c r="J97" s="14" t="e">
        <f t="shared" si="110"/>
        <v>#REF!</v>
      </c>
      <c r="K97" s="14">
        <f t="shared" si="110"/>
        <v>2144</v>
      </c>
      <c r="L97" s="14">
        <f t="shared" si="110"/>
        <v>1</v>
      </c>
      <c r="M97" s="14">
        <f t="shared" si="110"/>
        <v>0</v>
      </c>
      <c r="N97" s="14">
        <f t="shared" si="110"/>
        <v>0</v>
      </c>
      <c r="O97" s="86"/>
      <c r="R97" s="287"/>
      <c r="S97" s="287"/>
      <c r="T97" s="48" t="s">
        <v>209</v>
      </c>
      <c r="U97" s="48"/>
      <c r="V97" s="126" t="str">
        <f>+INDEX('Energy matrix'!C28:N28,1,$D$2)</f>
        <v>Machinery</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336.67700000000002</v>
      </c>
      <c r="W98" s="117"/>
    </row>
    <row r="99" spans="3:24" s="285" customFormat="1" ht="12.75" customHeight="1">
      <c r="C99" s="13" t="str">
        <f>$D$152</f>
        <v>Haullage</v>
      </c>
      <c r="D99" s="19">
        <f t="shared" ref="D99:N99" si="112">+INDEX($E152:$O152,1,D$95) * INDEX($V$98:$V$108,D$95,1)</f>
        <v>0</v>
      </c>
      <c r="E99" s="19">
        <f t="shared" si="112"/>
        <v>0</v>
      </c>
      <c r="F99" s="19">
        <f t="shared" si="112"/>
        <v>8263.1020000000008</v>
      </c>
      <c r="G99" s="19">
        <f t="shared" si="112"/>
        <v>0</v>
      </c>
      <c r="H99" s="19">
        <f t="shared" si="112"/>
        <v>1127.2359814952606</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18047.34</v>
      </c>
      <c r="N100" s="14">
        <f t="shared" si="113"/>
        <v>0</v>
      </c>
      <c r="O100" s="86"/>
      <c r="R100" s="287"/>
      <c r="S100" s="287"/>
      <c r="T100" s="117" t="str">
        <f>'Energy matrix'!B31</f>
        <v>Diesel</v>
      </c>
      <c r="U100" s="117"/>
      <c r="V100" s="118">
        <f>+INDEX('Energy matrix'!C31:N31,1,$D$2)</f>
        <v>8263.1020000000008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97455.636000000013</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7114.4100000000008</v>
      </c>
      <c r="J102" s="14" t="e">
        <f t="shared" si="115"/>
        <v>#REF!</v>
      </c>
      <c r="K102" s="14">
        <f t="shared" si="115"/>
        <v>0</v>
      </c>
      <c r="L102" s="14">
        <f t="shared" si="115"/>
        <v>0</v>
      </c>
      <c r="M102" s="14">
        <f t="shared" si="115"/>
        <v>4812.6240000000007</v>
      </c>
      <c r="N102" s="14">
        <f t="shared" si="115"/>
        <v>9929</v>
      </c>
      <c r="O102" s="86"/>
      <c r="R102" s="287"/>
      <c r="S102" s="287"/>
      <c r="T102" s="117" t="str">
        <f>'Energy matrix'!B33</f>
        <v>LPG</v>
      </c>
      <c r="U102" s="117"/>
      <c r="V102" s="118">
        <f>+INDEX('Energy matrix'!C33:N33,1,$D$2)</f>
        <v>1497.078</v>
      </c>
      <c r="W102" s="117"/>
    </row>
    <row r="103" spans="3:24" s="285" customFormat="1" ht="12.75" customHeight="1">
      <c r="C103" s="17" t="s">
        <v>57</v>
      </c>
      <c r="D103" s="18">
        <f t="shared" ref="D103:N103" si="116">SUM(D97:D102)</f>
        <v>336.67700000000002</v>
      </c>
      <c r="E103" s="18">
        <f t="shared" si="116"/>
        <v>40.734999999999999</v>
      </c>
      <c r="F103" s="18">
        <f t="shared" si="116"/>
        <v>8263.1020000000008</v>
      </c>
      <c r="G103" s="18">
        <f t="shared" si="116"/>
        <v>0</v>
      </c>
      <c r="H103" s="18">
        <f t="shared" si="116"/>
        <v>1501.5054814952605</v>
      </c>
      <c r="I103" s="18">
        <f t="shared" si="116"/>
        <v>71144.100000000006</v>
      </c>
      <c r="J103" s="18" t="e">
        <f t="shared" si="116"/>
        <v>#REF!</v>
      </c>
      <c r="K103" s="18">
        <f t="shared" si="116"/>
        <v>2144</v>
      </c>
      <c r="L103" s="18">
        <f t="shared" si="116"/>
        <v>1</v>
      </c>
      <c r="M103" s="18">
        <f t="shared" si="116"/>
        <v>120315.6</v>
      </c>
      <c r="N103" s="18">
        <f t="shared" si="116"/>
        <v>9929</v>
      </c>
      <c r="O103" s="86"/>
      <c r="R103" s="287"/>
      <c r="S103" s="287"/>
      <c r="T103" s="117" t="str">
        <f>'Energy matrix'!B35</f>
        <v>Natural gas</v>
      </c>
      <c r="U103" s="117"/>
      <c r="V103" s="118">
        <f>+INDEX('Energy matrix'!C35:N35,1,$D$2)</f>
        <v>71144.100000000006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2144</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1</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120315.6</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9929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574.64200000000005</v>
      </c>
      <c r="E117" s="14">
        <f t="shared" si="127"/>
        <v>40.343000000000004</v>
      </c>
      <c r="F117" s="14">
        <f t="shared" si="127"/>
        <v>0</v>
      </c>
      <c r="G117" s="14">
        <f t="shared" si="127"/>
        <v>0</v>
      </c>
      <c r="H117" s="14" t="e">
        <f t="shared" si="127"/>
        <v>#REF!</v>
      </c>
      <c r="I117" s="14">
        <f t="shared" si="127"/>
        <v>328.86</v>
      </c>
      <c r="J117" s="14">
        <f t="shared" si="127"/>
        <v>73810.733999999997</v>
      </c>
      <c r="K117" s="14">
        <f t="shared" si="127"/>
        <v>103</v>
      </c>
      <c r="L117" s="14">
        <f t="shared" si="127"/>
        <v>1258</v>
      </c>
      <c r="M117" s="14">
        <f t="shared" si="127"/>
        <v>0</v>
      </c>
      <c r="N117" s="14">
        <f t="shared" si="127"/>
        <v>0</v>
      </c>
      <c r="O117" s="86"/>
      <c r="T117" s="48" t="s">
        <v>209</v>
      </c>
      <c r="U117" s="48"/>
      <c r="V117" s="126" t="str">
        <f>+INDEX('Energy matrix'!C52:N52,1,$D$2)</f>
        <v>Machinery</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574.64200000000005</v>
      </c>
      <c r="W118" s="117"/>
    </row>
    <row r="119" spans="3:31" ht="12.75" customHeight="1">
      <c r="C119" s="13" t="str">
        <f>$D$152</f>
        <v>Haullage</v>
      </c>
      <c r="D119" s="19">
        <f t="shared" ref="D119:N119" si="129">+INDEX($E152:$O152,1,D$115) * INDEX($V$118:$V$128,D$115,1)</f>
        <v>0</v>
      </c>
      <c r="E119" s="19">
        <f t="shared" si="129"/>
        <v>0</v>
      </c>
      <c r="F119" s="19">
        <f t="shared" si="129"/>
        <v>7469.2979999999998</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117.14999999999999</v>
      </c>
      <c r="N120" s="14">
        <f t="shared" si="130"/>
        <v>0</v>
      </c>
      <c r="O120" s="86"/>
      <c r="T120" s="117" t="str">
        <f>'Energy matrix'!B55</f>
        <v>Diesel</v>
      </c>
      <c r="U120" s="117"/>
      <c r="V120" s="118">
        <f>+INDEX('Energy matrix'!C55:N55,1,$D$2)</f>
        <v>7469.2979999999998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632.61</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36.54</v>
      </c>
      <c r="J122" s="14">
        <f t="shared" si="132"/>
        <v>0</v>
      </c>
      <c r="K122" s="14">
        <f t="shared" si="132"/>
        <v>0</v>
      </c>
      <c r="L122" s="14">
        <f t="shared" si="132"/>
        <v>0</v>
      </c>
      <c r="M122" s="14">
        <f t="shared" si="132"/>
        <v>31.240000000000002</v>
      </c>
      <c r="N122" s="14">
        <f t="shared" si="132"/>
        <v>118558.8</v>
      </c>
      <c r="O122" s="86"/>
      <c r="T122" s="117" t="e">
        <f>'Energy matrix'!#REF!</f>
        <v>#REF!</v>
      </c>
      <c r="U122" s="117"/>
      <c r="V122" s="118" t="e">
        <f>+_xlfn.SINGLE(INDEX('Energy matrix'!#REF!,1,$D$2))</f>
        <v>#REF!</v>
      </c>
      <c r="W122" s="117"/>
    </row>
    <row r="123" spans="3:31" ht="12.75" customHeight="1">
      <c r="C123" s="17" t="s">
        <v>57</v>
      </c>
      <c r="D123" s="18">
        <f t="shared" ref="D123:N123" si="133">SUM(D117:D122)</f>
        <v>574.64200000000005</v>
      </c>
      <c r="E123" s="18">
        <f t="shared" si="133"/>
        <v>40.343000000000004</v>
      </c>
      <c r="F123" s="18">
        <f t="shared" si="133"/>
        <v>7469.2979999999998</v>
      </c>
      <c r="G123" s="18">
        <f t="shared" si="133"/>
        <v>0</v>
      </c>
      <c r="H123" s="18" t="e">
        <f t="shared" si="133"/>
        <v>#REF!</v>
      </c>
      <c r="I123" s="18">
        <f t="shared" si="133"/>
        <v>365.40000000000003</v>
      </c>
      <c r="J123" s="18">
        <f t="shared" si="133"/>
        <v>73810.733999999997</v>
      </c>
      <c r="K123" s="18">
        <f t="shared" si="133"/>
        <v>103</v>
      </c>
      <c r="L123" s="18">
        <f t="shared" si="133"/>
        <v>1258</v>
      </c>
      <c r="M123" s="18">
        <f t="shared" si="133"/>
        <v>781</v>
      </c>
      <c r="N123" s="18">
        <f t="shared" si="133"/>
        <v>118558.8</v>
      </c>
      <c r="O123" s="86"/>
      <c r="T123" s="117" t="str">
        <f>'Energy matrix'!B58</f>
        <v>Manufactured Gases</v>
      </c>
      <c r="U123" s="117"/>
      <c r="V123" s="118">
        <f>+INDEX('Energy matrix'!C58:N58,1,$D$2)</f>
        <v>365.4</v>
      </c>
      <c r="W123" s="117"/>
    </row>
    <row r="124" spans="3:31" ht="12.75" customHeight="1">
      <c r="E124" s="25"/>
      <c r="F124" s="25"/>
      <c r="G124" s="25"/>
      <c r="H124" s="25"/>
      <c r="I124" s="25"/>
      <c r="J124" s="25"/>
      <c r="K124" s="25"/>
      <c r="O124" s="86"/>
      <c r="T124" s="117" t="str">
        <f>'Energy matrix'!B59</f>
        <v>Natural gas</v>
      </c>
      <c r="U124" s="117"/>
      <c r="V124" s="118">
        <f>+INDEX('Energy matrix'!C59:N59,1,$D$2)</f>
        <v>73810.733999999997</v>
      </c>
      <c r="W124" s="117"/>
    </row>
    <row r="125" spans="3:31" ht="12.75" customHeight="1">
      <c r="E125" s="25"/>
      <c r="F125" s="25"/>
      <c r="G125" s="25"/>
      <c r="H125" s="25"/>
      <c r="I125" s="25"/>
      <c r="J125" s="25"/>
      <c r="K125" s="25"/>
      <c r="O125" s="86"/>
      <c r="T125" s="117" t="str">
        <f>'Energy matrix'!B60</f>
        <v>Biogas</v>
      </c>
      <c r="U125" s="117"/>
      <c r="V125" s="118">
        <f>+INDEX('Energy matrix'!C60:N60,1,$D$2)</f>
        <v>103</v>
      </c>
      <c r="W125" s="117"/>
    </row>
    <row r="126" spans="3:31" ht="12.75" customHeight="1">
      <c r="O126" s="86"/>
      <c r="T126" s="117" t="str">
        <f>'Energy matrix'!B65</f>
        <v>Biomass</v>
      </c>
      <c r="U126" s="117"/>
      <c r="V126" s="118">
        <f>+INDEX('Energy matrix'!C65:N65,1,$D$2)</f>
        <v>1258</v>
      </c>
      <c r="W126" s="117"/>
    </row>
    <row r="127" spans="3:31" ht="12.75" customHeight="1">
      <c r="O127" s="86"/>
      <c r="T127" s="117" t="str">
        <f>'Energy matrix'!B66</f>
        <v>Waste</v>
      </c>
      <c r="U127" s="117"/>
      <c r="V127" s="118">
        <f>+INDEX('Energy matrix'!C66:N66,1,$D$2)</f>
        <v>781</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118558.8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06 Machinery</v>
      </c>
      <c r="D150" s="13" t="s">
        <v>534</v>
      </c>
      <c r="E150" s="22">
        <v>1</v>
      </c>
      <c r="F150" s="22">
        <v>1</v>
      </c>
      <c r="G150" s="22"/>
      <c r="H150" s="22">
        <v>0</v>
      </c>
      <c r="I150" s="22">
        <v>0.25</v>
      </c>
      <c r="J150" s="22">
        <v>0.9</v>
      </c>
      <c r="K150" s="22">
        <v>1</v>
      </c>
      <c r="L150" s="22">
        <v>1</v>
      </c>
      <c r="M150" s="22">
        <v>1</v>
      </c>
      <c r="N150" s="22"/>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v>0</v>
      </c>
      <c r="N151" s="22"/>
      <c r="O151" s="22">
        <v>0</v>
      </c>
      <c r="P151" s="34"/>
      <c r="Q151" s="34"/>
      <c r="R151" s="25"/>
      <c r="S151" s="25"/>
      <c r="X151" s="285"/>
      <c r="Y151" s="285"/>
      <c r="AA151" s="25"/>
      <c r="AB151" s="25"/>
    </row>
    <row r="152" spans="3:28">
      <c r="C152" s="15"/>
      <c r="D152" s="13" t="s">
        <v>536</v>
      </c>
      <c r="E152" s="22">
        <v>0</v>
      </c>
      <c r="F152" s="22">
        <v>0</v>
      </c>
      <c r="G152" s="22">
        <v>1</v>
      </c>
      <c r="H152" s="611">
        <v>1</v>
      </c>
      <c r="I152" s="22">
        <v>0.7529574153753249</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0.15</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0.81</v>
      </c>
      <c r="O154" s="22">
        <v>0</v>
      </c>
      <c r="P154" s="34"/>
      <c r="Q154" s="34"/>
      <c r="R154" s="25"/>
      <c r="S154" s="25"/>
      <c r="X154" s="285"/>
      <c r="Y154" s="285"/>
      <c r="AA154" s="25"/>
      <c r="AB154" s="25"/>
    </row>
    <row r="155" spans="3:28">
      <c r="C155" s="16"/>
      <c r="D155" s="13" t="s">
        <v>539</v>
      </c>
      <c r="E155" s="22"/>
      <c r="F155" s="22"/>
      <c r="G155" s="22"/>
      <c r="H155" s="22"/>
      <c r="I155" s="22"/>
      <c r="J155" s="22">
        <v>0.1</v>
      </c>
      <c r="K155" s="22"/>
      <c r="L155" s="22"/>
      <c r="M155" s="22"/>
      <c r="N155" s="22">
        <v>0.04</v>
      </c>
      <c r="O155" s="22">
        <v>1</v>
      </c>
      <c r="P155" s="34"/>
      <c r="Q155" s="34"/>
      <c r="R155" s="25"/>
      <c r="S155" s="25"/>
      <c r="X155" s="285"/>
      <c r="Y155" s="285"/>
      <c r="AA155" s="25"/>
      <c r="AB155" s="25"/>
    </row>
    <row r="156" spans="3:28">
      <c r="C156" s="17" t="str">
        <f>C150</f>
        <v>06 Machinery</v>
      </c>
      <c r="D156" s="17"/>
      <c r="E156" s="23">
        <f>SUM(E150:E155)</f>
        <v>1</v>
      </c>
      <c r="F156" s="23">
        <f t="shared" ref="F156:O156" si="136">SUM(F150:F155)</f>
        <v>1</v>
      </c>
      <c r="G156" s="23">
        <f t="shared" si="136"/>
        <v>1</v>
      </c>
      <c r="H156" s="23">
        <f t="shared" si="136"/>
        <v>1</v>
      </c>
      <c r="I156" s="23">
        <f t="shared" si="136"/>
        <v>1.0029574153753249</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56"/>
  <sheetViews>
    <sheetView showGridLines="0"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8</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Food industry</v>
      </c>
      <c r="E5" s="25"/>
      <c r="F5" s="197"/>
      <c r="G5" s="198"/>
    </row>
    <row r="6" spans="3:29" ht="12.75" customHeight="1">
      <c r="C6" s="62"/>
      <c r="D6" s="70" t="str">
        <f>+INDEX(Commodities!$Y$6:$Y$17,D2)</f>
        <v>08 Food and tobacco</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08 Food and tobacco</v>
      </c>
      <c r="E9" s="25"/>
    </row>
    <row r="10" spans="3:29" ht="12.75" customHeight="1">
      <c r="C10" s="62" t="s">
        <v>154</v>
      </c>
      <c r="D10" s="70">
        <f>+ROW(Processes!$M$44) - ROW(Processes!$M$7)</f>
        <v>37</v>
      </c>
      <c r="E10" s="25"/>
    </row>
    <row r="11" spans="3:29" ht="12.75" customHeight="1">
      <c r="C11" s="62" t="s">
        <v>194</v>
      </c>
      <c r="D11" s="70">
        <f>+$D$10*$D$2-$D$10</f>
        <v>259</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Food and tobacco</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INDFDPHBNGAE1</v>
      </c>
      <c r="D26" s="146" t="str">
        <f ca="1">+OFFSET(Processes!E7,$D$11,0)</f>
        <v>Food industry Heat Medium Temp. Boiler - Nat. Gas Existing 1</v>
      </c>
      <c r="E26" s="149" t="str">
        <f>+Processes!O7</f>
        <v>INDSNG1,INDSNG2,INDNGA</v>
      </c>
      <c r="F26" s="149" t="str">
        <f ca="1">+OFFSET(Processes!$M$12,$D$11,0) &amp; Processes!P7</f>
        <v>IFDPH</v>
      </c>
      <c r="G26" s="322">
        <f>ROUNDUP(AN26/($Z26*$AA26)*G$21*W26,3)</f>
        <v>5606.54</v>
      </c>
      <c r="H26" s="322">
        <f t="shared" ref="H26:I26" si="0">ROUNDUP(AO26/($Z26*$AA26)*H$21*X26,3)</f>
        <v>0</v>
      </c>
      <c r="I26" s="322">
        <f t="shared" si="0"/>
        <v>295.08199999999999</v>
      </c>
      <c r="J26" s="322">
        <f>ROUNDUP(BA26/($Z26*$AA26)*J$21*W26,3)</f>
        <v>5937.527</v>
      </c>
      <c r="K26" s="322">
        <f>ROUNDUP(BB26/($Z26*$AA26)*K$21*X26,3)</f>
        <v>0</v>
      </c>
      <c r="L26" s="322">
        <f>ROUNDUP(BC26/($Z26*$AA26)*L$21*Y26,3)</f>
        <v>312.50199999999995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90.117966441721549</v>
      </c>
      <c r="AH26" s="236">
        <f t="shared" ref="AH26:AH41" si="9">((J26*Z26*AA26/W26)+(K26*Z26*AA26/X26))/$J$21</f>
        <v>94.587720484946459</v>
      </c>
      <c r="AI26" s="236">
        <f t="shared" ref="AI26:AI41" si="10">((M26*AA26*Z26/W26)+(N26*Z26*AA26/X26))/$M$21</f>
        <v>0</v>
      </c>
      <c r="AJ26" s="285"/>
      <c r="AK26" s="530" t="str">
        <f ca="1">F26</f>
        <v>IFDPH</v>
      </c>
      <c r="AL26" s="350" t="s">
        <v>97</v>
      </c>
      <c r="AM26" s="313">
        <f>I77/1000</f>
        <v>94.861013400000004</v>
      </c>
      <c r="AN26" s="310">
        <f>AM26*$AN$23</f>
        <v>90.117962730000002</v>
      </c>
      <c r="AO26" s="311">
        <f>AM26*$AO$23</f>
        <v>0</v>
      </c>
      <c r="AP26" s="311">
        <f>AM26*$AP$23</f>
        <v>4.7430506700000006</v>
      </c>
      <c r="AQ26" s="312">
        <f>IFERROR(G26*$Z26*$AA26/G$21,0)</f>
        <v>88.315607112887122</v>
      </c>
      <c r="AR26" s="311">
        <f>IFERROR(H26*$Z26*$AA26/H$21,0)</f>
        <v>0</v>
      </c>
      <c r="AS26" s="338">
        <f>IFERROR(I26*$Z26*$AA26/I$21,0)</f>
        <v>4.6482047712287722</v>
      </c>
      <c r="AT26" s="313">
        <f t="shared" ref="AT26:AV29" si="11">IFERROR(AQ26/W26,0)</f>
        <v>90.117966441721549</v>
      </c>
      <c r="AU26" s="310">
        <f t="shared" si="11"/>
        <v>0</v>
      </c>
      <c r="AV26" s="357">
        <f t="shared" si="11"/>
        <v>4.7430660930905839</v>
      </c>
      <c r="AW26" s="285"/>
      <c r="AX26" s="530" t="str">
        <f t="shared" ref="AX26:AX62" ca="1" si="12">AK26</f>
        <v>IFDPH</v>
      </c>
      <c r="AY26" s="350" t="s">
        <v>97</v>
      </c>
      <c r="AZ26" s="313">
        <f>I97/1000</f>
        <v>99.566009999999991</v>
      </c>
      <c r="BA26" s="310">
        <f>AZ26*$AN$23</f>
        <v>94.587709499999988</v>
      </c>
      <c r="BB26" s="311">
        <f>AZ26*$BB$23</f>
        <v>0</v>
      </c>
      <c r="BC26" s="311">
        <f>AZ26*$BC$23</f>
        <v>4.9783004999999996</v>
      </c>
      <c r="BD26" s="313">
        <f t="shared" ref="BD26" si="13">IFERROR(J26*$Z26*AA26/J$21,0)</f>
        <v>92.695966075247526</v>
      </c>
      <c r="BE26" s="310">
        <f t="shared" ref="BE26" si="14">IFERROR(K26*$Z26*AA26/K$21,0)</f>
        <v>0</v>
      </c>
      <c r="BF26" s="357">
        <f>IFERROR(L26*$Z26*AA26/L$21,0)</f>
        <v>4.8787440950495045</v>
      </c>
      <c r="BG26" s="313">
        <f t="shared" ref="BG26:BG35" si="15">IFERROR(BD26/W26,0)</f>
        <v>94.587720484946459</v>
      </c>
      <c r="BH26" s="310">
        <f t="shared" ref="BH26:BH35" si="16">IFERROR(BE26/X26,0)</f>
        <v>0</v>
      </c>
      <c r="BI26" s="357">
        <f t="shared" ref="BI26:BI35" si="17">IFERROR(BF26/Y26,0)</f>
        <v>4.9783103010709233</v>
      </c>
      <c r="BJ26" s="285"/>
      <c r="BK26" s="530" t="str">
        <f ca="1">AK26</f>
        <v>IFDPH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INDFDPHBCOAE1</v>
      </c>
      <c r="D27" s="146" t="str">
        <f ca="1">+OFFSET(Processes!E8,$D$11,0)</f>
        <v>Food industry Heat Medium Temp. Boiler - Coal Existing 1</v>
      </c>
      <c r="E27" s="149" t="str">
        <f>+Processes!O8</f>
        <v>INDCOA</v>
      </c>
      <c r="F27" s="149" t="str">
        <f ca="1">+OFFSET(Processes!$M$12,$D$11,0) &amp; Processes!P8</f>
        <v>IFDPH</v>
      </c>
      <c r="G27" s="322">
        <f t="shared" ref="G27:G62" si="18">ROUNDUP(AN27/($Z27*$AA27)*G$21*W27,3)</f>
        <v>479.63899999999995</v>
      </c>
      <c r="H27" s="322">
        <f t="shared" ref="H27:H62" si="19">ROUNDUP(AO27/($Z27*$AA27)*H$21*X27,3)</f>
        <v>0</v>
      </c>
      <c r="I27" s="322">
        <f t="shared" ref="I27:I61" si="20">ROUNDUP(AP27/($Z27*$AA27)*I$21*Y27,3)</f>
        <v>25.245000000000001</v>
      </c>
      <c r="J27" s="322">
        <f t="shared" ref="J27:J62" si="21">ROUNDUP(BA27/($Z27*$AA27)*J$21*W27,3)</f>
        <v>497.596</v>
      </c>
      <c r="K27" s="322">
        <f t="shared" ref="K27:K62" si="22">ROUNDUP(BB27/($Z27*$AA27)*K$21*X27,3)</f>
        <v>0</v>
      </c>
      <c r="L27" s="322">
        <f t="shared" ref="L27:L62" si="23">ROUNDUP(BC27/($Z27*$AA27)*L$21*Y27,3)</f>
        <v>26.19</v>
      </c>
      <c r="M27" s="322">
        <f t="shared" ref="M27:M62" si="24">ROUNDUP(BN27/($Z27*$AA27)*M$21*W27,3)</f>
        <v>444.49899999999997</v>
      </c>
      <c r="N27" s="322">
        <f t="shared" ref="N27:N62" si="25">ROUNDUP(BO27/($Z27*$AA27)*N$21*X27,3)</f>
        <v>0</v>
      </c>
      <c r="O27" s="322">
        <f t="shared" ref="O27:O62" si="26">ROUNDUP(BP27/($Z27*$AA27)*O$21*Y27,3)</f>
        <v>23.395</v>
      </c>
      <c r="P27" s="322">
        <f t="shared" si="1"/>
        <v>444.49899999999997</v>
      </c>
      <c r="Q27" s="322">
        <f t="shared" si="2"/>
        <v>0</v>
      </c>
      <c r="R27" s="322">
        <f t="shared" si="3"/>
        <v>23.395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8.1153516215256278</v>
      </c>
      <c r="AH27" s="236">
        <f t="shared" si="9"/>
        <v>8.3441564250087747</v>
      </c>
      <c r="AI27" s="236">
        <f t="shared" si="10"/>
        <v>7.4537761291488982</v>
      </c>
      <c r="AJ27" s="285"/>
      <c r="AK27" s="290"/>
      <c r="AL27" s="291" t="s">
        <v>98</v>
      </c>
      <c r="AM27" s="307">
        <f>D77/1000</f>
        <v>8.5424749999999996</v>
      </c>
      <c r="AN27" s="308">
        <f>AM27*$AN$23</f>
        <v>8.1153512499999998</v>
      </c>
      <c r="AO27" s="309">
        <f t="shared" ref="AO27:AO29" si="27">AM27*$AO$23</f>
        <v>0</v>
      </c>
      <c r="AP27" s="309">
        <f>AM27*$AP$23</f>
        <v>0.42712375000000002</v>
      </c>
      <c r="AQ27" s="306">
        <f t="shared" ref="AQ27:AQ62" si="28">IFERROR(G27*$Z27*$AA27/G$21,0)</f>
        <v>7.5553923596403596</v>
      </c>
      <c r="AR27" s="309">
        <f t="shared" ref="AR27:AR62" si="29">IFERROR(H27*$Z27*$AA27/H$21,0)</f>
        <v>0</v>
      </c>
      <c r="AS27" s="540">
        <f t="shared" ref="AS27:AS62" si="30">IFERROR(I27*$Z27*$AA27/I$21,0)</f>
        <v>0.3976654945054946</v>
      </c>
      <c r="AT27" s="307">
        <f t="shared" si="11"/>
        <v>8.1153516215256278</v>
      </c>
      <c r="AU27" s="308">
        <f t="shared" si="11"/>
        <v>0</v>
      </c>
      <c r="AV27" s="353">
        <f t="shared" si="11"/>
        <v>0.42713801772878046</v>
      </c>
      <c r="AW27" s="285"/>
      <c r="AX27" s="290"/>
      <c r="AY27" s="291" t="s">
        <v>98</v>
      </c>
      <c r="AZ27" s="307">
        <f>D97/1000</f>
        <v>8.7833140000000007</v>
      </c>
      <c r="BA27" s="308">
        <f>AZ27*$AN$23</f>
        <v>8.3441483000000005</v>
      </c>
      <c r="BB27" s="309">
        <f t="shared" ref="BB27:BB29" si="31">AZ27*$BB$23</f>
        <v>0</v>
      </c>
      <c r="BC27" s="309">
        <f t="shared" ref="BC27:BC29" si="32">AZ27*$BC$23</f>
        <v>0.43916570000000005</v>
      </c>
      <c r="BD27" s="307">
        <f t="shared" ref="BD27:BD62" si="33">IFERROR(J27*$Z27*AA27/J$21,0)</f>
        <v>7.768409631683169</v>
      </c>
      <c r="BE27" s="308">
        <f t="shared" ref="BE27:BE62" si="34">IFERROR(K27*$Z27*AA27/K$21,0)</f>
        <v>0</v>
      </c>
      <c r="BF27" s="353">
        <f t="shared" ref="BF27:BF62" si="35">IFERROR(L27*$Z27*AA27/L$21,0)</f>
        <v>0.40887516831683174</v>
      </c>
      <c r="BG27" s="307">
        <f t="shared" si="15"/>
        <v>8.3441564250087747</v>
      </c>
      <c r="BH27" s="308">
        <f t="shared" si="16"/>
        <v>0</v>
      </c>
      <c r="BI27" s="353">
        <f t="shared" si="17"/>
        <v>0.4391784836915486</v>
      </c>
      <c r="BJ27" s="285"/>
      <c r="BK27" s="290"/>
      <c r="BL27" s="291" t="s">
        <v>98</v>
      </c>
      <c r="BM27" s="307">
        <f>D117/1000</f>
        <v>7.8460739999999998</v>
      </c>
      <c r="BN27" s="308">
        <f>BM27*$AN$23</f>
        <v>7.4537702999999995</v>
      </c>
      <c r="BO27" s="309">
        <f t="shared" ref="BO27:BO29" si="36">BM27*$BB$23</f>
        <v>0</v>
      </c>
      <c r="BP27" s="309">
        <f t="shared" ref="BP27:BP29" si="37">BM27*$BC$23</f>
        <v>0.39230370000000003</v>
      </c>
      <c r="BQ27" s="307">
        <f t="shared" ref="BQ27:BQ62" si="38">IFERROR(M27*$Z27*$AA27/M$21,0)</f>
        <v>6.9394655762376241</v>
      </c>
      <c r="BR27" s="308">
        <f t="shared" ref="BR27:BR62" si="39">IFERROR(N27*$Z27*$AA27/N$21,0)</f>
        <v>0</v>
      </c>
      <c r="BS27" s="353">
        <f t="shared" ref="BS27:BS62" si="40">IFERROR(O27*$Z27*$AA27/O$21,0)</f>
        <v>0.36523996039603962</v>
      </c>
      <c r="BT27" s="307">
        <f t="shared" ref="BT27:BT35" si="41">IFERROR(BQ27/W27,0)</f>
        <v>7.4537761291488982</v>
      </c>
      <c r="BU27" s="308">
        <f t="shared" ref="BU27:BU35" si="42">IFERROR(BR27/X27,0)</f>
        <v>0</v>
      </c>
      <c r="BV27" s="353">
        <f t="shared" ref="BV27:BV35" si="43">IFERROR(BS27/Y27,0)</f>
        <v>0.39230930225138522</v>
      </c>
      <c r="BW27" s="285"/>
      <c r="BX27" s="285"/>
      <c r="BY27" s="285"/>
    </row>
    <row r="28" spans="3:77" ht="12.75" customHeight="1">
      <c r="C28" s="146" t="str">
        <f ca="1">+IF(OFFSET(Processes!B9,$D$11,0)="*","*",OFFSET(Processes!D9,$D$11,0))</f>
        <v>INDFDPHBDSLE1</v>
      </c>
      <c r="D28" s="146" t="str">
        <f ca="1">+OFFSET(Processes!E9,$D$11,0)</f>
        <v>Food industry Heat Medium Temp. Boiler - Diesel Existing 1</v>
      </c>
      <c r="E28" s="149" t="str">
        <f>+Processes!O9</f>
        <v>INDDSB1,INDDSB2,INDDSL</v>
      </c>
      <c r="F28" s="149" t="str">
        <f ca="1">+OFFSET(Processes!$M$12,$D$11,0) &amp; Processes!P9</f>
        <v>IFDPH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INDFDPHBWPEE1</v>
      </c>
      <c r="D29" s="146" t="str">
        <f ca="1">+OFFSET(Processes!E10,$D$11,0)</f>
        <v>Food industry Heat Medium Temp. Boiler - Wood Pellets Existing 1</v>
      </c>
      <c r="E29" s="149" t="str">
        <f>+Processes!O10</f>
        <v>INDWPE</v>
      </c>
      <c r="F29" s="149" t="str">
        <f ca="1">+OFFSET(Processes!$M$12,$D$11,0) &amp; Processes!P10</f>
        <v>IFDPH</v>
      </c>
      <c r="G29" s="321">
        <f t="shared" si="18"/>
        <v>59.480999999999995</v>
      </c>
      <c r="H29" s="321">
        <f t="shared" si="19"/>
        <v>0</v>
      </c>
      <c r="I29" s="321">
        <f t="shared" si="20"/>
        <v>3.1309999999999998</v>
      </c>
      <c r="J29" s="321">
        <f t="shared" si="21"/>
        <v>82.978000000000009</v>
      </c>
      <c r="K29" s="321">
        <f t="shared" si="22"/>
        <v>0</v>
      </c>
      <c r="L29" s="321">
        <f t="shared" si="23"/>
        <v>4.3680000000000003</v>
      </c>
      <c r="M29" s="321">
        <f t="shared" si="24"/>
        <v>42.781999999999996</v>
      </c>
      <c r="N29" s="321">
        <f t="shared" si="25"/>
        <v>0</v>
      </c>
      <c r="O29" s="321">
        <f t="shared" si="26"/>
        <v>2.2519999999999998</v>
      </c>
      <c r="P29" s="321">
        <f t="shared" si="1"/>
        <v>42.781999999999996</v>
      </c>
      <c r="Q29" s="321">
        <f t="shared" si="2"/>
        <v>0</v>
      </c>
      <c r="R29" s="321">
        <f t="shared" si="3"/>
        <v>2.2519999999999998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1.1248012587652445</v>
      </c>
      <c r="AH29" s="236">
        <f t="shared" si="9"/>
        <v>1.5551532739828609</v>
      </c>
      <c r="AI29" s="236">
        <f t="shared" si="10"/>
        <v>0.80180972507815007</v>
      </c>
      <c r="AJ29" s="285"/>
      <c r="AK29" s="290"/>
      <c r="AL29" s="559" t="s">
        <v>99</v>
      </c>
      <c r="AM29" s="560">
        <f>K77/1000</f>
        <v>1.1839999999999999</v>
      </c>
      <c r="AN29" s="561">
        <f>AM29*$AN$23</f>
        <v>1.1247999999999998</v>
      </c>
      <c r="AO29" s="562">
        <f t="shared" si="27"/>
        <v>0</v>
      </c>
      <c r="AP29" s="562">
        <f>AM29*$AP$23</f>
        <v>5.9200000000000003E-2</v>
      </c>
      <c r="AQ29" s="582">
        <f t="shared" si="28"/>
        <v>0.93695944855144864</v>
      </c>
      <c r="AR29" s="562">
        <f t="shared" si="29"/>
        <v>0</v>
      </c>
      <c r="AS29" s="563">
        <f t="shared" si="30"/>
        <v>4.9320287712287719E-2</v>
      </c>
      <c r="AT29" s="560">
        <f t="shared" si="11"/>
        <v>1.1248012587652445</v>
      </c>
      <c r="AU29" s="561">
        <f t="shared" si="11"/>
        <v>0</v>
      </c>
      <c r="AV29" s="566">
        <f t="shared" si="11"/>
        <v>5.9208028466131719E-2</v>
      </c>
      <c r="AW29" s="285"/>
      <c r="AX29" s="290"/>
      <c r="AY29" s="559" t="s">
        <v>99</v>
      </c>
      <c r="AZ29" s="560">
        <f>K97/1000</f>
        <v>1.637</v>
      </c>
      <c r="BA29" s="561">
        <f>AZ29*$AN$23</f>
        <v>1.55515</v>
      </c>
      <c r="BB29" s="562">
        <f t="shared" si="31"/>
        <v>0</v>
      </c>
      <c r="BC29" s="562">
        <f t="shared" si="32"/>
        <v>8.1850000000000006E-2</v>
      </c>
      <c r="BD29" s="560">
        <f t="shared" si="33"/>
        <v>1.295442677227723</v>
      </c>
      <c r="BE29" s="561">
        <f t="shared" si="34"/>
        <v>0</v>
      </c>
      <c r="BF29" s="566">
        <f t="shared" si="35"/>
        <v>6.8192697029702973E-2</v>
      </c>
      <c r="BG29" s="560">
        <f t="shared" si="15"/>
        <v>1.5551532739828609</v>
      </c>
      <c r="BH29" s="561">
        <f t="shared" si="16"/>
        <v>0</v>
      </c>
      <c r="BI29" s="566">
        <f t="shared" si="17"/>
        <v>8.1863982028454949E-2</v>
      </c>
      <c r="BJ29" s="285"/>
      <c r="BK29" s="290"/>
      <c r="BL29" s="559" t="s">
        <v>99</v>
      </c>
      <c r="BM29" s="560">
        <f>K117/1000</f>
        <v>0.84399999999999997</v>
      </c>
      <c r="BN29" s="561">
        <f>BM29*$AN$23</f>
        <v>0.80179999999999996</v>
      </c>
      <c r="BO29" s="562">
        <f t="shared" si="36"/>
        <v>0</v>
      </c>
      <c r="BP29" s="562">
        <f t="shared" si="37"/>
        <v>4.2200000000000001E-2</v>
      </c>
      <c r="BQ29" s="560">
        <f t="shared" si="38"/>
        <v>0.66790750099009899</v>
      </c>
      <c r="BR29" s="561">
        <f t="shared" si="39"/>
        <v>0</v>
      </c>
      <c r="BS29" s="566">
        <f t="shared" si="40"/>
        <v>3.5157956435643567E-2</v>
      </c>
      <c r="BT29" s="560">
        <f t="shared" si="41"/>
        <v>0.80180972507815007</v>
      </c>
      <c r="BU29" s="561">
        <f t="shared" si="42"/>
        <v>0</v>
      </c>
      <c r="BV29" s="566">
        <f t="shared" si="43"/>
        <v>4.220643029489024E-2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INDFDPHBBGAE1</v>
      </c>
      <c r="D31" s="146" t="str">
        <f ca="1">+OFFSET(Processes!E12,$D$11,0)</f>
        <v>Food industry Heat Medium Temp. Boiler - Biogas Existing 1</v>
      </c>
      <c r="E31" s="149" t="str">
        <f>+Processes!O12</f>
        <v>INDBGA</v>
      </c>
      <c r="F31" s="172" t="str">
        <f ca="1">+OFFSET(Processes!$M$12,$D$11,0) &amp; Processes!P12</f>
        <v>IFDPH</v>
      </c>
      <c r="G31" s="322">
        <f t="shared" si="18"/>
        <v>34.457000000000001</v>
      </c>
      <c r="H31" s="322">
        <f t="shared" si="19"/>
        <v>0</v>
      </c>
      <c r="I31" s="322">
        <f t="shared" si="20"/>
        <v>1.8139999999999998</v>
      </c>
      <c r="J31" s="322" t="e">
        <f t="shared" si="21"/>
        <v>#REF!</v>
      </c>
      <c r="K31" s="322" t="e">
        <f t="shared" si="22"/>
        <v>#REF!</v>
      </c>
      <c r="L31" s="322" t="e">
        <f t="shared" si="23"/>
        <v>#REF!</v>
      </c>
      <c r="M31" s="322">
        <f t="shared" si="24"/>
        <v>6952.9480000000003</v>
      </c>
      <c r="N31" s="322">
        <f t="shared" si="25"/>
        <v>0</v>
      </c>
      <c r="O31" s="322">
        <f t="shared" si="26"/>
        <v>365.94499999999999</v>
      </c>
      <c r="P31" s="322">
        <f t="shared" si="1"/>
        <v>6952.9480000000003</v>
      </c>
      <c r="Q31" s="322">
        <f t="shared" si="2"/>
        <v>0</v>
      </c>
      <c r="R31" s="322">
        <f t="shared" si="3"/>
        <v>365.94499999999999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0.55385224571347047</v>
      </c>
      <c r="AH31" s="236" t="e">
        <f t="shared" si="9"/>
        <v>#REF!</v>
      </c>
      <c r="AI31" s="236">
        <f t="shared" si="10"/>
        <v>110.76387559506972</v>
      </c>
      <c r="AJ31" s="285"/>
      <c r="AK31" s="290"/>
      <c r="AL31" s="559" t="s">
        <v>100</v>
      </c>
      <c r="AM31" s="560">
        <f>J77/1000</f>
        <v>0.58299999999999996</v>
      </c>
      <c r="AN31" s="561">
        <f t="shared" ref="AN31:AN41" si="47">AM31*$AN$23</f>
        <v>0.55384999999999995</v>
      </c>
      <c r="AO31" s="562">
        <f t="shared" ref="AO31:AO33" si="48">AM31*$AO$23</f>
        <v>0</v>
      </c>
      <c r="AP31" s="562">
        <f t="shared" ref="AP31:AP37" si="49">AM31*$AP$23</f>
        <v>2.9149999999999999E-2</v>
      </c>
      <c r="AQ31" s="582">
        <f t="shared" si="28"/>
        <v>0.54277520079920094</v>
      </c>
      <c r="AR31" s="562">
        <f t="shared" si="29"/>
        <v>0</v>
      </c>
      <c r="AS31" s="563">
        <f>IFERROR(I31*$Z31*$AA31/I$21,0)</f>
        <v>2.8574577422577425E-2</v>
      </c>
      <c r="AT31" s="560">
        <f t="shared" ref="AT31:AV34" si="50">IFERROR(AQ31/W31,0)</f>
        <v>0.55385224571347036</v>
      </c>
      <c r="AU31" s="561">
        <f t="shared" si="50"/>
        <v>0</v>
      </c>
      <c r="AV31" s="566">
        <f t="shared" si="50"/>
        <v>2.9157732063854514E-2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116.593553</v>
      </c>
      <c r="BN31" s="561">
        <f>BM31*$AN$23</f>
        <v>110.76387534999999</v>
      </c>
      <c r="BO31" s="562">
        <f>BM31*$BB$23</f>
        <v>0</v>
      </c>
      <c r="BP31" s="562">
        <f>BM31*$BC$23</f>
        <v>5.8296776500000007</v>
      </c>
      <c r="BQ31" s="560">
        <f t="shared" si="38"/>
        <v>108.54859808316833</v>
      </c>
      <c r="BR31" s="561">
        <f t="shared" si="39"/>
        <v>0</v>
      </c>
      <c r="BS31" s="566">
        <f t="shared" si="40"/>
        <v>5.7130898613861385</v>
      </c>
      <c r="BT31" s="560">
        <f t="shared" si="41"/>
        <v>110.76387559506972</v>
      </c>
      <c r="BU31" s="561">
        <f t="shared" si="42"/>
        <v>0</v>
      </c>
      <c r="BV31" s="566">
        <f t="shared" si="43"/>
        <v>5.8296835320266718</v>
      </c>
      <c r="BW31" s="285"/>
      <c r="BX31" s="285"/>
      <c r="BY31" s="285"/>
    </row>
    <row r="32" spans="3:77" ht="12.75" customHeight="1">
      <c r="C32" s="146" t="str">
        <f ca="1">+IF(OFFSET(Processes!B13,$D$11,0)="*","*",OFFSET(Processes!D13,$D$11,0))</f>
        <v>INDFDPHBHFOE1</v>
      </c>
      <c r="D32" s="146" t="str">
        <f ca="1">+OFFSET(Processes!E13,$D$11,0)</f>
        <v>Food industry Heat Medium Temp. Boiler - Heavy Fuel Oil Existing 1</v>
      </c>
      <c r="E32" s="149" t="str">
        <f>+Processes!O13</f>
        <v>INDHFO</v>
      </c>
      <c r="F32" s="172" t="str">
        <f ca="1">+OFFSET(Processes!$M$12,$D$11,0) &amp; Processes!P13</f>
        <v>IFDPH</v>
      </c>
      <c r="G32" s="322">
        <f t="shared" si="18"/>
        <v>106.476</v>
      </c>
      <c r="H32" s="322">
        <f t="shared" si="19"/>
        <v>0</v>
      </c>
      <c r="I32" s="322">
        <f t="shared" si="20"/>
        <v>5.6040000000000001</v>
      </c>
      <c r="J32" s="322">
        <f t="shared" si="21"/>
        <v>60.001999999999995</v>
      </c>
      <c r="K32" s="322">
        <f t="shared" si="22"/>
        <v>0</v>
      </c>
      <c r="L32" s="322">
        <f t="shared" si="23"/>
        <v>3.1579999999999999</v>
      </c>
      <c r="M32" s="322">
        <f t="shared" si="24"/>
        <v>68.566000000000003</v>
      </c>
      <c r="N32" s="322">
        <f t="shared" si="25"/>
        <v>0</v>
      </c>
      <c r="O32" s="322">
        <f t="shared" si="26"/>
        <v>3.609</v>
      </c>
      <c r="P32" s="322">
        <f t="shared" si="1"/>
        <v>68.566000000000003</v>
      </c>
      <c r="Q32" s="322">
        <f t="shared" si="2"/>
        <v>0</v>
      </c>
      <c r="R32" s="322">
        <f t="shared" si="3"/>
        <v>3.609</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1.8015427837468658</v>
      </c>
      <c r="AH32" s="236">
        <f t="shared" si="9"/>
        <v>1.0061698120832492</v>
      </c>
      <c r="AI32" s="236">
        <f t="shared" si="10"/>
        <v>1.1497789962884584</v>
      </c>
      <c r="AJ32" s="285"/>
      <c r="AK32" s="290"/>
      <c r="AL32" s="559" t="s">
        <v>101</v>
      </c>
      <c r="AM32" s="560">
        <f>E77/1000</f>
        <v>1.8963559999999999</v>
      </c>
      <c r="AN32" s="561">
        <f t="shared" si="47"/>
        <v>1.8015381999999998</v>
      </c>
      <c r="AO32" s="562">
        <f>AM32*$AO$23</f>
        <v>0</v>
      </c>
      <c r="AP32" s="562">
        <f t="shared" si="49"/>
        <v>9.4817800000000008E-2</v>
      </c>
      <c r="AQ32" s="582">
        <f t="shared" si="28"/>
        <v>1.6772363316683319</v>
      </c>
      <c r="AR32" s="562">
        <f t="shared" si="29"/>
        <v>0</v>
      </c>
      <c r="AS32" s="563">
        <f t="shared" si="30"/>
        <v>8.8275596403596418E-2</v>
      </c>
      <c r="AT32" s="560">
        <f t="shared" si="50"/>
        <v>1.8015427837468656</v>
      </c>
      <c r="AU32" s="561">
        <f t="shared" si="50"/>
        <v>0</v>
      </c>
      <c r="AV32" s="566">
        <f t="shared" si="50"/>
        <v>9.4818041249835047E-2</v>
      </c>
      <c r="AW32" s="285"/>
      <c r="AX32" s="290"/>
      <c r="AY32" s="559" t="s">
        <v>101</v>
      </c>
      <c r="AZ32" s="560">
        <f>E97/1000</f>
        <v>1.05911</v>
      </c>
      <c r="BA32" s="561">
        <f>AZ32*$AN$23</f>
        <v>1.0061544999999998</v>
      </c>
      <c r="BB32" s="562">
        <f t="shared" ref="BB32:BB34" si="51">AZ32*$BB$23</f>
        <v>0</v>
      </c>
      <c r="BC32" s="562">
        <f t="shared" ref="BC32:BC34" si="52">AZ32*$BC$23</f>
        <v>5.2955500000000003E-2</v>
      </c>
      <c r="BD32" s="560">
        <f>IFERROR(J32*$Z32*AA32/J$21,0)</f>
        <v>0.93674409504950495</v>
      </c>
      <c r="BE32" s="561">
        <f t="shared" si="34"/>
        <v>0</v>
      </c>
      <c r="BF32" s="566">
        <f t="shared" si="35"/>
        <v>4.9302320792079204E-2</v>
      </c>
      <c r="BG32" s="560">
        <f t="shared" si="15"/>
        <v>1.0061698120832492</v>
      </c>
      <c r="BH32" s="561">
        <f t="shared" si="16"/>
        <v>0</v>
      </c>
      <c r="BI32" s="566">
        <f t="shared" si="17"/>
        <v>5.2956305899118379E-2</v>
      </c>
      <c r="BJ32" s="285"/>
      <c r="BK32" s="290"/>
      <c r="BL32" s="559" t="s">
        <v>101</v>
      </c>
      <c r="BM32" s="560">
        <f>E117/1000</f>
        <v>1.2102899999999999</v>
      </c>
      <c r="BN32" s="561">
        <f>BM32*$AN$23</f>
        <v>1.1497754999999998</v>
      </c>
      <c r="BO32" s="562">
        <f t="shared" ref="BO32:BO62" si="53">BM32*$BB$23</f>
        <v>0</v>
      </c>
      <c r="BP32" s="562">
        <f t="shared" ref="BP32:BP62" si="54">BM32*$BC$23</f>
        <v>6.0514499999999999E-2</v>
      </c>
      <c r="BQ32" s="560">
        <f t="shared" si="38"/>
        <v>1.0704442455445544</v>
      </c>
      <c r="BR32" s="561">
        <f t="shared" si="39"/>
        <v>0</v>
      </c>
      <c r="BS32" s="566">
        <f t="shared" si="40"/>
        <v>5.6343279207920795E-2</v>
      </c>
      <c r="BT32" s="560">
        <f t="shared" si="41"/>
        <v>1.1497789962884581</v>
      </c>
      <c r="BU32" s="561">
        <f t="shared" si="42"/>
        <v>0</v>
      </c>
      <c r="BV32" s="566">
        <f t="shared" si="43"/>
        <v>6.0519096893577658E-2</v>
      </c>
      <c r="BW32" s="285"/>
      <c r="BX32" s="285"/>
      <c r="BY32" s="285"/>
    </row>
    <row r="33" spans="3:77" ht="12.75" customHeight="1">
      <c r="C33" s="146" t="str">
        <f ca="1">+IF(OFFSET(Processes!B14,$D$11,0)="*","*",OFFSET(Processes!D14,$D$11,0))</f>
        <v>INDFDPHBLPGE1</v>
      </c>
      <c r="D33" s="146" t="str">
        <f ca="1">+OFFSET(Processes!E14,$D$11,0)</f>
        <v>Food industry Heat Medium Temp. Boiler - Liquified Petroleum Gas Existing 1</v>
      </c>
      <c r="E33" s="149" t="str">
        <f>+Processes!O14</f>
        <v>INDLPG</v>
      </c>
      <c r="F33" s="172" t="str">
        <f ca="1">+OFFSET(Processes!$M$12,$D$11,0) &amp; Processes!P14</f>
        <v>IFDPH</v>
      </c>
      <c r="G33" s="322">
        <f t="shared" si="18"/>
        <v>42.440999999999995</v>
      </c>
      <c r="H33" s="322">
        <f t="shared" si="19"/>
        <v>0</v>
      </c>
      <c r="I33" s="322">
        <f t="shared" si="20"/>
        <v>2.234</v>
      </c>
      <c r="J33" s="322">
        <f t="shared" si="21"/>
        <v>5.4110000000000005</v>
      </c>
      <c r="K33" s="322">
        <f t="shared" si="22"/>
        <v>0</v>
      </c>
      <c r="L33" s="322">
        <f t="shared" si="23"/>
        <v>0.28499999999999998</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0.68218484372770083</v>
      </c>
      <c r="AH33" s="236">
        <f t="shared" si="9"/>
        <v>8.6199886845827453E-2</v>
      </c>
      <c r="AI33" s="236" t="e">
        <f t="shared" si="10"/>
        <v>#REF!</v>
      </c>
      <c r="AJ33" s="285"/>
      <c r="AK33" s="290"/>
      <c r="AL33" s="559" t="s">
        <v>53</v>
      </c>
      <c r="AM33" s="560">
        <f>H77/1000</f>
        <v>0.71808360000000004</v>
      </c>
      <c r="AN33" s="561">
        <f t="shared" si="47"/>
        <v>0.68217941999999998</v>
      </c>
      <c r="AO33" s="562">
        <f t="shared" si="48"/>
        <v>0</v>
      </c>
      <c r="AP33" s="562">
        <f t="shared" si="49"/>
        <v>3.5904180000000001E-2</v>
      </c>
      <c r="AQ33" s="582">
        <f t="shared" si="28"/>
        <v>0.66854114685314681</v>
      </c>
      <c r="AR33" s="562">
        <f t="shared" si="29"/>
        <v>0</v>
      </c>
      <c r="AS33" s="563">
        <f t="shared" si="30"/>
        <v>3.5190521478521482E-2</v>
      </c>
      <c r="AT33" s="560">
        <f t="shared" si="50"/>
        <v>0.68218484372770083</v>
      </c>
      <c r="AU33" s="561">
        <f t="shared" si="50"/>
        <v>0</v>
      </c>
      <c r="AV33" s="566">
        <f t="shared" si="50"/>
        <v>3.5908695386246407E-2</v>
      </c>
      <c r="AW33" s="285"/>
      <c r="AX33" s="290"/>
      <c r="AY33" s="559" t="s">
        <v>53</v>
      </c>
      <c r="AZ33" s="560">
        <f>H97/1000</f>
        <v>9.0732000000000007E-2</v>
      </c>
      <c r="BA33" s="561">
        <f>AZ33*$AN$23</f>
        <v>8.6195400000000005E-2</v>
      </c>
      <c r="BB33" s="562">
        <f t="shared" si="51"/>
        <v>0</v>
      </c>
      <c r="BC33" s="562">
        <f t="shared" si="52"/>
        <v>4.5366000000000009E-3</v>
      </c>
      <c r="BD33" s="560">
        <f t="shared" si="33"/>
        <v>8.4475889108910907E-2</v>
      </c>
      <c r="BE33" s="561">
        <f t="shared" si="34"/>
        <v>0</v>
      </c>
      <c r="BF33" s="566">
        <f t="shared" si="35"/>
        <v>4.4493861386138613E-3</v>
      </c>
      <c r="BG33" s="560">
        <f t="shared" si="15"/>
        <v>8.6199886845827453E-2</v>
      </c>
      <c r="BH33" s="561">
        <f t="shared" si="16"/>
        <v>0</v>
      </c>
      <c r="BI33" s="566">
        <f t="shared" si="17"/>
        <v>4.5401899373610829E-3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INDFDPHBWSTE1</v>
      </c>
      <c r="D34" s="146" t="str">
        <f ca="1">+OFFSET(Processes!E15,$D$11,0)</f>
        <v>Food industry Heat Medium Temp. Boiler - Waste Existing 1</v>
      </c>
      <c r="E34" s="149" t="str">
        <f>+Processes!O15</f>
        <v>INDWST</v>
      </c>
      <c r="F34" s="172" t="str">
        <f ca="1">+OFFSET(Processes!$M$12,$D$11,0) &amp; Processes!P15</f>
        <v>IFDPH</v>
      </c>
      <c r="G34" s="322">
        <f t="shared" si="18"/>
        <v>21.561</v>
      </c>
      <c r="H34" s="322">
        <f t="shared" si="19"/>
        <v>0</v>
      </c>
      <c r="I34" s="322">
        <f t="shared" si="20"/>
        <v>1.1349999999999998</v>
      </c>
      <c r="J34" s="322">
        <f t="shared" si="21"/>
        <v>0</v>
      </c>
      <c r="K34" s="322">
        <f t="shared" si="22"/>
        <v>0</v>
      </c>
      <c r="L34" s="322">
        <f t="shared" si="23"/>
        <v>0</v>
      </c>
      <c r="M34" s="322">
        <f t="shared" si="24"/>
        <v>119.59400000000001</v>
      </c>
      <c r="N34" s="322">
        <f t="shared" si="25"/>
        <v>0</v>
      </c>
      <c r="O34" s="322">
        <f t="shared" si="26"/>
        <v>6.2949999999999999</v>
      </c>
      <c r="P34" s="322">
        <f t="shared" si="1"/>
        <v>119.59400000000001</v>
      </c>
      <c r="Q34" s="322">
        <f t="shared" si="2"/>
        <v>0</v>
      </c>
      <c r="R34" s="322">
        <f t="shared" si="3"/>
        <v>6.2949999999999999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0.36480581502278614</v>
      </c>
      <c r="AH34" s="236">
        <f t="shared" si="9"/>
        <v>0</v>
      </c>
      <c r="AI34" s="236">
        <f t="shared" si="10"/>
        <v>2.0054643596260813</v>
      </c>
      <c r="AJ34" s="285"/>
      <c r="AK34" s="290"/>
      <c r="AL34" s="559" t="s">
        <v>102</v>
      </c>
      <c r="AM34" s="560">
        <f>$L77/1000</f>
        <v>0.38400000000000001</v>
      </c>
      <c r="AN34" s="561">
        <f t="shared" si="47"/>
        <v>0.36480000000000001</v>
      </c>
      <c r="AO34" s="562">
        <f t="shared" ref="AO34" si="55">AM34*$AO$23</f>
        <v>0</v>
      </c>
      <c r="AP34" s="562">
        <f t="shared" si="49"/>
        <v>1.9200000000000002E-2</v>
      </c>
      <c r="AQ34" s="582">
        <f t="shared" si="28"/>
        <v>0.33963421378621383</v>
      </c>
      <c r="AR34" s="562">
        <f t="shared" si="29"/>
        <v>0</v>
      </c>
      <c r="AS34" s="563">
        <f t="shared" si="30"/>
        <v>1.7878801198801197E-2</v>
      </c>
      <c r="AT34" s="560">
        <f t="shared" si="50"/>
        <v>0.36480581502278608</v>
      </c>
      <c r="AU34" s="561">
        <f t="shared" si="50"/>
        <v>0</v>
      </c>
      <c r="AV34" s="566">
        <f t="shared" si="50"/>
        <v>1.9203868097530826E-2</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2.1110000000000002</v>
      </c>
      <c r="BN34" s="561">
        <f>BM34*$AN$23</f>
        <v>2.0054500000000002</v>
      </c>
      <c r="BO34" s="562">
        <f t="shared" si="53"/>
        <v>0</v>
      </c>
      <c r="BP34" s="562">
        <f t="shared" si="54"/>
        <v>0.10555000000000002</v>
      </c>
      <c r="BQ34" s="560">
        <f t="shared" si="38"/>
        <v>1.8670873188118813</v>
      </c>
      <c r="BR34" s="561">
        <f t="shared" si="39"/>
        <v>0</v>
      </c>
      <c r="BS34" s="566">
        <f t="shared" si="40"/>
        <v>9.8276792079207934E-2</v>
      </c>
      <c r="BT34" s="560">
        <f t="shared" si="41"/>
        <v>2.0054643596260808</v>
      </c>
      <c r="BU34" s="561">
        <f t="shared" si="42"/>
        <v>0</v>
      </c>
      <c r="BV34" s="566">
        <f t="shared" si="43"/>
        <v>0.10556046410226416</v>
      </c>
      <c r="BW34" s="285"/>
      <c r="BX34" s="285"/>
      <c r="BY34" s="285"/>
    </row>
    <row r="35" spans="3:77" ht="12.75" customHeight="1">
      <c r="C35" s="173" t="str">
        <f ca="1">+IF(OFFSET(Processes!B16,$D$11,0)="*","*",OFFSET(Processes!D16,$D$11,0))</f>
        <v>INDFDPHBHETE1</v>
      </c>
      <c r="D35" s="146" t="str">
        <f ca="1">+OFFSET(Processes!E16,$D$11,0)</f>
        <v>Food industry Heat Medium Temp. Boiler - Dist. Heat Existing 1</v>
      </c>
      <c r="E35" s="149" t="str">
        <f>+Processes!O16</f>
        <v>INDHCE</v>
      </c>
      <c r="F35" s="172" t="str">
        <f ca="1">+OFFSET(Processes!$M$12,$D$11,0) &amp; Processes!P16</f>
        <v>IFDPH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INDFDPHBHETE2</v>
      </c>
      <c r="D36" s="146" t="str">
        <f ca="1">+OFFSET(Processes!E17,$D$11,0)</f>
        <v>Food industry Heat Medium Temp. Boiler - Dist. Heat Existing 2</v>
      </c>
      <c r="E36" s="149" t="str">
        <f>+Processes!O17</f>
        <v>INDHDE</v>
      </c>
      <c r="F36" s="172" t="str">
        <f ca="1">+OFFSET(Processes!$M$12,$D$11,0) &amp; Processes!P17</f>
        <v>IFDPH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INDFDPHBELCE1</v>
      </c>
      <c r="D37" s="148" t="str">
        <f ca="1">+OFFSET(Processes!E18,$D$11,0)</f>
        <v>Food industry Heat Medium Temp. Boiler - Electricity Existing 1</v>
      </c>
      <c r="E37" s="174" t="str">
        <f>+Processes!O18</f>
        <v>INDELC</v>
      </c>
      <c r="F37" s="174" t="str">
        <f ca="1">+OFFSET(Processes!$M$12,$D$11,0) &amp; Processes!P18</f>
        <v>IFDPH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INDFDCOBNGAE1</v>
      </c>
      <c r="D38" s="173" t="str">
        <f ca="1">+OFFSET(Processes!E19,$D$11,0)</f>
        <v>Food industry Heat High Temp. Boiler - Nat. Gas Existing 1</v>
      </c>
      <c r="E38" s="172" t="str">
        <f>+Processes!O19</f>
        <v>INDSNG1,INDSNG2,INDNGA</v>
      </c>
      <c r="F38" s="172" t="str">
        <f ca="1">+OFFSET(Processes!$M$12,$D$11,0) &amp; Processes!P19</f>
        <v>IFDCO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IFDCO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IFDCO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IFDCO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INDFDCOBCOAE1</v>
      </c>
      <c r="D39" s="173" t="str">
        <f ca="1">+OFFSET(Processes!E20,$D$11,0)</f>
        <v>Food industry Heat High Temp. Boiler - Coal Existing 1</v>
      </c>
      <c r="E39" s="172" t="str">
        <f>+Processes!O20</f>
        <v>INDCOA</v>
      </c>
      <c r="F39" s="172" t="str">
        <f ca="1">+OFFSET(Processes!$M$12,$D$11,0) &amp; Processes!P20</f>
        <v>IFDCO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INDFDCOBDSLE1</v>
      </c>
      <c r="D40" s="173" t="str">
        <f ca="1">+OFFSET(Processes!E21,$D$11,0)</f>
        <v>Food industry Heat High Temp. Boiler - Diesel Existing 1</v>
      </c>
      <c r="E40" s="172" t="str">
        <f>+Processes!O21</f>
        <v>INDDSB1,INDDSB2,INDDSL</v>
      </c>
      <c r="F40" s="172" t="str">
        <f ca="1">+OFFSET(Processes!$M$12,$D$11,0) &amp; Processes!P21</f>
        <v>IFDCO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INDFDCOBWPEE1</v>
      </c>
      <c r="D41" s="173" t="str">
        <f ca="1">+OFFSET(Processes!E22,$D$11,0)</f>
        <v>Food industry Heat High Temp. Boiler - Wood Pellets Existing 1</v>
      </c>
      <c r="E41" s="172" t="str">
        <f>+Processes!O22</f>
        <v>INDWPE</v>
      </c>
      <c r="F41" s="172" t="str">
        <f ca="1">+OFFSET(Processes!$M$12,$D$11,0) &amp; Processes!P22</f>
        <v>IFDCO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INDFDCOBHFOE1</v>
      </c>
      <c r="D43" s="173" t="str">
        <f ca="1">+OFFSET(Processes!E24,$D$11,0)</f>
        <v>Food industry Heat High Temp. Boiler - Heavy Fuel Oil Existing 1</v>
      </c>
      <c r="E43" s="172" t="str">
        <f>+Processes!O24</f>
        <v>INDHFO</v>
      </c>
      <c r="F43" s="172" t="str">
        <f ca="1">+OFFSET(Processes!$M$12,$D$11,0) &amp; Processes!P24</f>
        <v>IFDCO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INDFDCOBLPGE1</v>
      </c>
      <c r="D44" s="173" t="str">
        <f ca="1">+OFFSET(Processes!E25,$D$11,0)</f>
        <v>Food industry Heat High Temp. Boiler - Liquified Petroleum Gas Existing 1</v>
      </c>
      <c r="E44" s="172" t="str">
        <f>+Processes!O25</f>
        <v>INDLPG</v>
      </c>
      <c r="F44" s="172" t="str">
        <f ca="1">+OFFSET(Processes!$M$12,$D$11,0) &amp; Processes!P25</f>
        <v>IFDCO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INDFDCOBWSTE1</v>
      </c>
      <c r="D45" s="173" t="str">
        <f ca="1">+OFFSET(Processes!E26,$D$11,0)</f>
        <v>Food industry Heat High Temp. Boiler - Waste Existing 1</v>
      </c>
      <c r="E45" s="172" t="str">
        <f>+Processes!O26</f>
        <v>INDWST</v>
      </c>
      <c r="F45" s="172" t="str">
        <f ca="1">+OFFSET(Processes!$M$12,$D$11,0) &amp; Processes!P26</f>
        <v>IFDCO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INDFDCOBELCE1</v>
      </c>
      <c r="D46" s="148" t="str">
        <f ca="1">+OFFSET(Processes!E27,$D$11,0)</f>
        <v>Food industry Heat High Temp. Boiler - Electricity Existing 1</v>
      </c>
      <c r="E46" s="174" t="str">
        <f>+Processes!O27</f>
        <v>INDELC</v>
      </c>
      <c r="F46" s="174" t="str">
        <f ca="1">+OFFSET(Processes!$M$12,$D$11,0) &amp; Processes!P27</f>
        <v>IFDCO</v>
      </c>
      <c r="G46" s="324">
        <f t="shared" si="18"/>
        <v>694.30099999999993</v>
      </c>
      <c r="H46" s="324">
        <f t="shared" si="19"/>
        <v>36.542999999999999</v>
      </c>
      <c r="I46" s="324">
        <f t="shared" si="20"/>
        <v>0</v>
      </c>
      <c r="J46" s="324">
        <f t="shared" si="21"/>
        <v>727.28599999999994</v>
      </c>
      <c r="K46" s="324">
        <f t="shared" si="22"/>
        <v>0</v>
      </c>
      <c r="L46" s="324">
        <f t="shared" si="23"/>
        <v>38.278999999999996</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12.618027309063939</v>
      </c>
      <c r="AH46" s="236">
        <f t="shared" si="71"/>
        <v>12.44470793066724</v>
      </c>
      <c r="AI46" s="236">
        <f t="shared" si="72"/>
        <v>0</v>
      </c>
      <c r="AJ46" s="285"/>
      <c r="AK46" s="355"/>
      <c r="AL46" s="567" t="s">
        <v>61</v>
      </c>
      <c r="AM46" s="568">
        <f>M78/1000</f>
        <v>12.618</v>
      </c>
      <c r="AN46" s="576">
        <f t="shared" si="73"/>
        <v>11.9871</v>
      </c>
      <c r="AO46" s="576">
        <f>AM46*(1-$AN$23)</f>
        <v>0.63090000000000057</v>
      </c>
      <c r="AP46" s="576"/>
      <c r="AQ46" s="586">
        <f t="shared" si="28"/>
        <v>10.936801366633366</v>
      </c>
      <c r="AR46" s="576">
        <f t="shared" si="29"/>
        <v>0.57563438961038971</v>
      </c>
      <c r="AS46" s="577">
        <f t="shared" si="30"/>
        <v>0</v>
      </c>
      <c r="AT46" s="568">
        <f t="shared" si="74"/>
        <v>11.987112131604558</v>
      </c>
      <c r="AU46" s="569">
        <f t="shared" si="74"/>
        <v>0.63091517745938064</v>
      </c>
      <c r="AV46" s="570">
        <f t="shared" si="74"/>
        <v>0</v>
      </c>
      <c r="AW46" s="285"/>
      <c r="AX46" s="355"/>
      <c r="AY46" s="567" t="s">
        <v>61</v>
      </c>
      <c r="AZ46" s="568">
        <f>M98/1000</f>
        <v>13.099680000000001</v>
      </c>
      <c r="BA46" s="576">
        <f t="shared" si="75"/>
        <v>12.444696</v>
      </c>
      <c r="BB46" s="576">
        <f t="shared" si="60"/>
        <v>0</v>
      </c>
      <c r="BC46" s="576">
        <f t="shared" si="61"/>
        <v>0.65498400000000012</v>
      </c>
      <c r="BD46" s="568">
        <f t="shared" si="33"/>
        <v>11.354302621782177</v>
      </c>
      <c r="BE46" s="569">
        <f t="shared" si="34"/>
        <v>0</v>
      </c>
      <c r="BF46" s="570">
        <f t="shared" si="35"/>
        <v>0.59760719999999989</v>
      </c>
      <c r="BG46" s="568">
        <f t="shared" si="62"/>
        <v>12.44470793066724</v>
      </c>
      <c r="BH46" s="569">
        <f t="shared" si="63"/>
        <v>0</v>
      </c>
      <c r="BI46" s="570">
        <f t="shared" si="64"/>
        <v>0.65499813674126994</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INDFDSHBNGAE1</v>
      </c>
      <c r="D47" s="146" t="str">
        <f ca="1">+OFFSET(Processes!E28,$D$11,0)</f>
        <v>Food industry Heat Room Boiler - Nat. Gas Existing 1</v>
      </c>
      <c r="E47" s="149" t="str">
        <f>+Processes!O28</f>
        <v>INDSNG1,INDSNG2,INDNGA</v>
      </c>
      <c r="F47" s="149" t="str">
        <f ca="1">+OFFSET(Processes!$M$12,$D$11,0) &amp; Processes!P28</f>
        <v>IFDSH</v>
      </c>
      <c r="G47" s="322">
        <f t="shared" si="18"/>
        <v>635.66300000000001</v>
      </c>
      <c r="H47" s="322">
        <f t="shared" si="19"/>
        <v>0</v>
      </c>
      <c r="I47" s="322">
        <f t="shared" si="20"/>
        <v>33.455999999999996</v>
      </c>
      <c r="J47" s="322">
        <f t="shared" si="21"/>
        <v>673.18899999999996</v>
      </c>
      <c r="K47" s="322">
        <f t="shared" si="22"/>
        <v>0</v>
      </c>
      <c r="L47" s="322">
        <f t="shared" si="23"/>
        <v>35.430999999999997</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10.013121062937063</v>
      </c>
      <c r="AH47" s="236">
        <f t="shared" si="71"/>
        <v>10.509746685148516</v>
      </c>
      <c r="AI47" s="236">
        <f t="shared" si="72"/>
        <v>0</v>
      </c>
      <c r="AJ47" s="285"/>
      <c r="AK47" s="530" t="str">
        <f ca="1">F47</f>
        <v>IFDSH</v>
      </c>
      <c r="AL47" s="571" t="s">
        <v>97</v>
      </c>
      <c r="AM47" s="572">
        <f>I82/1000</f>
        <v>10.5401126</v>
      </c>
      <c r="AN47" s="574">
        <f t="shared" si="73"/>
        <v>10.013106970000001</v>
      </c>
      <c r="AO47" s="562">
        <f>AM47*$AO$23</f>
        <v>0</v>
      </c>
      <c r="AP47" s="562">
        <f>AM47*$AP$23</f>
        <v>0.52700563</v>
      </c>
      <c r="AQ47" s="582">
        <f t="shared" si="28"/>
        <v>10.013121062937063</v>
      </c>
      <c r="AR47" s="562">
        <f t="shared" si="29"/>
        <v>0</v>
      </c>
      <c r="AS47" s="563">
        <f t="shared" si="30"/>
        <v>0.52700720079920083</v>
      </c>
      <c r="AT47" s="572">
        <f t="shared" si="74"/>
        <v>10.013121062937063</v>
      </c>
      <c r="AU47" s="574">
        <f t="shared" si="74"/>
        <v>0</v>
      </c>
      <c r="AV47" s="575">
        <f t="shared" si="74"/>
        <v>0.52700720079920083</v>
      </c>
      <c r="AW47" s="285"/>
      <c r="AX47" s="530" t="str">
        <f t="shared" ca="1" si="12"/>
        <v>IFDSH</v>
      </c>
      <c r="AY47" s="571" t="s">
        <v>97</v>
      </c>
      <c r="AZ47" s="572">
        <f>I102/1000</f>
        <v>11.062889999999999</v>
      </c>
      <c r="BA47" s="574">
        <f t="shared" si="75"/>
        <v>10.509745499999999</v>
      </c>
      <c r="BB47" s="562">
        <f t="shared" si="60"/>
        <v>0</v>
      </c>
      <c r="BC47" s="562">
        <f t="shared" si="61"/>
        <v>0.55314450000000004</v>
      </c>
      <c r="BD47" s="572">
        <f t="shared" si="33"/>
        <v>10.509746685148516</v>
      </c>
      <c r="BE47" s="574">
        <f t="shared" si="34"/>
        <v>0</v>
      </c>
      <c r="BF47" s="575">
        <f t="shared" si="35"/>
        <v>0.55314456237623755</v>
      </c>
      <c r="BG47" s="572">
        <f t="shared" si="62"/>
        <v>10.509746685148516</v>
      </c>
      <c r="BH47" s="574">
        <f t="shared" si="63"/>
        <v>0</v>
      </c>
      <c r="BI47" s="575">
        <f t="shared" si="64"/>
        <v>0.55314456237623755</v>
      </c>
      <c r="BJ47" s="285"/>
      <c r="BK47" s="530" t="str">
        <f ca="1">AK47</f>
        <v>IFDSH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INDFDSHBCOAE1</v>
      </c>
      <c r="D48" s="146" t="str">
        <f ca="1">+OFFSET(Processes!E29,$D$11,0)</f>
        <v>Food industry Heat Room Boiler - Coal Existing 1</v>
      </c>
      <c r="E48" s="149" t="str">
        <f>+Processes!O29</f>
        <v>INDCOA</v>
      </c>
      <c r="F48" s="149" t="str">
        <f ca="1">+OFFSET(Processes!$M$12,$D$11,0) &amp; Processes!P29</f>
        <v>IFDSH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INDFDSHBDSLE1</v>
      </c>
      <c r="D49" s="146" t="str">
        <f ca="1">+OFFSET(Processes!E30,$D$11,0)</f>
        <v>Food industry Heat Room Boiler - Diesel Existing 1</v>
      </c>
      <c r="E49" s="149" t="str">
        <f>+Processes!O30</f>
        <v>INDDSB1,INDDSB2,INDDSL</v>
      </c>
      <c r="F49" s="149" t="str">
        <f ca="1">+OFFSET(Processes!$M$12,$D$11,0) &amp; Processes!P30</f>
        <v>IFDSH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INDFDSHBWPEE1</v>
      </c>
      <c r="D50" s="146" t="str">
        <f ca="1">+OFFSET(Processes!E31,$D$11,0)</f>
        <v>Food industry Heat Room Boiler - Wood Pellets Existing 1</v>
      </c>
      <c r="E50" s="149" t="str">
        <f>+Processes!O31</f>
        <v>INDWPE</v>
      </c>
      <c r="F50" s="149" t="str">
        <f ca="1">+OFFSET(Processes!$M$12,$D$11,0) &amp; Processes!P31</f>
        <v>IFDSH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INDFDSHBBGAE1</v>
      </c>
      <c r="D52" s="146" t="str">
        <f ca="1">+OFFSET(Processes!E33,$D$11,0)</f>
        <v>Food industry Heat Room Boiler - Biogas Existing 1</v>
      </c>
      <c r="E52" s="149" t="str">
        <f>+Processes!O33</f>
        <v>INDBGA</v>
      </c>
      <c r="F52" s="149" t="str">
        <f ca="1">+OFFSET(Processes!$M$12,$D$11,0) &amp; Processes!P33</f>
        <v>IFDSH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INDFDSHBHFOE1</v>
      </c>
      <c r="D53" s="146" t="str">
        <f ca="1">+OFFSET(Processes!E34,$D$11,0)</f>
        <v>Food industry Heat Room Boiler - Heavy Fuel Oil Existing 1</v>
      </c>
      <c r="E53" s="149" t="str">
        <f>+Processes!O34</f>
        <v>INDHFO</v>
      </c>
      <c r="F53" s="149" t="str">
        <f ca="1">+OFFSET(Processes!$M$12,$D$11,0) &amp; Processes!P34</f>
        <v>IFDSH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INDFDSHBLPGE1</v>
      </c>
      <c r="D54" s="146" t="str">
        <f ca="1">+OFFSET(Processes!E35,$D$11,0)</f>
        <v>Food industry Heat Room Boiler - Liquified Petroleum Gas Existing 1</v>
      </c>
      <c r="E54" s="149" t="str">
        <f>+Processes!O35</f>
        <v>INDLPG</v>
      </c>
      <c r="F54" s="149" t="str">
        <f ca="1">+OFFSET(Processes!$M$12,$D$11,0) &amp; Processes!P35</f>
        <v>IFDSH</v>
      </c>
      <c r="G54" s="322">
        <f t="shared" si="18"/>
        <v>10.827</v>
      </c>
      <c r="H54" s="322">
        <f t="shared" si="19"/>
        <v>0</v>
      </c>
      <c r="I54" s="322">
        <f t="shared" si="20"/>
        <v>0.56999999999999995</v>
      </c>
      <c r="J54" s="322">
        <f t="shared" si="21"/>
        <v>1.3809999999999998</v>
      </c>
      <c r="K54" s="322">
        <f t="shared" si="22"/>
        <v>0</v>
      </c>
      <c r="L54" s="322">
        <f t="shared" si="23"/>
        <v>7.2999999999999995E-2</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0.17054958641358642</v>
      </c>
      <c r="AH54" s="236">
        <f t="shared" si="83"/>
        <v>2.1560007920792077E-2</v>
      </c>
      <c r="AI54" s="236" t="e">
        <f t="shared" si="84"/>
        <v>#REF!</v>
      </c>
      <c r="AJ54" s="285"/>
      <c r="AK54" s="356"/>
      <c r="AL54" s="559" t="s">
        <v>53</v>
      </c>
      <c r="AM54" s="560">
        <f>H82/1000</f>
        <v>0.17952090000000001</v>
      </c>
      <c r="AN54" s="561">
        <f t="shared" si="77"/>
        <v>0.170544855</v>
      </c>
      <c r="AO54" s="562">
        <f t="shared" si="78"/>
        <v>0</v>
      </c>
      <c r="AP54" s="562">
        <f t="shared" si="79"/>
        <v>8.9760450000000002E-3</v>
      </c>
      <c r="AQ54" s="582">
        <f t="shared" si="28"/>
        <v>0.17054958641358642</v>
      </c>
      <c r="AR54" s="562">
        <f t="shared" si="29"/>
        <v>0</v>
      </c>
      <c r="AS54" s="563">
        <f t="shared" si="30"/>
        <v>8.9787812187812188E-3</v>
      </c>
      <c r="AT54" s="560">
        <f t="shared" si="85"/>
        <v>0.17054958641358642</v>
      </c>
      <c r="AU54" s="561">
        <f t="shared" si="85"/>
        <v>0</v>
      </c>
      <c r="AV54" s="566">
        <f t="shared" si="85"/>
        <v>8.9787812187812188E-3</v>
      </c>
      <c r="AW54" s="285"/>
      <c r="AX54" s="356"/>
      <c r="AY54" s="559" t="s">
        <v>53</v>
      </c>
      <c r="AZ54" s="560">
        <f>H102/1000</f>
        <v>2.2683000000000002E-2</v>
      </c>
      <c r="BA54" s="561">
        <f>AZ54*$AN$23</f>
        <v>2.1548850000000001E-2</v>
      </c>
      <c r="BB54" s="562">
        <f t="shared" si="60"/>
        <v>0</v>
      </c>
      <c r="BC54" s="562">
        <f t="shared" si="61"/>
        <v>1.1341500000000002E-3</v>
      </c>
      <c r="BD54" s="560">
        <f t="shared" si="33"/>
        <v>2.1560007920792077E-2</v>
      </c>
      <c r="BE54" s="561">
        <f t="shared" si="34"/>
        <v>0</v>
      </c>
      <c r="BF54" s="566">
        <f t="shared" si="35"/>
        <v>1.1396673267326733E-3</v>
      </c>
      <c r="BG54" s="560">
        <f t="shared" si="62"/>
        <v>2.1560007920792077E-2</v>
      </c>
      <c r="BH54" s="561">
        <f t="shared" si="63"/>
        <v>0</v>
      </c>
      <c r="BI54" s="566">
        <f t="shared" si="64"/>
        <v>1.1396673267326733E-3</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INDFDSHBWSTE1</v>
      </c>
      <c r="D55" s="146" t="str">
        <f ca="1">+OFFSET(Processes!E36,$D$11,0)</f>
        <v>Food industry Heat Room Boiler - Waste Existing 1</v>
      </c>
      <c r="E55" s="149" t="str">
        <f>+Processes!O36</f>
        <v>INDWST</v>
      </c>
      <c r="F55" s="149" t="str">
        <f ca="1">+OFFSET(Processes!$M$12,$D$11,0) &amp; Processes!P36</f>
        <v>IFDSH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INDFDSHBHETE1</v>
      </c>
      <c r="D56" s="146" t="str">
        <f ca="1">+OFFSET(Processes!E37,$D$11,0)</f>
        <v>Food industry Heat Room Boiler - Dist. Heat Existing 1</v>
      </c>
      <c r="E56" s="149" t="str">
        <f>+Processes!O37</f>
        <v>INDHCE</v>
      </c>
      <c r="F56" s="149" t="str">
        <f ca="1">+OFFSET(Processes!$M$12,$D$11,0) &amp; Processes!P37</f>
        <v>IFDSH</v>
      </c>
      <c r="G56" s="321">
        <f t="shared" si="18"/>
        <v>341.346</v>
      </c>
      <c r="H56" s="321">
        <f t="shared" si="19"/>
        <v>0</v>
      </c>
      <c r="I56" s="321">
        <f t="shared" si="20"/>
        <v>0</v>
      </c>
      <c r="J56" s="321">
        <f t="shared" si="21"/>
        <v>604.15599999999995</v>
      </c>
      <c r="K56" s="321">
        <f t="shared" si="22"/>
        <v>0</v>
      </c>
      <c r="L56" s="321">
        <f t="shared" si="23"/>
        <v>0</v>
      </c>
      <c r="M56" s="321">
        <f t="shared" si="24"/>
        <v>4134.5250000000005</v>
      </c>
      <c r="N56" s="321">
        <f t="shared" si="25"/>
        <v>0</v>
      </c>
      <c r="O56" s="321">
        <f t="shared" si="26"/>
        <v>0</v>
      </c>
      <c r="P56" s="321">
        <f t="shared" si="1"/>
        <v>4134.5250000000005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5.6010070429570433</v>
      </c>
      <c r="AH56" s="236">
        <f t="shared" si="83"/>
        <v>9.8250121782178219</v>
      </c>
      <c r="AI56" s="236">
        <f t="shared" si="84"/>
        <v>67.237201113861403</v>
      </c>
      <c r="AJ56" s="285"/>
      <c r="AK56" s="356"/>
      <c r="AL56" s="559" t="s">
        <v>103</v>
      </c>
      <c r="AM56" s="560">
        <f>N82/1000</f>
        <v>5.601</v>
      </c>
      <c r="AN56" s="613">
        <f>AM56</f>
        <v>5.601</v>
      </c>
      <c r="AO56" s="614">
        <v>0</v>
      </c>
      <c r="AP56" s="614">
        <v>0</v>
      </c>
      <c r="AQ56" s="582">
        <f t="shared" si="28"/>
        <v>5.3769667612387622</v>
      </c>
      <c r="AR56" s="562">
        <f t="shared" si="29"/>
        <v>0</v>
      </c>
      <c r="AS56" s="563">
        <f t="shared" si="30"/>
        <v>0</v>
      </c>
      <c r="AT56" s="560">
        <f t="shared" si="85"/>
        <v>5.6010070429570442</v>
      </c>
      <c r="AU56" s="561">
        <f t="shared" si="85"/>
        <v>0</v>
      </c>
      <c r="AV56" s="566">
        <f t="shared" si="85"/>
        <v>0</v>
      </c>
      <c r="AW56" s="285"/>
      <c r="AX56" s="356"/>
      <c r="AY56" s="559" t="s">
        <v>103</v>
      </c>
      <c r="AZ56" s="560">
        <f>N102/1000</f>
        <v>9.8249999999999993</v>
      </c>
      <c r="BA56" s="613">
        <f>AZ56</f>
        <v>9.8249999999999993</v>
      </c>
      <c r="BB56" s="614">
        <v>0</v>
      </c>
      <c r="BC56" s="614">
        <v>0</v>
      </c>
      <c r="BD56" s="560">
        <f t="shared" si="33"/>
        <v>9.4320116910891088</v>
      </c>
      <c r="BE56" s="561">
        <f t="shared" si="34"/>
        <v>0</v>
      </c>
      <c r="BF56" s="566">
        <f t="shared" si="35"/>
        <v>0</v>
      </c>
      <c r="BG56" s="560">
        <f t="shared" si="62"/>
        <v>9.8250121782178219</v>
      </c>
      <c r="BH56" s="561">
        <f t="shared" si="63"/>
        <v>0</v>
      </c>
      <c r="BI56" s="566">
        <f t="shared" si="64"/>
        <v>0</v>
      </c>
      <c r="BJ56" s="285"/>
      <c r="BK56" s="356"/>
      <c r="BL56" s="559" t="s">
        <v>103</v>
      </c>
      <c r="BM56" s="560">
        <f>N122/1000</f>
        <v>67.237200000000001</v>
      </c>
      <c r="BN56" s="613">
        <f>BM56</f>
        <v>67.237200000000001</v>
      </c>
      <c r="BO56" s="614">
        <v>0</v>
      </c>
      <c r="BP56" s="614">
        <v>0</v>
      </c>
      <c r="BQ56" s="560">
        <f t="shared" si="38"/>
        <v>64.547713069306951</v>
      </c>
      <c r="BR56" s="561">
        <f t="shared" si="39"/>
        <v>0</v>
      </c>
      <c r="BS56" s="566">
        <f t="shared" si="40"/>
        <v>0</v>
      </c>
      <c r="BT56" s="560">
        <f t="shared" si="65"/>
        <v>67.237201113861417</v>
      </c>
      <c r="BU56" s="561">
        <f t="shared" si="66"/>
        <v>0</v>
      </c>
      <c r="BV56" s="566">
        <f t="shared" si="67"/>
        <v>0</v>
      </c>
      <c r="BW56" s="285"/>
      <c r="BX56" s="285"/>
      <c r="BY56" s="285"/>
    </row>
    <row r="57" spans="3:77" ht="12.75" customHeight="1">
      <c r="C57" s="173" t="str">
        <f ca="1">+IF(OFFSET(Processes!B38,$D$11,0)="*","*",OFFSET(Processes!D38,$D$11,0))</f>
        <v>INDFDSHBHETE2</v>
      </c>
      <c r="D57" s="146" t="str">
        <f ca="1">+OFFSET(Processes!E38,$D$11,0)</f>
        <v>Food industry Heat Room Boiler - Dist. Heat Existing 2</v>
      </c>
      <c r="E57" s="149" t="str">
        <f>+Processes!O38</f>
        <v>INDHDE</v>
      </c>
      <c r="F57" s="149" t="str">
        <f ca="1">+OFFSET(Processes!$M$12,$D$11,0) &amp; Processes!P38</f>
        <v>IFDSH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INDFDSHBELCE1</v>
      </c>
      <c r="D58" s="148" t="str">
        <f ca="1">+OFFSET(Processes!E39,$D$11,0)</f>
        <v>Food industry Heat Room Boiler - Electricity Existing 1</v>
      </c>
      <c r="E58" s="172" t="str">
        <f>+Processes!O39</f>
        <v>INDELC</v>
      </c>
      <c r="F58" s="174" t="str">
        <f ca="1">+OFFSET(Processes!$M$12,$D$11,0) &amp; Processes!P39</f>
        <v>IFDSH</v>
      </c>
      <c r="G58" s="324">
        <f t="shared" si="18"/>
        <v>72.293000000000006</v>
      </c>
      <c r="H58" s="324">
        <f t="shared" si="19"/>
        <v>0</v>
      </c>
      <c r="I58" s="324">
        <f t="shared" si="20"/>
        <v>3.8049999999999997</v>
      </c>
      <c r="J58" s="324">
        <f t="shared" si="21"/>
        <v>75.728000000000009</v>
      </c>
      <c r="K58" s="324">
        <f t="shared" si="22"/>
        <v>0</v>
      </c>
      <c r="L58" s="324">
        <f t="shared" si="23"/>
        <v>3.9859999999999998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1.1987128913192073</v>
      </c>
      <c r="AH58" s="236">
        <f t="shared" si="83"/>
        <v>1.2444805669619596</v>
      </c>
      <c r="AI58" s="236">
        <f t="shared" si="84"/>
        <v>0</v>
      </c>
      <c r="AJ58" s="285"/>
      <c r="AK58" s="355"/>
      <c r="AL58" s="567" t="s">
        <v>61</v>
      </c>
      <c r="AM58" s="560">
        <f>M82/1000</f>
        <v>1.2618</v>
      </c>
      <c r="AN58" s="561">
        <f t="shared" si="77"/>
        <v>1.1987099999999999</v>
      </c>
      <c r="AO58" s="562">
        <f t="shared" si="78"/>
        <v>0</v>
      </c>
      <c r="AP58" s="562">
        <f t="shared" si="79"/>
        <v>6.3090000000000007E-2</v>
      </c>
      <c r="AQ58" s="582">
        <f t="shared" si="28"/>
        <v>1.1387772467532471</v>
      </c>
      <c r="AR58" s="562">
        <f t="shared" si="29"/>
        <v>0</v>
      </c>
      <c r="AS58" s="563">
        <f t="shared" si="30"/>
        <v>5.9937302697302706E-2</v>
      </c>
      <c r="AT58" s="560">
        <f t="shared" ref="AT58:AV62" si="87">IFERROR(AQ58/W58,0)</f>
        <v>1.1987128913192076</v>
      </c>
      <c r="AU58" s="561">
        <f t="shared" si="87"/>
        <v>0</v>
      </c>
      <c r="AV58" s="566">
        <f t="shared" si="87"/>
        <v>6.3091897576108114E-2</v>
      </c>
      <c r="AW58" s="285"/>
      <c r="AX58" s="355"/>
      <c r="AY58" s="567" t="s">
        <v>61</v>
      </c>
      <c r="AZ58" s="560">
        <f>M102/1000</f>
        <v>1.309968</v>
      </c>
      <c r="BA58" s="561">
        <f>AZ58*$AN$23</f>
        <v>1.2444696</v>
      </c>
      <c r="BB58" s="562">
        <f t="shared" si="60"/>
        <v>0</v>
      </c>
      <c r="BC58" s="562">
        <f t="shared" si="61"/>
        <v>6.5498399999999998E-2</v>
      </c>
      <c r="BD58" s="560">
        <f t="shared" si="33"/>
        <v>1.1822565386138617</v>
      </c>
      <c r="BE58" s="561">
        <f t="shared" si="34"/>
        <v>0</v>
      </c>
      <c r="BF58" s="566">
        <f t="shared" si="35"/>
        <v>6.2228958415841584E-2</v>
      </c>
      <c r="BG58" s="560">
        <f t="shared" ref="BG58:BI62" si="88">IFERROR(BD58/W58,0)</f>
        <v>1.2444805669619599</v>
      </c>
      <c r="BH58" s="561">
        <f t="shared" si="88"/>
        <v>0</v>
      </c>
      <c r="BI58" s="566">
        <f t="shared" si="88"/>
        <v>6.5504166753517459E-2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INDFDLAAELCE1</v>
      </c>
      <c r="D59" s="146" t="str">
        <f ca="1">+OFFSET(Processes!E40,$D$11,0)</f>
        <v>Food industry Electricity Light Appliance - Electricity Existing 1</v>
      </c>
      <c r="E59" s="176" t="str">
        <f>+Processes!O40</f>
        <v>INDELC</v>
      </c>
      <c r="F59" s="149" t="str">
        <f ca="1">+OFFSET(Processes!$M$12,$D$11,0) &amp; Processes!P40</f>
        <v>IFDLA</v>
      </c>
      <c r="G59" s="323">
        <f t="shared" si="18"/>
        <v>304.39099999999996</v>
      </c>
      <c r="H59" s="323">
        <f t="shared" si="19"/>
        <v>0</v>
      </c>
      <c r="I59" s="323">
        <f t="shared" si="20"/>
        <v>16.021000000000001</v>
      </c>
      <c r="J59" s="323">
        <f t="shared" si="21"/>
        <v>318.85199999999998</v>
      </c>
      <c r="K59" s="323">
        <f t="shared" si="22"/>
        <v>0</v>
      </c>
      <c r="L59" s="323">
        <f t="shared" si="23"/>
        <v>16.782</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4.7948424455544458</v>
      </c>
      <c r="AH59" s="236">
        <f t="shared" si="83"/>
        <v>4.977879540594059</v>
      </c>
      <c r="AI59" s="236">
        <f t="shared" si="84"/>
        <v>0</v>
      </c>
      <c r="AJ59" s="285"/>
      <c r="AK59" s="531" t="str">
        <f ca="1">F59</f>
        <v>IFDLA</v>
      </c>
      <c r="AL59" s="578" t="s">
        <v>61</v>
      </c>
      <c r="AM59" s="579">
        <f>M80/1000</f>
        <v>5.0472000000000001</v>
      </c>
      <c r="AN59" s="580">
        <f t="shared" si="77"/>
        <v>4.7948399999999998</v>
      </c>
      <c r="AO59" s="583">
        <f t="shared" si="78"/>
        <v>0</v>
      </c>
      <c r="AP59" s="583">
        <f t="shared" si="79"/>
        <v>0.25236000000000003</v>
      </c>
      <c r="AQ59" s="584">
        <f t="shared" si="28"/>
        <v>4.7948424455544458</v>
      </c>
      <c r="AR59" s="583">
        <f t="shared" si="29"/>
        <v>0</v>
      </c>
      <c r="AS59" s="585">
        <f t="shared" si="30"/>
        <v>0.25236676123876128</v>
      </c>
      <c r="AT59" s="579">
        <f t="shared" si="87"/>
        <v>4.7948424455544458</v>
      </c>
      <c r="AU59" s="580">
        <f t="shared" si="87"/>
        <v>0</v>
      </c>
      <c r="AV59" s="581">
        <f t="shared" si="87"/>
        <v>0.25236676123876128</v>
      </c>
      <c r="AW59" s="285"/>
      <c r="AX59" s="531" t="str">
        <f t="shared" ca="1" si="12"/>
        <v>IFDLA</v>
      </c>
      <c r="AY59" s="578" t="s">
        <v>61</v>
      </c>
      <c r="AZ59" s="579">
        <f>M100/1000</f>
        <v>5.2398720000000001</v>
      </c>
      <c r="BA59" s="580">
        <f>AZ59*$AN$23</f>
        <v>4.9778783999999998</v>
      </c>
      <c r="BB59" s="583">
        <f t="shared" si="60"/>
        <v>0</v>
      </c>
      <c r="BC59" s="583">
        <f t="shared" si="61"/>
        <v>0.26199359999999999</v>
      </c>
      <c r="BD59" s="579">
        <f t="shared" si="33"/>
        <v>4.977879540594059</v>
      </c>
      <c r="BE59" s="580">
        <f t="shared" si="34"/>
        <v>0</v>
      </c>
      <c r="BF59" s="581">
        <f t="shared" si="35"/>
        <v>0.26199859009900989</v>
      </c>
      <c r="BG59" s="579">
        <f t="shared" si="88"/>
        <v>4.977879540594059</v>
      </c>
      <c r="BH59" s="580">
        <f t="shared" si="88"/>
        <v>0</v>
      </c>
      <c r="BI59" s="581">
        <f t="shared" si="88"/>
        <v>0.26199859009900989</v>
      </c>
      <c r="BJ59" s="285"/>
      <c r="BK59" s="531" t="str">
        <f ca="1">AK59</f>
        <v>IFDLA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INDFDEMMELCE1</v>
      </c>
      <c r="D60" s="148" t="str">
        <f ca="1">+OFFSET(Processes!E41,$D$11,0)</f>
        <v>Food industry Electricity Motors - Electricity Existing 1</v>
      </c>
      <c r="E60" s="174" t="str">
        <f>+Processes!O41</f>
        <v>INDELC</v>
      </c>
      <c r="F60" s="174" t="str">
        <f ca="1">+OFFSET(Processes!$M$12,$D$11,0) &amp; Processes!P41</f>
        <v>IFDEM</v>
      </c>
      <c r="G60" s="324">
        <f t="shared" si="18"/>
        <v>2663.42</v>
      </c>
      <c r="H60" s="324">
        <f t="shared" si="19"/>
        <v>0</v>
      </c>
      <c r="I60" s="324">
        <f t="shared" si="20"/>
        <v>140.18</v>
      </c>
      <c r="J60" s="324">
        <f t="shared" si="21"/>
        <v>2789.9550000000004</v>
      </c>
      <c r="K60" s="324">
        <f t="shared" si="22"/>
        <v>0</v>
      </c>
      <c r="L60" s="324">
        <f t="shared" si="23"/>
        <v>146.84</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41.954851708291713</v>
      </c>
      <c r="AH60" s="236">
        <f t="shared" si="83"/>
        <v>43.556445980198028</v>
      </c>
      <c r="AI60" s="236">
        <f t="shared" si="84"/>
        <v>0</v>
      </c>
      <c r="AJ60" s="285"/>
      <c r="AK60" s="536" t="str">
        <f ca="1">F60</f>
        <v>IFDEM</v>
      </c>
      <c r="AL60" s="578" t="s">
        <v>61</v>
      </c>
      <c r="AM60" s="579">
        <f>M81/1000</f>
        <v>44.162999999999997</v>
      </c>
      <c r="AN60" s="580">
        <f t="shared" si="77"/>
        <v>41.954849999999993</v>
      </c>
      <c r="AO60" s="583">
        <f t="shared" si="78"/>
        <v>0</v>
      </c>
      <c r="AP60" s="583">
        <f t="shared" si="79"/>
        <v>2.2081499999999998</v>
      </c>
      <c r="AQ60" s="584">
        <f t="shared" si="28"/>
        <v>41.954851708291713</v>
      </c>
      <c r="AR60" s="583">
        <f t="shared" si="29"/>
        <v>0</v>
      </c>
      <c r="AS60" s="585">
        <f t="shared" si="30"/>
        <v>2.2081500899100903</v>
      </c>
      <c r="AT60" s="579">
        <f t="shared" si="87"/>
        <v>41.954851708291713</v>
      </c>
      <c r="AU60" s="580">
        <f t="shared" si="87"/>
        <v>0</v>
      </c>
      <c r="AV60" s="581">
        <f t="shared" si="87"/>
        <v>2.2081500899100903</v>
      </c>
      <c r="AW60" s="285"/>
      <c r="AX60" s="536" t="str">
        <f t="shared" ca="1" si="12"/>
        <v>IFDEM</v>
      </c>
      <c r="AY60" s="578" t="s">
        <v>61</v>
      </c>
      <c r="AZ60" s="579">
        <f>M101/1000</f>
        <v>45.848879999999994</v>
      </c>
      <c r="BA60" s="580">
        <f>AZ60*$AN$23</f>
        <v>43.556435999999991</v>
      </c>
      <c r="BB60" s="583">
        <f t="shared" si="60"/>
        <v>0</v>
      </c>
      <c r="BC60" s="583">
        <f t="shared" si="61"/>
        <v>2.2924439999999997</v>
      </c>
      <c r="BD60" s="579">
        <f t="shared" si="33"/>
        <v>43.556445980198028</v>
      </c>
      <c r="BE60" s="580">
        <f t="shared" si="34"/>
        <v>0</v>
      </c>
      <c r="BF60" s="581">
        <f t="shared" si="35"/>
        <v>2.2924486336633665</v>
      </c>
      <c r="BG60" s="579">
        <f t="shared" si="88"/>
        <v>43.556445980198028</v>
      </c>
      <c r="BH60" s="580">
        <f t="shared" si="88"/>
        <v>0</v>
      </c>
      <c r="BI60" s="581">
        <f t="shared" si="88"/>
        <v>2.2924486336633665</v>
      </c>
      <c r="BJ60" s="285"/>
      <c r="BK60" s="536" t="str">
        <f ca="1">AK60</f>
        <v>IFDEM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INDFDTFTDSLE1</v>
      </c>
      <c r="D61" s="173" t="str">
        <f ca="1">+OFFSET(Processes!E42,$D$11,0)</f>
        <v>Food industry Tractors, Trucks, Fishing boats, Forest machines - Diesel Existing 1</v>
      </c>
      <c r="E61" s="172" t="str">
        <f>+Processes!O42</f>
        <v>INDDSB1,INDDSB2,INDDSL</v>
      </c>
      <c r="F61" s="173" t="str">
        <f ca="1">+OFFSET(Processes!$M$12,$D$11,0) &amp; Processes!P42</f>
        <v>IFDTF</v>
      </c>
      <c r="G61" s="323">
        <f t="shared" si="18"/>
        <v>783.846</v>
      </c>
      <c r="H61" s="323">
        <f t="shared" si="19"/>
        <v>0</v>
      </c>
      <c r="I61" s="323">
        <f t="shared" si="20"/>
        <v>41.256</v>
      </c>
      <c r="J61" s="323">
        <f t="shared" si="21"/>
        <v>393.39799999999997</v>
      </c>
      <c r="K61" s="323">
        <f t="shared" si="22"/>
        <v>0</v>
      </c>
      <c r="L61" s="323">
        <f t="shared" si="23"/>
        <v>20.706</v>
      </c>
      <c r="M61" s="323">
        <f t="shared" si="24"/>
        <v>326.52</v>
      </c>
      <c r="N61" s="323">
        <f t="shared" si="25"/>
        <v>0</v>
      </c>
      <c r="O61" s="323">
        <f t="shared" si="26"/>
        <v>17.186</v>
      </c>
      <c r="P61" s="323">
        <f t="shared" si="1"/>
        <v>326.52</v>
      </c>
      <c r="Q61" s="323">
        <f t="shared" si="2"/>
        <v>0</v>
      </c>
      <c r="R61" s="323">
        <f t="shared" si="3"/>
        <v>17.186</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12.347336391608394</v>
      </c>
      <c r="AH61" s="236">
        <f t="shared" si="83"/>
        <v>6.1416828356435644</v>
      </c>
      <c r="AI61" s="236">
        <f t="shared" si="84"/>
        <v>5.0975914455445546</v>
      </c>
      <c r="AJ61" s="285"/>
      <c r="AK61" s="536" t="str">
        <f ca="1">F61</f>
        <v>IFDTF</v>
      </c>
      <c r="AL61" s="578" t="s">
        <v>59</v>
      </c>
      <c r="AM61" s="579">
        <f>F79/1000</f>
        <v>12.997185</v>
      </c>
      <c r="AN61" s="580">
        <f t="shared" si="77"/>
        <v>12.34732575</v>
      </c>
      <c r="AO61" s="583">
        <f t="shared" si="78"/>
        <v>0</v>
      </c>
      <c r="AP61" s="583">
        <f t="shared" si="79"/>
        <v>0.64985925</v>
      </c>
      <c r="AQ61" s="584">
        <f t="shared" si="28"/>
        <v>12.347336391608394</v>
      </c>
      <c r="AR61" s="583">
        <f t="shared" si="29"/>
        <v>0</v>
      </c>
      <c r="AS61" s="585">
        <f t="shared" si="30"/>
        <v>0.6498747332667334</v>
      </c>
      <c r="AT61" s="579">
        <f t="shared" si="87"/>
        <v>12.347336391608394</v>
      </c>
      <c r="AU61" s="580">
        <f t="shared" si="87"/>
        <v>0</v>
      </c>
      <c r="AV61" s="581">
        <f t="shared" si="87"/>
        <v>0.6498747332667334</v>
      </c>
      <c r="AW61" s="285"/>
      <c r="AX61" s="536" t="str">
        <f t="shared" ca="1" si="12"/>
        <v>IFDTF</v>
      </c>
      <c r="AY61" s="578" t="s">
        <v>59</v>
      </c>
      <c r="AZ61" s="579">
        <f>F99/1000</f>
        <v>6.4649139999999994</v>
      </c>
      <c r="BA61" s="580">
        <f>AZ61*$AN$23</f>
        <v>6.1416682999999992</v>
      </c>
      <c r="BB61" s="583">
        <f t="shared" si="60"/>
        <v>0</v>
      </c>
      <c r="BC61" s="583">
        <f t="shared" si="61"/>
        <v>0.32324569999999997</v>
      </c>
      <c r="BD61" s="579">
        <f t="shared" si="33"/>
        <v>6.1416828356435644</v>
      </c>
      <c r="BE61" s="580">
        <f t="shared" si="34"/>
        <v>0</v>
      </c>
      <c r="BF61" s="581">
        <f t="shared" si="35"/>
        <v>0.32325961188118812</v>
      </c>
      <c r="BG61" s="579">
        <f t="shared" si="88"/>
        <v>6.1416828356435644</v>
      </c>
      <c r="BH61" s="580">
        <f t="shared" si="88"/>
        <v>0</v>
      </c>
      <c r="BI61" s="581">
        <f t="shared" si="88"/>
        <v>0.32325961188118812</v>
      </c>
      <c r="BJ61" s="285"/>
      <c r="BK61" s="536" t="str">
        <f ca="1">AK61</f>
        <v>IFDTF</v>
      </c>
      <c r="BL61" s="578" t="s">
        <v>59</v>
      </c>
      <c r="BM61" s="579">
        <f>F119/1000</f>
        <v>5.365875</v>
      </c>
      <c r="BN61" s="580">
        <f>BM61*$AN$23</f>
        <v>5.0975812499999993</v>
      </c>
      <c r="BO61" s="583">
        <f t="shared" si="53"/>
        <v>0</v>
      </c>
      <c r="BP61" s="583">
        <f t="shared" si="54"/>
        <v>0.26829375</v>
      </c>
      <c r="BQ61" s="579">
        <f t="shared" si="38"/>
        <v>5.0975914455445546</v>
      </c>
      <c r="BR61" s="580">
        <f t="shared" si="39"/>
        <v>0</v>
      </c>
      <c r="BS61" s="581">
        <f t="shared" si="40"/>
        <v>0.2683057900990099</v>
      </c>
      <c r="BT61" s="579">
        <f t="shared" si="89"/>
        <v>5.0975914455445546</v>
      </c>
      <c r="BU61" s="580">
        <f t="shared" si="89"/>
        <v>0</v>
      </c>
      <c r="BV61" s="581">
        <f t="shared" si="89"/>
        <v>0.2683057900990099</v>
      </c>
      <c r="BW61" s="285"/>
      <c r="BX61" s="285"/>
      <c r="BY61" s="285"/>
    </row>
    <row r="62" spans="3:77" ht="12.75" customHeight="1">
      <c r="C62" s="173" t="str">
        <f ca="1">+IF(OFFSET(Processes!B43,$D$11,0)="*","*",OFFSET(Processes!D43,$D$11,0))</f>
        <v>INDFDFLTLPGE1</v>
      </c>
      <c r="D62" s="173" t="str">
        <f ca="1">+OFFSET(Processes!E43,$D$11,0)</f>
        <v>Food industry Forklifts - LPG Existing 1</v>
      </c>
      <c r="E62" s="172" t="str">
        <f>+Processes!O43</f>
        <v>INDLPG,INDSNG1,INDSNG2</v>
      </c>
      <c r="F62" s="173" t="str">
        <f ca="1">+OFFSET(Processes!$M$12,$D$11,0) &amp; Processes!P43</f>
        <v>IFDFL</v>
      </c>
      <c r="G62" s="323">
        <f t="shared" si="18"/>
        <v>54.134</v>
      </c>
      <c r="H62" s="323">
        <f t="shared" si="19"/>
        <v>0</v>
      </c>
      <c r="I62" s="323">
        <f>ROUNDUP(AP62/($Z62*$AA62)*I$21*Y62,3)</f>
        <v>2.85</v>
      </c>
      <c r="J62" s="323">
        <f t="shared" si="21"/>
        <v>6.9020000000000001</v>
      </c>
      <c r="K62" s="323">
        <f t="shared" si="22"/>
        <v>0</v>
      </c>
      <c r="L62" s="323">
        <f t="shared" si="23"/>
        <v>0.36399999999999999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0.85273217982018001</v>
      </c>
      <c r="AH62" s="236">
        <f t="shared" si="83"/>
        <v>0.10775320396039605</v>
      </c>
      <c r="AI62" s="236" t="e">
        <f t="shared" si="84"/>
        <v>#REF!</v>
      </c>
      <c r="AJ62" s="285"/>
      <c r="AK62" s="536" t="str">
        <f ca="1">F62</f>
        <v>IFDFL</v>
      </c>
      <c r="AL62" s="532" t="s">
        <v>53</v>
      </c>
      <c r="AM62" s="533">
        <f>H79/1000</f>
        <v>0.89760450000000003</v>
      </c>
      <c r="AN62" s="534">
        <f t="shared" si="77"/>
        <v>0.85272427500000003</v>
      </c>
      <c r="AO62" s="535">
        <f t="shared" si="78"/>
        <v>0</v>
      </c>
      <c r="AP62" s="535">
        <f t="shared" si="79"/>
        <v>4.4880225000000003E-2</v>
      </c>
      <c r="AQ62" s="545">
        <f t="shared" si="28"/>
        <v>0.85273217982018001</v>
      </c>
      <c r="AR62" s="535">
        <f t="shared" si="29"/>
        <v>0</v>
      </c>
      <c r="AS62" s="541">
        <f t="shared" si="30"/>
        <v>4.4893906093906102E-2</v>
      </c>
      <c r="AT62" s="546">
        <f t="shared" si="87"/>
        <v>0.85273217982018001</v>
      </c>
      <c r="AU62" s="537">
        <f t="shared" si="87"/>
        <v>0</v>
      </c>
      <c r="AV62" s="538">
        <f t="shared" si="87"/>
        <v>4.4893906093906102E-2</v>
      </c>
      <c r="AW62" s="285"/>
      <c r="AX62" s="536" t="str">
        <f t="shared" ca="1" si="12"/>
        <v>IFDFL</v>
      </c>
      <c r="AY62" s="532" t="s">
        <v>53</v>
      </c>
      <c r="AZ62" s="533">
        <f>H99/1000</f>
        <v>0.113415</v>
      </c>
      <c r="BA62" s="534">
        <f>AZ62*$AN$23</f>
        <v>0.10774425</v>
      </c>
      <c r="BB62" s="535">
        <f t="shared" si="60"/>
        <v>0</v>
      </c>
      <c r="BC62" s="535">
        <f t="shared" si="61"/>
        <v>5.6707500000000004E-3</v>
      </c>
      <c r="BD62" s="546">
        <f t="shared" si="33"/>
        <v>0.10775320396039605</v>
      </c>
      <c r="BE62" s="537">
        <f t="shared" si="34"/>
        <v>0</v>
      </c>
      <c r="BF62" s="538">
        <f t="shared" si="35"/>
        <v>5.682724752475248E-3</v>
      </c>
      <c r="BG62" s="546">
        <f t="shared" si="88"/>
        <v>0.10775320396039605</v>
      </c>
      <c r="BH62" s="537">
        <f t="shared" si="88"/>
        <v>0</v>
      </c>
      <c r="BI62" s="538">
        <f t="shared" si="88"/>
        <v>5.682724752475248E-3</v>
      </c>
      <c r="BJ62" s="285"/>
      <c r="BK62" s="536" t="str">
        <f ca="1">AK62</f>
        <v>IFDFL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8542.4750000000004</v>
      </c>
      <c r="E77" s="14">
        <f t="shared" si="93"/>
        <v>1896.356</v>
      </c>
      <c r="F77" s="14">
        <f t="shared" si="93"/>
        <v>0</v>
      </c>
      <c r="G77" s="14">
        <f t="shared" si="93"/>
        <v>0</v>
      </c>
      <c r="H77" s="14">
        <f t="shared" si="93"/>
        <v>718.08360000000005</v>
      </c>
      <c r="I77" s="14">
        <f t="shared" si="93"/>
        <v>94861.013400000011</v>
      </c>
      <c r="J77" s="14">
        <f t="shared" si="93"/>
        <v>583</v>
      </c>
      <c r="K77" s="14">
        <f t="shared" si="93"/>
        <v>1184</v>
      </c>
      <c r="L77" s="14">
        <f t="shared" si="93"/>
        <v>384</v>
      </c>
      <c r="M77" s="14">
        <f t="shared" si="93"/>
        <v>0</v>
      </c>
      <c r="N77" s="14">
        <f t="shared" si="93"/>
        <v>0</v>
      </c>
      <c r="O77" s="86"/>
      <c r="T77" s="48" t="s">
        <v>209</v>
      </c>
      <c r="U77" s="48"/>
      <c r="V77" s="126" t="str">
        <f>+INDEX('Energy matrix'!C4:N4,1,$D$2)</f>
        <v>Food and tobacco</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12618</v>
      </c>
      <c r="N78" s="14">
        <f t="shared" si="94"/>
        <v>0</v>
      </c>
      <c r="O78" s="86"/>
      <c r="T78" s="117" t="str">
        <f>+'Energy matrix'!B5</f>
        <v>Coal</v>
      </c>
      <c r="U78" s="117"/>
      <c r="V78" s="118">
        <f>+INDEX('Energy matrix'!C5:N5,1,$D$2)</f>
        <v>8542.4750000000004</v>
      </c>
      <c r="W78" s="117"/>
    </row>
    <row r="79" spans="3:66" ht="12.75" customHeight="1">
      <c r="C79" s="13" t="str">
        <f>$D$152</f>
        <v>Haullage</v>
      </c>
      <c r="D79" s="19">
        <f t="shared" ref="D79:N79" si="95">+INDEX($E152:$O152,1,D$75) * INDEX($V$78:$V$88,D$75,1)</f>
        <v>0</v>
      </c>
      <c r="E79" s="19">
        <f t="shared" si="95"/>
        <v>0</v>
      </c>
      <c r="F79" s="19">
        <f t="shared" si="95"/>
        <v>12997.184999999999</v>
      </c>
      <c r="G79" s="19">
        <f t="shared" si="95"/>
        <v>0</v>
      </c>
      <c r="H79" s="19">
        <f t="shared" si="95"/>
        <v>897.60450000000003</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1896.356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5047.2</v>
      </c>
      <c r="N80" s="14">
        <f t="shared" si="96"/>
        <v>0</v>
      </c>
      <c r="O80" s="86"/>
      <c r="T80" s="117" t="str">
        <f>+'Energy matrix'!B7</f>
        <v>Diesel</v>
      </c>
      <c r="U80" s="117"/>
      <c r="V80" s="118">
        <f>+INDEX('Energy matrix'!C7:N7,1,$D$2)</f>
        <v>12997.184999999999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44163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179.52090000000001</v>
      </c>
      <c r="I82" s="14">
        <f t="shared" si="98"/>
        <v>10540.1126</v>
      </c>
      <c r="J82" s="14">
        <f t="shared" si="98"/>
        <v>0</v>
      </c>
      <c r="K82" s="14">
        <f t="shared" si="98"/>
        <v>0</v>
      </c>
      <c r="L82" s="14">
        <f t="shared" si="98"/>
        <v>0</v>
      </c>
      <c r="M82" s="14">
        <f t="shared" si="98"/>
        <v>1261.8</v>
      </c>
      <c r="N82" s="14">
        <f t="shared" si="98"/>
        <v>5601</v>
      </c>
      <c r="O82" s="86"/>
      <c r="T82" s="117" t="str">
        <f>+'Energy matrix'!B9</f>
        <v>LPG</v>
      </c>
      <c r="U82" s="117"/>
      <c r="V82" s="118">
        <f>+INDEX('Energy matrix'!C9:N9,1,$D$2)</f>
        <v>1795.2090000000001</v>
      </c>
      <c r="W82" s="117"/>
    </row>
    <row r="83" spans="3:24" ht="12.75" customHeight="1">
      <c r="C83" s="17" t="s">
        <v>57</v>
      </c>
      <c r="D83" s="18">
        <f t="shared" ref="D83:N83" si="99">SUM(D77:D82)</f>
        <v>8542.4750000000004</v>
      </c>
      <c r="E83" s="18">
        <f t="shared" si="99"/>
        <v>1896.356</v>
      </c>
      <c r="F83" s="18">
        <f t="shared" si="99"/>
        <v>12997.184999999999</v>
      </c>
      <c r="G83" s="18">
        <f t="shared" si="99"/>
        <v>0</v>
      </c>
      <c r="H83" s="18">
        <f t="shared" si="99"/>
        <v>1795.2090000000001</v>
      </c>
      <c r="I83" s="18">
        <f t="shared" si="99"/>
        <v>105401.12600000002</v>
      </c>
      <c r="J83" s="18">
        <f t="shared" si="99"/>
        <v>583</v>
      </c>
      <c r="K83" s="18">
        <f t="shared" si="99"/>
        <v>1184</v>
      </c>
      <c r="L83" s="18">
        <f t="shared" si="99"/>
        <v>384</v>
      </c>
      <c r="M83" s="18">
        <f t="shared" si="99"/>
        <v>63090</v>
      </c>
      <c r="N83" s="18">
        <f t="shared" si="99"/>
        <v>5601</v>
      </c>
      <c r="O83" s="86"/>
      <c r="T83" s="117" t="str">
        <f>+'Energy matrix'!B11</f>
        <v>Natural gas</v>
      </c>
      <c r="U83" s="117"/>
      <c r="V83" s="118">
        <f>+INDEX('Energy matrix'!C11:N11,1,$D$2)</f>
        <v>105401.126</v>
      </c>
      <c r="W83" s="117"/>
    </row>
    <row r="84" spans="3:24" ht="12.75" customHeight="1">
      <c r="E84" s="25"/>
      <c r="F84" s="25"/>
      <c r="G84" s="25"/>
      <c r="H84" s="25"/>
      <c r="I84" s="25"/>
      <c r="J84" s="25"/>
      <c r="K84" s="25"/>
      <c r="O84" s="86"/>
      <c r="T84" s="117" t="str">
        <f>+'Energy matrix'!B12</f>
        <v>Biogas</v>
      </c>
      <c r="U84" s="117"/>
      <c r="V84" s="118">
        <f>+INDEX('Energy matrix'!C12:N12,1,$D$2)</f>
        <v>583</v>
      </c>
      <c r="W84" s="117"/>
    </row>
    <row r="85" spans="3:24" ht="12.75" customHeight="1">
      <c r="E85" s="25"/>
      <c r="F85" s="25"/>
      <c r="G85" s="25"/>
      <c r="H85" s="25"/>
      <c r="I85" s="25"/>
      <c r="J85" s="25"/>
      <c r="K85" s="25"/>
      <c r="O85" s="86"/>
      <c r="T85" s="117" t="str">
        <f>+'Energy matrix'!B17</f>
        <v>Biomass</v>
      </c>
      <c r="U85" s="117"/>
      <c r="V85" s="118">
        <f>+INDEX('Energy matrix'!C17:N17,1,$D$2)</f>
        <v>1184</v>
      </c>
      <c r="W85" s="117"/>
    </row>
    <row r="86" spans="3:24" ht="12.75" customHeight="1">
      <c r="O86" s="86"/>
      <c r="T86" s="117" t="str">
        <f>+'Energy matrix'!B18</f>
        <v>Waste</v>
      </c>
      <c r="U86" s="117"/>
      <c r="V86" s="118">
        <f>+INDEX('Energy matrix'!C18:N18,1,$D$2)</f>
        <v>384</v>
      </c>
      <c r="W86" s="117"/>
    </row>
    <row r="87" spans="3:24" ht="12.75" customHeight="1">
      <c r="O87" s="86"/>
      <c r="T87" s="117" t="str">
        <f>+'Energy matrix'!B19</f>
        <v>Electricity</v>
      </c>
      <c r="U87" s="117"/>
      <c r="V87" s="118">
        <f>+INDEX('Energy matrix'!C19:N19,1,$D$2)</f>
        <v>63090</v>
      </c>
      <c r="W87" s="117"/>
    </row>
    <row r="88" spans="3:24" ht="12.75" customHeight="1">
      <c r="O88" s="86"/>
      <c r="T88" s="122" t="str">
        <f>+'Energy matrix'!B20</f>
        <v>District Heating</v>
      </c>
      <c r="U88" s="122"/>
      <c r="V88" s="123">
        <f>+INDEX('Energy matrix'!C20:N20,1,$D$2)</f>
        <v>5601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201474.351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8783.3140000000003</v>
      </c>
      <c r="E97" s="14">
        <f t="shared" si="110"/>
        <v>1059.1099999999999</v>
      </c>
      <c r="F97" s="14">
        <f t="shared" si="110"/>
        <v>0</v>
      </c>
      <c r="G97" s="14">
        <f t="shared" si="110"/>
        <v>0</v>
      </c>
      <c r="H97" s="14">
        <f t="shared" si="110"/>
        <v>90.732000000000014</v>
      </c>
      <c r="I97" s="14">
        <f t="shared" si="110"/>
        <v>99566.01</v>
      </c>
      <c r="J97" s="14" t="e">
        <f t="shared" si="110"/>
        <v>#REF!</v>
      </c>
      <c r="K97" s="14">
        <f t="shared" si="110"/>
        <v>1637</v>
      </c>
      <c r="L97" s="14">
        <f t="shared" si="110"/>
        <v>0</v>
      </c>
      <c r="M97" s="14">
        <f t="shared" si="110"/>
        <v>0</v>
      </c>
      <c r="N97" s="14">
        <f t="shared" si="110"/>
        <v>0</v>
      </c>
      <c r="O97" s="86"/>
      <c r="R97" s="287"/>
      <c r="S97" s="287"/>
      <c r="T97" s="48" t="s">
        <v>209</v>
      </c>
      <c r="U97" s="48"/>
      <c r="V97" s="126" t="str">
        <f>+INDEX('Energy matrix'!C28:N28,1,$D$2)</f>
        <v>Food and tobacco</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13099.68</v>
      </c>
      <c r="N98" s="14">
        <f t="shared" si="111"/>
        <v>0</v>
      </c>
      <c r="O98" s="86"/>
      <c r="R98" s="287"/>
      <c r="S98" s="287"/>
      <c r="T98" s="117" t="str">
        <f>'Energy matrix'!B29</f>
        <v>Coal</v>
      </c>
      <c r="U98" s="117"/>
      <c r="V98" s="118">
        <f>+INDEX('Energy matrix'!C29:N29,1,$D$2)</f>
        <v>8783.3140000000003</v>
      </c>
      <c r="W98" s="117"/>
    </row>
    <row r="99" spans="3:24" s="285" customFormat="1" ht="12.75" customHeight="1">
      <c r="C99" s="13" t="str">
        <f>$D$152</f>
        <v>Haullage</v>
      </c>
      <c r="D99" s="19">
        <f t="shared" ref="D99:N99" si="112">+INDEX($E152:$O152,1,D$95) * INDEX($V$98:$V$108,D$95,1)</f>
        <v>0</v>
      </c>
      <c r="E99" s="19">
        <f t="shared" si="112"/>
        <v>0</v>
      </c>
      <c r="F99" s="19">
        <f t="shared" si="112"/>
        <v>6464.9139999999998</v>
      </c>
      <c r="G99" s="19">
        <f t="shared" si="112"/>
        <v>0</v>
      </c>
      <c r="H99" s="19">
        <f t="shared" si="112"/>
        <v>113.41500000000001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1059.1099999999999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5239.8720000000003</v>
      </c>
      <c r="N100" s="14">
        <f t="shared" si="113"/>
        <v>0</v>
      </c>
      <c r="O100" s="86"/>
      <c r="R100" s="287"/>
      <c r="S100" s="287"/>
      <c r="T100" s="117" t="str">
        <f>'Energy matrix'!B31</f>
        <v>Diesel</v>
      </c>
      <c r="U100" s="117"/>
      <c r="V100" s="118">
        <f>+INDEX('Energy matrix'!C31:N31,1,$D$2)</f>
        <v>6464.9139999999998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45848.88</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22.683000000000003</v>
      </c>
      <c r="I102" s="14">
        <f t="shared" si="115"/>
        <v>11062.89</v>
      </c>
      <c r="J102" s="14" t="e">
        <f t="shared" si="115"/>
        <v>#REF!</v>
      </c>
      <c r="K102" s="14">
        <f t="shared" si="115"/>
        <v>0</v>
      </c>
      <c r="L102" s="14">
        <f t="shared" si="115"/>
        <v>0</v>
      </c>
      <c r="M102" s="14">
        <f t="shared" si="115"/>
        <v>1309.9680000000001</v>
      </c>
      <c r="N102" s="14">
        <f t="shared" si="115"/>
        <v>9825</v>
      </c>
      <c r="O102" s="86"/>
      <c r="R102" s="287"/>
      <c r="S102" s="287"/>
      <c r="T102" s="117" t="str">
        <f>'Energy matrix'!B33</f>
        <v>LPG</v>
      </c>
      <c r="U102" s="117"/>
      <c r="V102" s="118">
        <f>+INDEX('Energy matrix'!C33:N33,1,$D$2)</f>
        <v>226.83</v>
      </c>
      <c r="W102" s="117"/>
    </row>
    <row r="103" spans="3:24" s="285" customFormat="1" ht="12.75" customHeight="1">
      <c r="C103" s="17" t="s">
        <v>57</v>
      </c>
      <c r="D103" s="18">
        <f t="shared" ref="D103:N103" si="116">SUM(D97:D102)</f>
        <v>8783.3140000000003</v>
      </c>
      <c r="E103" s="18">
        <f t="shared" si="116"/>
        <v>1059.1099999999999</v>
      </c>
      <c r="F103" s="18">
        <f t="shared" si="116"/>
        <v>6464.9139999999998</v>
      </c>
      <c r="G103" s="18">
        <f t="shared" si="116"/>
        <v>0</v>
      </c>
      <c r="H103" s="18">
        <f t="shared" si="116"/>
        <v>226.83</v>
      </c>
      <c r="I103" s="18">
        <f t="shared" si="116"/>
        <v>110628.9</v>
      </c>
      <c r="J103" s="18" t="e">
        <f t="shared" si="116"/>
        <v>#REF!</v>
      </c>
      <c r="K103" s="18">
        <f t="shared" si="116"/>
        <v>1637</v>
      </c>
      <c r="L103" s="18">
        <f t="shared" si="116"/>
        <v>0</v>
      </c>
      <c r="M103" s="18">
        <f t="shared" si="116"/>
        <v>65498.400000000001</v>
      </c>
      <c r="N103" s="18">
        <f t="shared" si="116"/>
        <v>9825</v>
      </c>
      <c r="O103" s="86"/>
      <c r="R103" s="287"/>
      <c r="S103" s="287"/>
      <c r="T103" s="117" t="str">
        <f>'Energy matrix'!B35</f>
        <v>Natural gas</v>
      </c>
      <c r="U103" s="117"/>
      <c r="V103" s="118">
        <f>+INDEX('Energy matrix'!C35:N35,1,$D$2)</f>
        <v>110628.9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1637</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0</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65498.400000000001</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9825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7846.0739999999996</v>
      </c>
      <c r="E117" s="14">
        <f t="shared" si="127"/>
        <v>1210.29</v>
      </c>
      <c r="F117" s="14">
        <f t="shared" si="127"/>
        <v>0</v>
      </c>
      <c r="G117" s="14">
        <f t="shared" si="127"/>
        <v>0</v>
      </c>
      <c r="H117" s="14" t="e">
        <f t="shared" si="127"/>
        <v>#REF!</v>
      </c>
      <c r="I117" s="14">
        <f t="shared" si="127"/>
        <v>0</v>
      </c>
      <c r="J117" s="14">
        <f t="shared" si="127"/>
        <v>116593.553</v>
      </c>
      <c r="K117" s="14">
        <f t="shared" si="127"/>
        <v>844</v>
      </c>
      <c r="L117" s="14">
        <f t="shared" si="127"/>
        <v>2111</v>
      </c>
      <c r="M117" s="14">
        <f t="shared" si="127"/>
        <v>0</v>
      </c>
      <c r="N117" s="14">
        <f t="shared" si="127"/>
        <v>0</v>
      </c>
      <c r="O117" s="86"/>
      <c r="T117" s="48" t="s">
        <v>209</v>
      </c>
      <c r="U117" s="48"/>
      <c r="V117" s="126" t="str">
        <f>+INDEX('Energy matrix'!C52:N52,1,$D$2)</f>
        <v>Food and tobacco</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7846.0739999999996</v>
      </c>
      <c r="W118" s="117"/>
    </row>
    <row r="119" spans="3:31" ht="12.75" customHeight="1">
      <c r="C119" s="13" t="str">
        <f>$D$152</f>
        <v>Haullage</v>
      </c>
      <c r="D119" s="19">
        <f t="shared" ref="D119:N119" si="129">+INDEX($E152:$O152,1,D$115) * INDEX($V$118:$V$128,D$115,1)</f>
        <v>0</v>
      </c>
      <c r="E119" s="19">
        <f t="shared" si="129"/>
        <v>0</v>
      </c>
      <c r="F119" s="19">
        <f t="shared" si="129"/>
        <v>5365.875</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1210.29</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matrix'!B55</f>
        <v>Diesel</v>
      </c>
      <c r="U120" s="117"/>
      <c r="V120" s="118">
        <f>+INDEX('Energy matrix'!C55:N55,1,$D$2)</f>
        <v>5365.875</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67237.2</v>
      </c>
      <c r="O122" s="86"/>
      <c r="T122" s="117" t="e">
        <f>'Energy matrix'!#REF!</f>
        <v>#REF!</v>
      </c>
      <c r="U122" s="117"/>
      <c r="V122" s="118" t="e">
        <f>+_xlfn.SINGLE(INDEX('Energy matrix'!#REF!,1,$D$2))</f>
        <v>#REF!</v>
      </c>
      <c r="W122" s="117"/>
    </row>
    <row r="123" spans="3:31" ht="12.75" customHeight="1">
      <c r="C123" s="17" t="s">
        <v>57</v>
      </c>
      <c r="D123" s="18">
        <f t="shared" ref="D123:N123" si="133">SUM(D117:D122)</f>
        <v>7846.0739999999996</v>
      </c>
      <c r="E123" s="18">
        <f t="shared" si="133"/>
        <v>1210.29</v>
      </c>
      <c r="F123" s="18">
        <f t="shared" si="133"/>
        <v>5365.875</v>
      </c>
      <c r="G123" s="18">
        <f t="shared" si="133"/>
        <v>0</v>
      </c>
      <c r="H123" s="18" t="e">
        <f t="shared" si="133"/>
        <v>#REF!</v>
      </c>
      <c r="I123" s="18">
        <f t="shared" si="133"/>
        <v>0</v>
      </c>
      <c r="J123" s="18">
        <f t="shared" si="133"/>
        <v>116593.553</v>
      </c>
      <c r="K123" s="18">
        <f t="shared" si="133"/>
        <v>844</v>
      </c>
      <c r="L123" s="18">
        <f t="shared" si="133"/>
        <v>2111</v>
      </c>
      <c r="M123" s="18">
        <f t="shared" si="133"/>
        <v>0</v>
      </c>
      <c r="N123" s="18">
        <f t="shared" si="133"/>
        <v>67237.2</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116593.553</v>
      </c>
      <c r="W124" s="117"/>
    </row>
    <row r="125" spans="3:31" ht="12.75" customHeight="1">
      <c r="E125" s="25"/>
      <c r="F125" s="25"/>
      <c r="G125" s="25"/>
      <c r="H125" s="25"/>
      <c r="I125" s="25"/>
      <c r="J125" s="25"/>
      <c r="K125" s="25"/>
      <c r="O125" s="86"/>
      <c r="T125" s="117" t="str">
        <f>'Energy matrix'!B60</f>
        <v>Biogas</v>
      </c>
      <c r="U125" s="117"/>
      <c r="V125" s="118">
        <f>+INDEX('Energy matrix'!C60:N60,1,$D$2)</f>
        <v>844</v>
      </c>
      <c r="W125" s="117"/>
    </row>
    <row r="126" spans="3:31" ht="12.75" customHeight="1">
      <c r="O126" s="86"/>
      <c r="T126" s="117" t="str">
        <f>'Energy matrix'!B65</f>
        <v>Biomass</v>
      </c>
      <c r="U126" s="117"/>
      <c r="V126" s="118">
        <f>+INDEX('Energy matrix'!C65:N65,1,$D$2)</f>
        <v>2111</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67237.2</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08 Food and tobacco</v>
      </c>
      <c r="D150" s="13" t="s">
        <v>534</v>
      </c>
      <c r="E150" s="22">
        <v>1</v>
      </c>
      <c r="F150" s="22">
        <v>1</v>
      </c>
      <c r="G150" s="22"/>
      <c r="H150" s="22">
        <v>0</v>
      </c>
      <c r="I150" s="22">
        <v>0.4</v>
      </c>
      <c r="J150" s="22">
        <v>0.9</v>
      </c>
      <c r="K150" s="22">
        <v>1</v>
      </c>
      <c r="L150" s="22">
        <v>1</v>
      </c>
      <c r="M150" s="22">
        <v>1</v>
      </c>
      <c r="N150" s="22"/>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v>0</v>
      </c>
      <c r="N151" s="22">
        <v>0.2</v>
      </c>
      <c r="O151" s="22">
        <v>0</v>
      </c>
      <c r="P151" s="34"/>
      <c r="Q151" s="34"/>
      <c r="R151" s="25"/>
      <c r="S151" s="25"/>
      <c r="X151" s="285"/>
      <c r="Y151" s="285"/>
      <c r="AA151" s="25"/>
      <c r="AB151" s="25"/>
    </row>
    <row r="152" spans="3:28">
      <c r="C152" s="15"/>
      <c r="D152" s="13" t="s">
        <v>536</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0.08</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0.7</v>
      </c>
      <c r="O154" s="22">
        <v>0</v>
      </c>
      <c r="P154" s="34"/>
      <c r="Q154" s="34"/>
      <c r="R154" s="25"/>
      <c r="S154" s="25"/>
      <c r="X154" s="285"/>
      <c r="Y154" s="285"/>
      <c r="AA154" s="25"/>
      <c r="AB154" s="25"/>
    </row>
    <row r="155" spans="3:28">
      <c r="C155" s="16"/>
      <c r="D155" s="13" t="s">
        <v>539</v>
      </c>
      <c r="E155" s="22"/>
      <c r="F155" s="22"/>
      <c r="G155" s="22"/>
      <c r="H155" s="22"/>
      <c r="I155" s="22">
        <v>0.1</v>
      </c>
      <c r="J155" s="22">
        <v>0.1</v>
      </c>
      <c r="K155" s="22"/>
      <c r="L155" s="22"/>
      <c r="M155" s="22"/>
      <c r="N155" s="22">
        <v>0.02</v>
      </c>
      <c r="O155" s="22">
        <v>1</v>
      </c>
      <c r="P155" s="34"/>
      <c r="Q155" s="34"/>
      <c r="R155" s="25"/>
      <c r="S155" s="25"/>
      <c r="X155" s="285"/>
      <c r="Y155" s="285"/>
      <c r="AA155" s="25"/>
      <c r="AB155" s="25"/>
    </row>
    <row r="156" spans="3:28">
      <c r="C156" s="17" t="str">
        <f>C150</f>
        <v>08 Food and tobacco</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56"/>
  <sheetViews>
    <sheetView showGridLines="0" topLeftCell="A121"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Textile &amp; Leather</v>
      </c>
      <c r="E5" s="25"/>
      <c r="F5" s="197"/>
      <c r="G5" s="198"/>
    </row>
    <row r="6" spans="3:28" ht="12.75" customHeight="1">
      <c r="C6" s="62"/>
      <c r="D6" s="70" t="str">
        <f>+INDEX(Commodities!$Y$6:$Y$17,D2)</f>
        <v>011 Textile and leather</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011 Textile and leather</v>
      </c>
      <c r="E9" s="25"/>
    </row>
    <row r="10" spans="3:28" ht="12.75" customHeight="1">
      <c r="C10" s="62" t="s">
        <v>154</v>
      </c>
      <c r="D10" s="70">
        <f>+ROW(Processes!$M$44) - ROW(Processes!$M$7)</f>
        <v>37</v>
      </c>
      <c r="E10" s="25"/>
    </row>
    <row r="11" spans="3:28" ht="12.75" customHeight="1">
      <c r="C11" s="62" t="s">
        <v>194</v>
      </c>
      <c r="D11" s="70">
        <f>+$D$10*$D$2-$D$10</f>
        <v>370</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Textile and leather</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INDLDPHBNGAE1</v>
      </c>
      <c r="D26" s="146" t="str">
        <f ca="1">+OFFSET(Processes!E7,$D$11,0)</f>
        <v>Textile &amp; Leather Heat Medium Temp. Boiler - Nat. Gas Existing 1</v>
      </c>
      <c r="E26" s="149" t="str">
        <f>+Processes!O7</f>
        <v>INDSNG1,INDSNG2,INDNGA</v>
      </c>
      <c r="F26" s="149" t="str">
        <f ca="1">+OFFSET(Processes!$M$12,$D$11,0) &amp; Processes!P7</f>
        <v>ILDPH</v>
      </c>
      <c r="G26" s="322">
        <f>ROUNDUP(AN26/($Z26*$AA26)*G$21*W26,3)</f>
        <v>612.38099999999997</v>
      </c>
      <c r="H26" s="322">
        <f t="shared" ref="H26:I26" si="0">ROUNDUP(AO26/($Z26*$AA26)*H$21*X26,3)</f>
        <v>34.021999999999998</v>
      </c>
      <c r="I26" s="322">
        <f t="shared" si="0"/>
        <v>34.021999999999998</v>
      </c>
      <c r="J26" s="322">
        <f>ROUNDUP(BA26/($Z26*$AA26)*J$21*W26,3)</f>
        <v>556.45799999999997</v>
      </c>
      <c r="K26" s="322">
        <f>ROUNDUP(BB26/($Z26*$AA26)*K$21*X26,3)</f>
        <v>30.915000000000003</v>
      </c>
      <c r="L26" s="322">
        <f>ROUNDUP(BC26/($Z26*$AA26)*L$21*Y26,3)</f>
        <v>30.915000000000003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10.390102248771637</v>
      </c>
      <c r="AH26" s="236">
        <f t="shared" ref="AH26:AH41" si="9">((J26*Z26*AA26/W26)+(K26*Z26*AA26/X26))/$J$21</f>
        <v>9.3571402950090903</v>
      </c>
      <c r="AI26" s="236">
        <f t="shared" ref="AI26:AI41" si="10">((M26*AA26*Z26/W26)+(N26*Z26*AA26/X26))/$M$21</f>
        <v>0</v>
      </c>
      <c r="AJ26" s="285"/>
      <c r="AK26" s="530" t="str">
        <f ca="1">F26</f>
        <v>ILDPH</v>
      </c>
      <c r="AL26" s="350" t="s">
        <v>97</v>
      </c>
      <c r="AM26" s="313">
        <f>I77/1000</f>
        <v>10.936926999999999</v>
      </c>
      <c r="AN26" s="310">
        <f>AM26*$AN$23</f>
        <v>9.8432342999999989</v>
      </c>
      <c r="AO26" s="311">
        <f>AM26*$AO$23</f>
        <v>0.54684634999999993</v>
      </c>
      <c r="AP26" s="311">
        <f>AM26*$AP$23</f>
        <v>0.54684634999999993</v>
      </c>
      <c r="AQ26" s="312">
        <f>IFERROR(G26*$Z26*$AA26/G$21,0)</f>
        <v>9.6463772307692324</v>
      </c>
      <c r="AR26" s="311">
        <f>IFERROR(H26*$Z26*$AA26/H$21,0)</f>
        <v>0.535922973026973</v>
      </c>
      <c r="AS26" s="338">
        <f>IFERROR(I26*$Z26*$AA26/I$21,0)</f>
        <v>0.535922973026973</v>
      </c>
      <c r="AT26" s="313">
        <f t="shared" ref="AT26:AV29" si="11">IFERROR(AQ26/W26,0)</f>
        <v>9.8432420722135028</v>
      </c>
      <c r="AU26" s="310">
        <f t="shared" si="11"/>
        <v>0.54686017655813568</v>
      </c>
      <c r="AV26" s="357">
        <f t="shared" si="11"/>
        <v>0.54686017655813568</v>
      </c>
      <c r="AW26" s="285"/>
      <c r="AX26" s="530" t="str">
        <f t="shared" ref="AX26:AX62" ca="1" si="12">AK26</f>
        <v>ILDPH</v>
      </c>
      <c r="AY26" s="350" t="s">
        <v>97</v>
      </c>
      <c r="AZ26" s="313">
        <f>I97/1000</f>
        <v>9.8496000000000006</v>
      </c>
      <c r="BA26" s="310">
        <f>AZ26*$AN$23</f>
        <v>8.8646400000000014</v>
      </c>
      <c r="BB26" s="311">
        <f>AZ26*$BB$23</f>
        <v>0.49248000000000003</v>
      </c>
      <c r="BC26" s="311">
        <f>AZ26*$BC$23</f>
        <v>0.49248000000000003</v>
      </c>
      <c r="BD26" s="313">
        <f t="shared" ref="BD26" si="13">IFERROR(J26*$Z26*AA26/J$21,0)</f>
        <v>8.6873561821782168</v>
      </c>
      <c r="BE26" s="310">
        <f t="shared" ref="BE26" si="14">IFERROR(K26*$Z26*AA26/K$21,0)</f>
        <v>0.48264130693069313</v>
      </c>
      <c r="BF26" s="357">
        <f>IFERROR(L26*$Z26*AA26/L$21,0)</f>
        <v>0.48264130693069313</v>
      </c>
      <c r="BG26" s="313">
        <f t="shared" ref="BG26:BG35" si="15">IFERROR(BD26/W26,0)</f>
        <v>8.8646491654879771</v>
      </c>
      <c r="BH26" s="310">
        <f t="shared" ref="BH26:BH35" si="16">IFERROR(BE26/X26,0)</f>
        <v>0.49249112952111546</v>
      </c>
      <c r="BI26" s="357">
        <f t="shared" ref="BI26:BI35" si="17">IFERROR(BF26/Y26,0)</f>
        <v>0.49249112952111546</v>
      </c>
      <c r="BJ26" s="285"/>
      <c r="BK26" s="530" t="str">
        <f ca="1">AK26</f>
        <v>ILDPH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INDLDPHBCOAE1</v>
      </c>
      <c r="D27" s="146" t="str">
        <f ca="1">+OFFSET(Processes!E8,$D$11,0)</f>
        <v>Textile &amp; Leather Heat Medium Temp. Boiler - Coal Existing 1</v>
      </c>
      <c r="E27" s="149" t="str">
        <f>+Processes!O8</f>
        <v>INDCOA</v>
      </c>
      <c r="F27" s="149" t="str">
        <f ca="1">+OFFSET(Processes!$M$12,$D$11,0) &amp; Processes!P8</f>
        <v>ILDPH</v>
      </c>
      <c r="G27" s="322">
        <f t="shared" ref="G27:G62" si="18">ROUNDUP(AN27/($Z27*$AA27)*G$21*W27,3)</f>
        <v>22.705000000000002</v>
      </c>
      <c r="H27" s="322">
        <f t="shared" ref="H27:H62" si="19">ROUNDUP(AO27/($Z27*$AA27)*H$21*X27,3)</f>
        <v>1.2619999999999998</v>
      </c>
      <c r="I27" s="322">
        <f t="shared" ref="I27:I61" si="20">ROUNDUP(AP27/($Z27*$AA27)*I$21*Y27,3)</f>
        <v>1.2619999999999998</v>
      </c>
      <c r="J27" s="322">
        <f t="shared" ref="J27:J62" si="21">ROUNDUP(BA27/($Z27*$AA27)*J$21*W27,3)</f>
        <v>13.613</v>
      </c>
      <c r="K27" s="322">
        <f t="shared" ref="K27:K62" si="22">ROUNDUP(BB27/($Z27*$AA27)*K$21*X27,3)</f>
        <v>0.75700000000000001</v>
      </c>
      <c r="L27" s="322">
        <f t="shared" ref="L27:L62" si="23">ROUNDUP(BC27/($Z27*$AA27)*L$21*Y27,3)</f>
        <v>0.75700000000000001</v>
      </c>
      <c r="M27" s="322">
        <f t="shared" ref="M27:M62" si="24">ROUNDUP(BN27/($Z27*$AA27)*M$21*W27,3)</f>
        <v>9.6909999999999989</v>
      </c>
      <c r="N27" s="322">
        <f t="shared" ref="N27:N62" si="25">ROUNDUP(BO27/($Z27*$AA27)*N$21*X27,3)</f>
        <v>0.53900000000000003</v>
      </c>
      <c r="O27" s="322">
        <f t="shared" ref="O27:O62" si="26">ROUNDUP(BP27/($Z27*$AA27)*O$21*Y27,3)</f>
        <v>0.53900000000000003</v>
      </c>
      <c r="P27" s="322">
        <f t="shared" si="1"/>
        <v>9.6909999999999989</v>
      </c>
      <c r="Q27" s="322">
        <f t="shared" si="2"/>
        <v>0.53900000000000003</v>
      </c>
      <c r="R27" s="322">
        <f t="shared" si="3"/>
        <v>0.53900000000000003</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0.40551463144803651</v>
      </c>
      <c r="AH27" s="236">
        <f t="shared" si="9"/>
        <v>0.24096963767268242</v>
      </c>
      <c r="AI27" s="236">
        <f t="shared" si="10"/>
        <v>0.17154623475236891</v>
      </c>
      <c r="AJ27" s="285"/>
      <c r="AK27" s="290"/>
      <c r="AL27" s="291" t="s">
        <v>98</v>
      </c>
      <c r="AM27" s="307">
        <f>D77/1000</f>
        <v>0.42683199999999999</v>
      </c>
      <c r="AN27" s="308">
        <f>AM27*$AN$23</f>
        <v>0.38414880000000001</v>
      </c>
      <c r="AO27" s="309">
        <f t="shared" ref="AO27:AO29" si="27">AM27*$AO$23</f>
        <v>2.1341600000000002E-2</v>
      </c>
      <c r="AP27" s="309">
        <f>AM27*$AP$23</f>
        <v>2.1341600000000002E-2</v>
      </c>
      <c r="AQ27" s="306">
        <f t="shared" ref="AQ27:AQ62" si="28">IFERROR(G27*$Z27*$AA27/G$21,0)</f>
        <v>0.35765478521478528</v>
      </c>
      <c r="AR27" s="309">
        <f t="shared" ref="AR27:AR62" si="29">IFERROR(H27*$Z27*$AA27/H$21,0)</f>
        <v>1.9879336663336664E-2</v>
      </c>
      <c r="AS27" s="540">
        <f t="shared" ref="AS27:AS62" si="30">IFERROR(I27*$Z27*$AA27/I$21,0)</f>
        <v>1.9879336663336664E-2</v>
      </c>
      <c r="AT27" s="307">
        <f t="shared" si="11"/>
        <v>0.38416196048849122</v>
      </c>
      <c r="AU27" s="308">
        <f t="shared" si="11"/>
        <v>2.1352670959545291E-2</v>
      </c>
      <c r="AV27" s="353">
        <f t="shared" si="11"/>
        <v>2.1352670959545291E-2</v>
      </c>
      <c r="AW27" s="285"/>
      <c r="AX27" s="290"/>
      <c r="AY27" s="291" t="s">
        <v>98</v>
      </c>
      <c r="AZ27" s="307">
        <f>D97/1000</f>
        <v>0.25363200000000002</v>
      </c>
      <c r="BA27" s="308">
        <f>AZ27*$AN$23</f>
        <v>0.22826880000000002</v>
      </c>
      <c r="BB27" s="309">
        <f t="shared" ref="BB27:BB29" si="31">AZ27*$BB$23</f>
        <v>1.2681600000000001E-2</v>
      </c>
      <c r="BC27" s="309">
        <f t="shared" ref="BC27:BC29" si="32">AZ27*$BC$23</f>
        <v>1.2681600000000001E-2</v>
      </c>
      <c r="BD27" s="307">
        <f t="shared" ref="BD27:BD62" si="33">IFERROR(J27*$Z27*AA27/J$21,0)</f>
        <v>0.21252453861386139</v>
      </c>
      <c r="BE27" s="308">
        <f t="shared" ref="BE27:BE62" si="34">IFERROR(K27*$Z27*AA27/K$21,0)</f>
        <v>1.1818194059405941E-2</v>
      </c>
      <c r="BF27" s="353">
        <f t="shared" ref="BF27:BF62" si="35">IFERROR(L27*$Z27*AA27/L$21,0)</f>
        <v>1.1818194059405941E-2</v>
      </c>
      <c r="BG27" s="307">
        <f t="shared" si="15"/>
        <v>0.22827555167976521</v>
      </c>
      <c r="BH27" s="308">
        <f t="shared" si="16"/>
        <v>1.269408599291723E-2</v>
      </c>
      <c r="BI27" s="353">
        <f t="shared" si="17"/>
        <v>1.269408599291723E-2</v>
      </c>
      <c r="BJ27" s="285"/>
      <c r="BK27" s="290"/>
      <c r="BL27" s="291" t="s">
        <v>98</v>
      </c>
      <c r="BM27" s="307">
        <f>D117/1000</f>
        <v>0.18055199999999999</v>
      </c>
      <c r="BN27" s="308">
        <f>BM27*$AN$23</f>
        <v>0.1624968</v>
      </c>
      <c r="BO27" s="309">
        <f t="shared" ref="BO27:BO29" si="36">BM27*$BB$23</f>
        <v>9.0276000000000002E-3</v>
      </c>
      <c r="BP27" s="309">
        <f t="shared" ref="BP27:BP29" si="37">BM27*$BC$23</f>
        <v>9.0276000000000002E-3</v>
      </c>
      <c r="BQ27" s="307">
        <f t="shared" ref="BQ27:BQ62" si="38">IFERROR(M27*$Z27*$AA27/M$21,0)</f>
        <v>0.1512947405940594</v>
      </c>
      <c r="BR27" s="308">
        <f t="shared" ref="BR27:BR62" si="39">IFERROR(N27*$Z27*$AA27/N$21,0)</f>
        <v>8.4148039603960407E-3</v>
      </c>
      <c r="BS27" s="353">
        <f t="shared" ref="BS27:BS62" si="40">IFERROR(O27*$Z27*$AA27/O$21,0)</f>
        <v>8.4148039603960407E-3</v>
      </c>
      <c r="BT27" s="307">
        <f t="shared" ref="BT27:BT35" si="41">IFERROR(BQ27/W27,0)</f>
        <v>0.16250777722240536</v>
      </c>
      <c r="BU27" s="308">
        <f t="shared" ref="BU27:BU35" si="42">IFERROR(BR27/X27,0)</f>
        <v>9.0384575299635242E-3</v>
      </c>
      <c r="BV27" s="353">
        <f t="shared" ref="BV27:BV35" si="43">IFERROR(BS27/Y27,0)</f>
        <v>9.0384575299635242E-3</v>
      </c>
      <c r="BW27" s="285"/>
      <c r="BX27" s="285"/>
      <c r="BY27" s="285"/>
    </row>
    <row r="28" spans="3:77" ht="12.75" customHeight="1">
      <c r="C28" s="146" t="str">
        <f ca="1">+IF(OFFSET(Processes!B9,$D$11,0)="*","*",OFFSET(Processes!D9,$D$11,0))</f>
        <v>INDLDPHBDSLE1</v>
      </c>
      <c r="D28" s="146" t="str">
        <f ca="1">+OFFSET(Processes!E9,$D$11,0)</f>
        <v>Textile &amp; Leather Heat Medium Temp. Boiler - Diesel Existing 1</v>
      </c>
      <c r="E28" s="149" t="str">
        <f>+Processes!O9</f>
        <v>INDDSB1,INDDSB2,INDDSL</v>
      </c>
      <c r="F28" s="149" t="str">
        <f ca="1">+OFFSET(Processes!$M$12,$D$11,0) &amp; Processes!P9</f>
        <v>ILDPH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INDLDPHBWPEE1</v>
      </c>
      <c r="D29" s="146" t="str">
        <f ca="1">+OFFSET(Processes!E10,$D$11,0)</f>
        <v>Textile &amp; Leather Heat Medium Temp. Boiler - Wood Pellets Existing 1</v>
      </c>
      <c r="E29" s="149" t="str">
        <f>+Processes!O10</f>
        <v>INDWPE</v>
      </c>
      <c r="F29" s="149" t="str">
        <f ca="1">+OFFSET(Processes!$M$12,$D$11,0) &amp; Processes!P10</f>
        <v>ILDPH</v>
      </c>
      <c r="G29" s="321">
        <f t="shared" si="18"/>
        <v>4.1890000000000001</v>
      </c>
      <c r="H29" s="321">
        <f t="shared" si="19"/>
        <v>0.23300000000000001</v>
      </c>
      <c r="I29" s="321">
        <f t="shared" si="20"/>
        <v>0.23300000000000001</v>
      </c>
      <c r="J29" s="321">
        <f t="shared" si="21"/>
        <v>4.6110000000000007</v>
      </c>
      <c r="K29" s="321">
        <f t="shared" si="22"/>
        <v>0.25700000000000001</v>
      </c>
      <c r="L29" s="321">
        <f t="shared" si="23"/>
        <v>0.25700000000000001</v>
      </c>
      <c r="M29" s="321">
        <f t="shared" si="24"/>
        <v>0.14499999999999999</v>
      </c>
      <c r="N29" s="321">
        <f t="shared" si="25"/>
        <v>9.0000000000000011E-3</v>
      </c>
      <c r="O29" s="321">
        <f t="shared" si="26"/>
        <v>9.0000000000000011E-3</v>
      </c>
      <c r="P29" s="321">
        <f t="shared" si="1"/>
        <v>0.14499999999999999</v>
      </c>
      <c r="Q29" s="321">
        <f t="shared" si="2"/>
        <v>9.0000000000000011E-3</v>
      </c>
      <c r="R29" s="321">
        <f t="shared" si="3"/>
        <v>9.0000000000000011E-3</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8.3621175942904649E-2</v>
      </c>
      <c r="AH29" s="236">
        <f t="shared" si="9"/>
        <v>9.1234859092151732E-2</v>
      </c>
      <c r="AI29" s="236">
        <f t="shared" si="10"/>
        <v>2.8862301356186036E-3</v>
      </c>
      <c r="AJ29" s="285"/>
      <c r="AK29" s="290"/>
      <c r="AL29" s="559" t="s">
        <v>99</v>
      </c>
      <c r="AM29" s="560">
        <f>K77/1000</f>
        <v>8.7999999999999995E-2</v>
      </c>
      <c r="AN29" s="561">
        <f>AM29*$AN$23</f>
        <v>7.9199999999999993E-2</v>
      </c>
      <c r="AO29" s="562">
        <f t="shared" si="27"/>
        <v>4.4000000000000003E-3</v>
      </c>
      <c r="AP29" s="562">
        <f>AM29*$AP$23</f>
        <v>4.4000000000000003E-3</v>
      </c>
      <c r="AQ29" s="582">
        <f t="shared" si="28"/>
        <v>6.5986165834165847E-2</v>
      </c>
      <c r="AR29" s="562">
        <f t="shared" si="29"/>
        <v>3.6702737262737269E-3</v>
      </c>
      <c r="AS29" s="563">
        <f t="shared" si="30"/>
        <v>3.6702737262737269E-3</v>
      </c>
      <c r="AT29" s="560">
        <f t="shared" si="11"/>
        <v>7.9215085035013025E-2</v>
      </c>
      <c r="AU29" s="561">
        <f t="shared" si="11"/>
        <v>4.4060909078916287E-3</v>
      </c>
      <c r="AV29" s="566">
        <f t="shared" si="11"/>
        <v>4.4060909078916287E-3</v>
      </c>
      <c r="AW29" s="285"/>
      <c r="AX29" s="290"/>
      <c r="AY29" s="559" t="s">
        <v>99</v>
      </c>
      <c r="AZ29" s="560">
        <f>K97/1000</f>
        <v>9.6000000000000002E-2</v>
      </c>
      <c r="BA29" s="561">
        <f>AZ29*$AN$23</f>
        <v>8.6400000000000005E-2</v>
      </c>
      <c r="BB29" s="562">
        <f t="shared" si="31"/>
        <v>4.8000000000000004E-3</v>
      </c>
      <c r="BC29" s="562">
        <f t="shared" si="32"/>
        <v>4.8000000000000004E-3</v>
      </c>
      <c r="BD29" s="560">
        <f t="shared" si="33"/>
        <v>7.198638415841585E-2</v>
      </c>
      <c r="BE29" s="561">
        <f t="shared" si="34"/>
        <v>4.0122534653465342E-3</v>
      </c>
      <c r="BF29" s="566">
        <f t="shared" si="35"/>
        <v>4.0122534653465342E-3</v>
      </c>
      <c r="BG29" s="560">
        <f t="shared" si="15"/>
        <v>8.6418228281411588E-2</v>
      </c>
      <c r="BH29" s="561">
        <f t="shared" si="16"/>
        <v>4.816630810740137E-3</v>
      </c>
      <c r="BI29" s="566">
        <f t="shared" si="17"/>
        <v>4.816630810740137E-3</v>
      </c>
      <c r="BJ29" s="285"/>
      <c r="BK29" s="290"/>
      <c r="BL29" s="559" t="s">
        <v>99</v>
      </c>
      <c r="BM29" s="560">
        <f>K117/1000</f>
        <v>3.0000000000000001E-3</v>
      </c>
      <c r="BN29" s="561">
        <f>BM29*$AN$23</f>
        <v>2.7000000000000001E-3</v>
      </c>
      <c r="BO29" s="562">
        <f t="shared" si="36"/>
        <v>1.5000000000000001E-4</v>
      </c>
      <c r="BP29" s="562">
        <f t="shared" si="37"/>
        <v>1.5000000000000001E-4</v>
      </c>
      <c r="BQ29" s="560">
        <f t="shared" si="38"/>
        <v>2.2637227722772275E-3</v>
      </c>
      <c r="BR29" s="561">
        <f t="shared" si="39"/>
        <v>1.4050693069306934E-4</v>
      </c>
      <c r="BS29" s="566">
        <f t="shared" si="40"/>
        <v>1.4050693069306934E-4</v>
      </c>
      <c r="BT29" s="560">
        <f t="shared" si="41"/>
        <v>2.717554348472062E-3</v>
      </c>
      <c r="BU29" s="561">
        <f t="shared" si="42"/>
        <v>1.6867578714654182E-4</v>
      </c>
      <c r="BV29" s="566">
        <f t="shared" si="43"/>
        <v>1.6867578714654182E-4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INDLDPHBBGAE1</v>
      </c>
      <c r="D31" s="146" t="str">
        <f ca="1">+OFFSET(Processes!E12,$D$11,0)</f>
        <v>Textile &amp; Leather Heat Medium Temp. Boiler - Biogas Existing 1</v>
      </c>
      <c r="E31" s="149" t="str">
        <f>+Processes!O12</f>
        <v>INDBGA</v>
      </c>
      <c r="F31" s="172" t="str">
        <f ca="1">+OFFSET(Processes!$M$12,$D$11,0) &amp; Processes!P12</f>
        <v>ILDPH</v>
      </c>
      <c r="G31" s="322">
        <f t="shared" si="18"/>
        <v>0.84</v>
      </c>
      <c r="H31" s="322">
        <f t="shared" si="19"/>
        <v>4.7E-2</v>
      </c>
      <c r="I31" s="322">
        <f t="shared" si="20"/>
        <v>4.7E-2</v>
      </c>
      <c r="J31" s="322" t="e">
        <f t="shared" si="21"/>
        <v>#REF!</v>
      </c>
      <c r="K31" s="322" t="e">
        <f t="shared" si="22"/>
        <v>#REF!</v>
      </c>
      <c r="L31" s="322" t="e">
        <f t="shared" si="23"/>
        <v>#REF!</v>
      </c>
      <c r="M31" s="322">
        <f t="shared" si="24"/>
        <v>500.863</v>
      </c>
      <c r="N31" s="322">
        <f t="shared" si="25"/>
        <v>27.826000000000001</v>
      </c>
      <c r="O31" s="322">
        <f t="shared" si="26"/>
        <v>27.826000000000001</v>
      </c>
      <c r="P31" s="322">
        <f t="shared" si="1"/>
        <v>500.863</v>
      </c>
      <c r="Q31" s="322">
        <f t="shared" si="2"/>
        <v>27.826000000000001</v>
      </c>
      <c r="R31" s="322">
        <f t="shared" si="3"/>
        <v>27.826000000000001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1.4257391588003836E-2</v>
      </c>
      <c r="AH31" s="236" t="e">
        <f t="shared" si="9"/>
        <v>#REF!</v>
      </c>
      <c r="AI31" s="236">
        <f t="shared" si="10"/>
        <v>8.4222753606789258</v>
      </c>
      <c r="AJ31" s="285"/>
      <c r="AK31" s="290"/>
      <c r="AL31" s="559" t="s">
        <v>100</v>
      </c>
      <c r="AM31" s="560">
        <f>J77/1000</f>
        <v>1.4999999999999999E-2</v>
      </c>
      <c r="AN31" s="561">
        <f t="shared" ref="AN31:AN41" si="47">AM31*$AN$23</f>
        <v>1.35E-2</v>
      </c>
      <c r="AO31" s="562">
        <f t="shared" ref="AO31:AO33" si="48">AM31*$AO$23</f>
        <v>7.5000000000000002E-4</v>
      </c>
      <c r="AP31" s="562">
        <f t="shared" ref="AP31:AP37" si="49">AM31*$AP$23</f>
        <v>7.5000000000000002E-4</v>
      </c>
      <c r="AQ31" s="582">
        <f t="shared" si="28"/>
        <v>1.3231888111888114E-2</v>
      </c>
      <c r="AR31" s="562">
        <f t="shared" si="29"/>
        <v>7.4035564435564441E-4</v>
      </c>
      <c r="AS31" s="563">
        <f>IFERROR(I31*$Z31*$AA31/I$21,0)</f>
        <v>7.4035564435564441E-4</v>
      </c>
      <c r="AT31" s="560">
        <f t="shared" ref="AT31:AV34" si="50">IFERROR(AQ31/W31,0)</f>
        <v>1.350192664478379E-2</v>
      </c>
      <c r="AU31" s="561">
        <f t="shared" si="50"/>
        <v>7.5546494322004532E-4</v>
      </c>
      <c r="AV31" s="566">
        <f t="shared" si="50"/>
        <v>7.5546494322004532E-4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8.8655460000000001</v>
      </c>
      <c r="BN31" s="561">
        <f>BM31*$AN$23</f>
        <v>7.9789914</v>
      </c>
      <c r="BO31" s="562">
        <f>BM31*$BB$23</f>
        <v>0.44327730000000004</v>
      </c>
      <c r="BP31" s="562">
        <f>BM31*$BC$23</f>
        <v>0.44327730000000004</v>
      </c>
      <c r="BQ31" s="560">
        <f t="shared" si="38"/>
        <v>7.8194136475247529</v>
      </c>
      <c r="BR31" s="561">
        <f t="shared" si="39"/>
        <v>0.43441620594059405</v>
      </c>
      <c r="BS31" s="566">
        <f t="shared" si="40"/>
        <v>0.43441620594059405</v>
      </c>
      <c r="BT31" s="560">
        <f t="shared" si="41"/>
        <v>7.978993517882401</v>
      </c>
      <c r="BU31" s="561">
        <f t="shared" si="42"/>
        <v>0.44328184279652455</v>
      </c>
      <c r="BV31" s="566">
        <f t="shared" si="43"/>
        <v>0.44328184279652455</v>
      </c>
      <c r="BW31" s="285"/>
      <c r="BX31" s="285"/>
      <c r="BY31" s="285"/>
    </row>
    <row r="32" spans="3:77" ht="12.75" customHeight="1">
      <c r="C32" s="146" t="str">
        <f ca="1">+IF(OFFSET(Processes!B13,$D$11,0)="*","*",OFFSET(Processes!D13,$D$11,0))</f>
        <v>INDLDPHBHFOE1</v>
      </c>
      <c r="D32" s="146" t="str">
        <f ca="1">+OFFSET(Processes!E13,$D$11,0)</f>
        <v>Textile &amp; Leather Heat Medium Temp. Boiler - Heavy Fuel Oil Existing 1</v>
      </c>
      <c r="E32" s="149" t="str">
        <f>+Processes!O13</f>
        <v>INDHFO</v>
      </c>
      <c r="F32" s="172" t="str">
        <f ca="1">+OFFSET(Processes!$M$12,$D$11,0) &amp; Processes!P13</f>
        <v>ILDPH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0</v>
      </c>
      <c r="AJ32" s="285"/>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W32" s="285"/>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INDLDPHBLPGE1</v>
      </c>
      <c r="D33" s="146" t="str">
        <f ca="1">+OFFSET(Processes!E14,$D$11,0)</f>
        <v>Textile &amp; Leather Heat Medium Temp. Boiler - Liquified Petroleum Gas Existing 1</v>
      </c>
      <c r="E33" s="149" t="str">
        <f>+Processes!O14</f>
        <v>INDLPG</v>
      </c>
      <c r="F33" s="172" t="str">
        <f ca="1">+OFFSET(Processes!$M$12,$D$11,0) &amp; Processes!P14</f>
        <v>ILDPH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t="e">
        <f t="shared" si="10"/>
        <v>#REF!</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INDLDPHBWSTE1</v>
      </c>
      <c r="D34" s="146" t="str">
        <f ca="1">+OFFSET(Processes!E15,$D$11,0)</f>
        <v>Textile &amp; Leather Heat Medium Temp. Boiler - Waste Existing 1</v>
      </c>
      <c r="E34" s="149" t="str">
        <f>+Processes!O15</f>
        <v>INDWST</v>
      </c>
      <c r="F34" s="172" t="str">
        <f ca="1">+OFFSET(Processes!$M$12,$D$11,0) &amp; Processes!P15</f>
        <v>ILDPH</v>
      </c>
      <c r="G34" s="322">
        <f t="shared" si="18"/>
        <v>0</v>
      </c>
      <c r="H34" s="322">
        <f t="shared" si="19"/>
        <v>0</v>
      </c>
      <c r="I34" s="322">
        <f t="shared" si="20"/>
        <v>0</v>
      </c>
      <c r="J34" s="322">
        <f t="shared" si="21"/>
        <v>0</v>
      </c>
      <c r="K34" s="322">
        <f t="shared" si="22"/>
        <v>0</v>
      </c>
      <c r="L34" s="322">
        <f t="shared" si="23"/>
        <v>0</v>
      </c>
      <c r="M34" s="322">
        <f t="shared" si="24"/>
        <v>6.4410000000000007</v>
      </c>
      <c r="N34" s="322">
        <f t="shared" si="25"/>
        <v>0.35799999999999998</v>
      </c>
      <c r="O34" s="322">
        <f t="shared" si="26"/>
        <v>0.35799999999999998</v>
      </c>
      <c r="P34" s="322">
        <f t="shared" si="1"/>
        <v>6.4410000000000007</v>
      </c>
      <c r="Q34" s="322">
        <f t="shared" si="2"/>
        <v>0.35799999999999998</v>
      </c>
      <c r="R34" s="322">
        <f t="shared" si="3"/>
        <v>0.35799999999999998</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0.11401200880560668</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0.12</v>
      </c>
      <c r="BN34" s="561">
        <f>BM34*$AN$23</f>
        <v>0.108</v>
      </c>
      <c r="BO34" s="562">
        <f t="shared" si="53"/>
        <v>6.0000000000000001E-3</v>
      </c>
      <c r="BP34" s="562">
        <f t="shared" si="54"/>
        <v>6.0000000000000001E-3</v>
      </c>
      <c r="BQ34" s="560">
        <f t="shared" si="38"/>
        <v>0.10055612673267328</v>
      </c>
      <c r="BR34" s="561">
        <f t="shared" si="39"/>
        <v>5.5890534653465348E-3</v>
      </c>
      <c r="BS34" s="566">
        <f t="shared" si="40"/>
        <v>5.5890534653465348E-3</v>
      </c>
      <c r="BT34" s="560">
        <f t="shared" si="41"/>
        <v>0.10800872903616894</v>
      </c>
      <c r="BU34" s="561">
        <f t="shared" si="42"/>
        <v>6.0032797694377395E-3</v>
      </c>
      <c r="BV34" s="566">
        <f t="shared" si="43"/>
        <v>6.0032797694377395E-3</v>
      </c>
      <c r="BW34" s="285"/>
      <c r="BX34" s="285"/>
      <c r="BY34" s="285"/>
    </row>
    <row r="35" spans="3:77" ht="12.75" customHeight="1">
      <c r="C35" s="173" t="str">
        <f ca="1">+IF(OFFSET(Processes!B16,$D$11,0)="*","*",OFFSET(Processes!D16,$D$11,0))</f>
        <v>INDLDPHBHETE1</v>
      </c>
      <c r="D35" s="146" t="str">
        <f ca="1">+OFFSET(Processes!E16,$D$11,0)</f>
        <v>Textile &amp; Leather Heat Medium Temp. Boiler - Dist. Heat Existing 1</v>
      </c>
      <c r="E35" s="149" t="str">
        <f>+Processes!O16</f>
        <v>INDHCE</v>
      </c>
      <c r="F35" s="172" t="str">
        <f ca="1">+OFFSET(Processes!$M$12,$D$11,0) &amp; Processes!P16</f>
        <v>ILDPH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INDLDPHBHETE2</v>
      </c>
      <c r="D36" s="146" t="str">
        <f ca="1">+OFFSET(Processes!E17,$D$11,0)</f>
        <v>Textile &amp; Leather Heat Medium Temp. Boiler - Dist. Heat Existing 2</v>
      </c>
      <c r="E36" s="149" t="str">
        <f>+Processes!O17</f>
        <v>INDHDE</v>
      </c>
      <c r="F36" s="172" t="str">
        <f ca="1">+OFFSET(Processes!$M$12,$D$11,0) &amp; Processes!P17</f>
        <v>ILDPH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INDLDPHBELCE1</v>
      </c>
      <c r="D37" s="148" t="str">
        <f ca="1">+OFFSET(Processes!E18,$D$11,0)</f>
        <v>Textile &amp; Leather Heat Medium Temp. Boiler - Electricity Existing 1</v>
      </c>
      <c r="E37" s="174" t="str">
        <f>+Processes!O18</f>
        <v>INDELC</v>
      </c>
      <c r="F37" s="174" t="str">
        <f ca="1">+OFFSET(Processes!$M$12,$D$11,0) &amp; Processes!P18</f>
        <v>ILDPH</v>
      </c>
      <c r="G37" s="324">
        <f t="shared" si="18"/>
        <v>95.057000000000002</v>
      </c>
      <c r="H37" s="324">
        <f t="shared" si="19"/>
        <v>5.2810000000000006</v>
      </c>
      <c r="I37" s="324">
        <f t="shared" si="20"/>
        <v>5.2810000000000006</v>
      </c>
      <c r="J37" s="324">
        <f t="shared" si="21"/>
        <v>87.295000000000002</v>
      </c>
      <c r="K37" s="324">
        <f t="shared" si="22"/>
        <v>4.8500000000000005</v>
      </c>
      <c r="L37" s="324">
        <f t="shared" si="23"/>
        <v>4.8500000000000005</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1.6976896186520249</v>
      </c>
      <c r="AH37" s="236">
        <f t="shared" si="9"/>
        <v>1.5451737831140797</v>
      </c>
      <c r="AI37" s="236">
        <f t="shared" si="10"/>
        <v>0</v>
      </c>
      <c r="AJ37" s="285"/>
      <c r="AK37" s="352"/>
      <c r="AL37" s="567" t="s">
        <v>61</v>
      </c>
      <c r="AM37" s="568">
        <f>M77/1000</f>
        <v>1.7870400000000002</v>
      </c>
      <c r="AN37" s="561">
        <f t="shared" si="47"/>
        <v>1.6083360000000002</v>
      </c>
      <c r="AO37" s="562">
        <f t="shared" ref="AO37" si="58">AM37*$AO$23</f>
        <v>8.9352000000000015E-2</v>
      </c>
      <c r="AP37" s="562">
        <f t="shared" si="49"/>
        <v>8.9352000000000015E-2</v>
      </c>
      <c r="AQ37" s="582">
        <f t="shared" si="28"/>
        <v>1.4973614145854148</v>
      </c>
      <c r="AR37" s="562">
        <f t="shared" si="29"/>
        <v>8.3187620379620408E-2</v>
      </c>
      <c r="AS37" s="563">
        <f t="shared" si="30"/>
        <v>8.3187620379620408E-2</v>
      </c>
      <c r="AT37" s="568">
        <f t="shared" ref="AT37:AV41" si="59">IFERROR(AQ37/W37,0)</f>
        <v>1.6083366429488881</v>
      </c>
      <c r="AU37" s="569">
        <f t="shared" si="59"/>
        <v>8.9352975703136855E-2</v>
      </c>
      <c r="AV37" s="570">
        <f t="shared" si="59"/>
        <v>8.9352975703136855E-2</v>
      </c>
      <c r="AW37" s="285"/>
      <c r="AX37" s="352"/>
      <c r="AY37" s="567" t="s">
        <v>61</v>
      </c>
      <c r="AZ37" s="568">
        <f>M97/1000</f>
        <v>1.6264799999999999</v>
      </c>
      <c r="BA37" s="561">
        <f>AZ37*$AN$23</f>
        <v>1.463832</v>
      </c>
      <c r="BB37" s="562">
        <f t="shared" ref="BB37:BB62" si="60">AZ37*$BB$23</f>
        <v>8.1324000000000007E-2</v>
      </c>
      <c r="BC37" s="562">
        <f t="shared" ref="BC37:BC62" si="61">AZ37*$BC$23</f>
        <v>8.1324000000000007E-2</v>
      </c>
      <c r="BD37" s="568">
        <f t="shared" si="33"/>
        <v>1.3628391683168317</v>
      </c>
      <c r="BE37" s="569">
        <f t="shared" si="34"/>
        <v>7.5717623762376243E-2</v>
      </c>
      <c r="BF37" s="570">
        <f>IFERROR(L37*$Z37*AA37/L$21,0)</f>
        <v>7.5717623762376243E-2</v>
      </c>
      <c r="BG37" s="568">
        <f t="shared" ref="BG37:BG56" si="62">IFERROR(BD37/W37,0)</f>
        <v>1.4638444342823114</v>
      </c>
      <c r="BH37" s="569">
        <f t="shared" ref="BH37:BH56" si="63">IFERROR(BE37/X37,0)</f>
        <v>8.1329348831768261E-2</v>
      </c>
      <c r="BI37" s="570">
        <f t="shared" ref="BI37:BI56" si="64">IFERROR(BF37/Y37,0)</f>
        <v>8.1329348831768261E-2</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INDLDCOBNGAE1</v>
      </c>
      <c r="D38" s="173" t="str">
        <f ca="1">+OFFSET(Processes!E19,$D$11,0)</f>
        <v>Textile &amp; Leather Heat High Temp. Boiler - Nat. Gas Existing 1</v>
      </c>
      <c r="E38" s="172" t="str">
        <f>+Processes!O19</f>
        <v>INDSNG1,INDSNG2,INDNGA</v>
      </c>
      <c r="F38" s="172" t="str">
        <f ca="1">+OFFSET(Processes!$M$12,$D$11,0) &amp; Processes!P19</f>
        <v>ILDCO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ILDCO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ILDCO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ILDCO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INDLDCOBCOAE1</v>
      </c>
      <c r="D39" s="173" t="str">
        <f ca="1">+OFFSET(Processes!E20,$D$11,0)</f>
        <v>Textile &amp; Leather Heat High Temp. Boiler - Coal Existing 1</v>
      </c>
      <c r="E39" s="172" t="str">
        <f>+Processes!O20</f>
        <v>INDCOA</v>
      </c>
      <c r="F39" s="172" t="str">
        <f ca="1">+OFFSET(Processes!$M$12,$D$11,0) &amp; Processes!P20</f>
        <v>ILDCO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INDLDCOBDSLE1</v>
      </c>
      <c r="D40" s="173" t="str">
        <f ca="1">+OFFSET(Processes!E21,$D$11,0)</f>
        <v>Textile &amp; Leather Heat High Temp. Boiler - Diesel Existing 1</v>
      </c>
      <c r="E40" s="172" t="str">
        <f>+Processes!O21</f>
        <v>INDDSB1,INDDSB2,INDDSL</v>
      </c>
      <c r="F40" s="172" t="str">
        <f ca="1">+OFFSET(Processes!$M$12,$D$11,0) &amp; Processes!P21</f>
        <v>ILDCO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INDLDCOBWPEE1</v>
      </c>
      <c r="D41" s="173" t="str">
        <f ca="1">+OFFSET(Processes!E22,$D$11,0)</f>
        <v>Textile &amp; Leather Heat High Temp. Boiler - Wood Pellets Existing 1</v>
      </c>
      <c r="E41" s="172" t="str">
        <f>+Processes!O22</f>
        <v>INDWPE</v>
      </c>
      <c r="F41" s="172" t="str">
        <f ca="1">+OFFSET(Processes!$M$12,$D$11,0) &amp; Processes!P22</f>
        <v>ILDCO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INDLDCOBHFOE1</v>
      </c>
      <c r="D43" s="173" t="str">
        <f ca="1">+OFFSET(Processes!E24,$D$11,0)</f>
        <v>Textile &amp; Leather Heat High Temp. Boiler - Heavy Fuel Oil Existing 1</v>
      </c>
      <c r="E43" s="172" t="str">
        <f>+Processes!O24</f>
        <v>INDHFO</v>
      </c>
      <c r="F43" s="172" t="str">
        <f ca="1">+OFFSET(Processes!$M$12,$D$11,0) &amp; Processes!P24</f>
        <v>ILDCO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INDLDCOBLPGE1</v>
      </c>
      <c r="D44" s="173" t="str">
        <f ca="1">+OFFSET(Processes!E25,$D$11,0)</f>
        <v>Textile &amp; Leather Heat High Temp. Boiler - Liquified Petroleum Gas Existing 1</v>
      </c>
      <c r="E44" s="172" t="str">
        <f>+Processes!O25</f>
        <v>INDLPG</v>
      </c>
      <c r="F44" s="172" t="str">
        <f ca="1">+OFFSET(Processes!$M$12,$D$11,0) &amp; Processes!P25</f>
        <v>ILDCO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INDLDCOBWSTE1</v>
      </c>
      <c r="D45" s="173" t="str">
        <f ca="1">+OFFSET(Processes!E26,$D$11,0)</f>
        <v>Textile &amp; Leather Heat High Temp. Boiler - Waste Existing 1</v>
      </c>
      <c r="E45" s="172" t="str">
        <f>+Processes!O26</f>
        <v>INDWST</v>
      </c>
      <c r="F45" s="172" t="str">
        <f ca="1">+OFFSET(Processes!$M$12,$D$11,0) &amp; Processes!P26</f>
        <v>ILDCO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INDLDCOBELCE1</v>
      </c>
      <c r="D46" s="148" t="str">
        <f ca="1">+OFFSET(Processes!E27,$D$11,0)</f>
        <v>Textile &amp; Leather Heat High Temp. Boiler - Electricity Existing 1</v>
      </c>
      <c r="E46" s="174" t="str">
        <f>+Processes!O27</f>
        <v>INDELC</v>
      </c>
      <c r="F46" s="174" t="str">
        <f ca="1">+OFFSET(Processes!$M$12,$D$11,0) &amp; Processes!P27</f>
        <v>ILDCO</v>
      </c>
      <c r="G46" s="324">
        <f t="shared" si="18"/>
        <v>46.577999999999996</v>
      </c>
      <c r="H46" s="324">
        <f t="shared" si="19"/>
        <v>5.1760000000000002</v>
      </c>
      <c r="I46" s="324">
        <f t="shared" si="20"/>
        <v>0</v>
      </c>
      <c r="J46" s="324">
        <f t="shared" si="21"/>
        <v>42.774999999999999</v>
      </c>
      <c r="K46" s="324">
        <f t="shared" si="22"/>
        <v>2.3769999999999998</v>
      </c>
      <c r="L46" s="324">
        <f t="shared" si="23"/>
        <v>2.3769999999999998</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0.89353321003291419</v>
      </c>
      <c r="AH46" s="236">
        <f t="shared" si="71"/>
        <v>0.77260314716010925</v>
      </c>
      <c r="AI46" s="236">
        <f t="shared" si="72"/>
        <v>0</v>
      </c>
      <c r="AJ46" s="285"/>
      <c r="AK46" s="355"/>
      <c r="AL46" s="567" t="s">
        <v>61</v>
      </c>
      <c r="AM46" s="568">
        <f>M78/1000</f>
        <v>0.89352000000000009</v>
      </c>
      <c r="AN46" s="576">
        <f t="shared" si="73"/>
        <v>0.8041680000000001</v>
      </c>
      <c r="AO46" s="576">
        <f>AM46*(1-$AN$23)</f>
        <v>8.9351999999999987E-2</v>
      </c>
      <c r="AP46" s="576"/>
      <c r="AQ46" s="586">
        <f t="shared" si="28"/>
        <v>0.73370819580419588</v>
      </c>
      <c r="AR46" s="576">
        <f t="shared" si="29"/>
        <v>8.1533634365634378E-2</v>
      </c>
      <c r="AS46" s="577">
        <f t="shared" si="30"/>
        <v>0</v>
      </c>
      <c r="AT46" s="568">
        <f t="shared" si="74"/>
        <v>0.80416953002498515</v>
      </c>
      <c r="AU46" s="569">
        <f t="shared" si="74"/>
        <v>8.936368000792913E-2</v>
      </c>
      <c r="AV46" s="570">
        <f t="shared" si="74"/>
        <v>0</v>
      </c>
      <c r="AW46" s="285"/>
      <c r="AX46" s="355"/>
      <c r="AY46" s="567" t="s">
        <v>61</v>
      </c>
      <c r="AZ46" s="568">
        <f>M98/1000</f>
        <v>0.81323999999999996</v>
      </c>
      <c r="BA46" s="576">
        <f t="shared" si="75"/>
        <v>0.73191600000000001</v>
      </c>
      <c r="BB46" s="576">
        <f t="shared" si="60"/>
        <v>4.0662000000000004E-2</v>
      </c>
      <c r="BC46" s="576">
        <f t="shared" si="61"/>
        <v>4.0662000000000004E-2</v>
      </c>
      <c r="BD46" s="568">
        <f t="shared" si="33"/>
        <v>0.66779821782178217</v>
      </c>
      <c r="BE46" s="569">
        <f t="shared" si="34"/>
        <v>3.7109441584158416E-2</v>
      </c>
      <c r="BF46" s="570">
        <f t="shared" si="35"/>
        <v>3.7109441584158416E-2</v>
      </c>
      <c r="BG46" s="568">
        <f t="shared" si="62"/>
        <v>0.73192991716366229</v>
      </c>
      <c r="BH46" s="569">
        <f t="shared" si="63"/>
        <v>4.0673229996447111E-2</v>
      </c>
      <c r="BI46" s="570">
        <f t="shared" si="64"/>
        <v>4.0673229996447111E-2</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INDLDSHBNGAE1</v>
      </c>
      <c r="D47" s="146" t="str">
        <f ca="1">+OFFSET(Processes!E28,$D$11,0)</f>
        <v>Textile &amp; Leather Heat Room Boiler - Nat. Gas Existing 1</v>
      </c>
      <c r="E47" s="149" t="str">
        <f>+Processes!O28</f>
        <v>INDSNG1,INDSNG2,INDNGA</v>
      </c>
      <c r="F47" s="149" t="str">
        <f ca="1">+OFFSET(Processes!$M$12,$D$11,0) &amp; Processes!P28</f>
        <v>ILDSH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ILDSH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ILDSH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ILDSH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INDLDSHBCOAE1</v>
      </c>
      <c r="D48" s="146" t="str">
        <f ca="1">+OFFSET(Processes!E29,$D$11,0)</f>
        <v>Textile &amp; Leather Heat Room Boiler - Coal Existing 1</v>
      </c>
      <c r="E48" s="149" t="str">
        <f>+Processes!O29</f>
        <v>INDCOA</v>
      </c>
      <c r="F48" s="149" t="str">
        <f ca="1">+OFFSET(Processes!$M$12,$D$11,0) &amp; Processes!P29</f>
        <v>ILDSH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INDLDSHBDSLE1</v>
      </c>
      <c r="D49" s="146" t="str">
        <f ca="1">+OFFSET(Processes!E30,$D$11,0)</f>
        <v>Textile &amp; Leather Heat Room Boiler - Diesel Existing 1</v>
      </c>
      <c r="E49" s="149" t="str">
        <f>+Processes!O30</f>
        <v>INDDSB1,INDDSB2,INDDSL</v>
      </c>
      <c r="F49" s="149" t="str">
        <f ca="1">+OFFSET(Processes!$M$12,$D$11,0) &amp; Processes!P30</f>
        <v>ILDSH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INDLDSHBWPEE1</v>
      </c>
      <c r="D50" s="146" t="str">
        <f ca="1">+OFFSET(Processes!E31,$D$11,0)</f>
        <v>Textile &amp; Leather Heat Room Boiler - Wood Pellets Existing 1</v>
      </c>
      <c r="E50" s="149" t="str">
        <f>+Processes!O31</f>
        <v>INDWPE</v>
      </c>
      <c r="F50" s="149" t="str">
        <f ca="1">+OFFSET(Processes!$M$12,$D$11,0) &amp; Processes!P31</f>
        <v>ILDSH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INDLDSHBBGAE1</v>
      </c>
      <c r="D52" s="146" t="str">
        <f ca="1">+OFFSET(Processes!E33,$D$11,0)</f>
        <v>Textile &amp; Leather Heat Room Boiler - Biogas Existing 1</v>
      </c>
      <c r="E52" s="149" t="str">
        <f>+Processes!O33</f>
        <v>INDBGA</v>
      </c>
      <c r="F52" s="149" t="str">
        <f ca="1">+OFFSET(Processes!$M$12,$D$11,0) &amp; Processes!P33</f>
        <v>ILDSH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INDLDSHBHFOE1</v>
      </c>
      <c r="D53" s="146" t="str">
        <f ca="1">+OFFSET(Processes!E34,$D$11,0)</f>
        <v>Textile &amp; Leather Heat Room Boiler - Heavy Fuel Oil Existing 1</v>
      </c>
      <c r="E53" s="149" t="str">
        <f>+Processes!O34</f>
        <v>INDHFO</v>
      </c>
      <c r="F53" s="149" t="str">
        <f ca="1">+OFFSET(Processes!$M$12,$D$11,0) &amp; Processes!P34</f>
        <v>ILDSH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INDLDSHBLPGE1</v>
      </c>
      <c r="D54" s="146" t="str">
        <f ca="1">+OFFSET(Processes!E35,$D$11,0)</f>
        <v>Textile &amp; Leather Heat Room Boiler - Liquified Petroleum Gas Existing 1</v>
      </c>
      <c r="E54" s="149" t="str">
        <f>+Processes!O35</f>
        <v>INDLPG</v>
      </c>
      <c r="F54" s="149" t="str">
        <f ca="1">+OFFSET(Processes!$M$12,$D$11,0) &amp; Processes!P35</f>
        <v>ILDSH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INDLDSHBWSTE1</v>
      </c>
      <c r="D55" s="146" t="str">
        <f ca="1">+OFFSET(Processes!E36,$D$11,0)</f>
        <v>Textile &amp; Leather Heat Room Boiler - Waste Existing 1</v>
      </c>
      <c r="E55" s="149" t="str">
        <f>+Processes!O36</f>
        <v>INDWST</v>
      </c>
      <c r="F55" s="149" t="str">
        <f ca="1">+OFFSET(Processes!$M$12,$D$11,0) &amp; Processes!P36</f>
        <v>ILDSH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INDLDSHBHETE1</v>
      </c>
      <c r="D56" s="146" t="str">
        <f ca="1">+OFFSET(Processes!E37,$D$11,0)</f>
        <v>Textile &amp; Leather Heat Room Boiler - Dist. Heat Existing 1</v>
      </c>
      <c r="E56" s="149" t="str">
        <f>+Processes!O37</f>
        <v>INDHCE</v>
      </c>
      <c r="F56" s="149" t="str">
        <f ca="1">+OFFSET(Processes!$M$12,$D$11,0) &amp; Processes!P37</f>
        <v>ILDSH</v>
      </c>
      <c r="G56" s="321">
        <f t="shared" si="18"/>
        <v>153.64000000000001</v>
      </c>
      <c r="H56" s="321">
        <f t="shared" si="19"/>
        <v>0</v>
      </c>
      <c r="I56" s="321">
        <f t="shared" si="20"/>
        <v>0</v>
      </c>
      <c r="J56" s="321">
        <f t="shared" si="21"/>
        <v>141.30799999999999</v>
      </c>
      <c r="K56" s="321">
        <f t="shared" si="22"/>
        <v>0</v>
      </c>
      <c r="L56" s="321">
        <f t="shared" si="23"/>
        <v>0</v>
      </c>
      <c r="M56" s="321">
        <f t="shared" si="24"/>
        <v>430.786</v>
      </c>
      <c r="N56" s="321">
        <f t="shared" si="25"/>
        <v>0</v>
      </c>
      <c r="O56" s="321">
        <f t="shared" si="26"/>
        <v>0</v>
      </c>
      <c r="P56" s="321">
        <f t="shared" si="1"/>
        <v>430.786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2.5210159840159845</v>
      </c>
      <c r="AH56" s="236">
        <f t="shared" si="83"/>
        <v>2.2980038613861389</v>
      </c>
      <c r="AI56" s="236">
        <f t="shared" si="84"/>
        <v>7.0056040099009911</v>
      </c>
      <c r="AJ56" s="285"/>
      <c r="AK56" s="356"/>
      <c r="AL56" s="559" t="s">
        <v>103</v>
      </c>
      <c r="AM56" s="560">
        <f>N82/1000</f>
        <v>2.5209999999999999</v>
      </c>
      <c r="AN56" s="613">
        <f>AM56</f>
        <v>2.5209999999999999</v>
      </c>
      <c r="AO56" s="614">
        <v>0</v>
      </c>
      <c r="AP56" s="614">
        <v>0</v>
      </c>
      <c r="AQ56" s="582">
        <f t="shared" si="28"/>
        <v>2.4201753446553451</v>
      </c>
      <c r="AR56" s="562">
        <f t="shared" si="29"/>
        <v>0</v>
      </c>
      <c r="AS56" s="563">
        <f t="shared" si="30"/>
        <v>0</v>
      </c>
      <c r="AT56" s="560">
        <f t="shared" si="85"/>
        <v>2.5210159840159845</v>
      </c>
      <c r="AU56" s="561">
        <f t="shared" si="85"/>
        <v>0</v>
      </c>
      <c r="AV56" s="566">
        <f t="shared" si="85"/>
        <v>0</v>
      </c>
      <c r="AW56" s="285"/>
      <c r="AX56" s="356"/>
      <c r="AY56" s="559" t="s">
        <v>103</v>
      </c>
      <c r="AZ56" s="560">
        <f>N102/1000</f>
        <v>2.298</v>
      </c>
      <c r="BA56" s="613">
        <f>AZ56</f>
        <v>2.298</v>
      </c>
      <c r="BB56" s="614">
        <v>0</v>
      </c>
      <c r="BC56" s="614">
        <v>0</v>
      </c>
      <c r="BD56" s="560">
        <f t="shared" si="33"/>
        <v>2.2060837069306931</v>
      </c>
      <c r="BE56" s="561">
        <f t="shared" si="34"/>
        <v>0</v>
      </c>
      <c r="BF56" s="566">
        <f t="shared" si="35"/>
        <v>0</v>
      </c>
      <c r="BG56" s="560">
        <f t="shared" si="62"/>
        <v>2.2980038613861389</v>
      </c>
      <c r="BH56" s="561">
        <f t="shared" si="63"/>
        <v>0</v>
      </c>
      <c r="BI56" s="566">
        <f t="shared" si="64"/>
        <v>0</v>
      </c>
      <c r="BJ56" s="285"/>
      <c r="BK56" s="356"/>
      <c r="BL56" s="559" t="s">
        <v>103</v>
      </c>
      <c r="BM56" s="560">
        <f>N122/1000</f>
        <v>7.0056000000000003</v>
      </c>
      <c r="BN56" s="613">
        <f>BM56</f>
        <v>7.0056000000000003</v>
      </c>
      <c r="BO56" s="614">
        <v>0</v>
      </c>
      <c r="BP56" s="614">
        <v>0</v>
      </c>
      <c r="BQ56" s="560">
        <f t="shared" si="38"/>
        <v>6.725379849504951</v>
      </c>
      <c r="BR56" s="561">
        <f t="shared" si="39"/>
        <v>0</v>
      </c>
      <c r="BS56" s="566">
        <f t="shared" si="40"/>
        <v>0</v>
      </c>
      <c r="BT56" s="560">
        <f t="shared" si="65"/>
        <v>7.0056040099009911</v>
      </c>
      <c r="BU56" s="561">
        <f t="shared" si="66"/>
        <v>0</v>
      </c>
      <c r="BV56" s="566">
        <f t="shared" si="67"/>
        <v>0</v>
      </c>
      <c r="BW56" s="285"/>
      <c r="BX56" s="285"/>
      <c r="BY56" s="285"/>
    </row>
    <row r="57" spans="3:77" ht="12.75" customHeight="1">
      <c r="C57" s="173" t="str">
        <f ca="1">+IF(OFFSET(Processes!B38,$D$11,0)="*","*",OFFSET(Processes!D38,$D$11,0))</f>
        <v>INDLDSHBHETE2</v>
      </c>
      <c r="D57" s="146" t="str">
        <f ca="1">+OFFSET(Processes!E38,$D$11,0)</f>
        <v>Textile &amp; Leather Heat Room Boiler - Dist. Heat Existing 2</v>
      </c>
      <c r="E57" s="149" t="str">
        <f>+Processes!O38</f>
        <v>INDHDE</v>
      </c>
      <c r="F57" s="149" t="str">
        <f ca="1">+OFFSET(Processes!$M$12,$D$11,0) &amp; Processes!P38</f>
        <v>ILDSH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INDLDSHBELCE1</v>
      </c>
      <c r="D58" s="148" t="str">
        <f ca="1">+OFFSET(Processes!E39,$D$11,0)</f>
        <v>Textile &amp; Leather Heat Room Boiler - Electricity Existing 1</v>
      </c>
      <c r="E58" s="172" t="str">
        <f>+Processes!O39</f>
        <v>INDELC</v>
      </c>
      <c r="F58" s="174" t="str">
        <f ca="1">+OFFSET(Processes!$M$12,$D$11,0) &amp; Processes!P39</f>
        <v>ILDSH</v>
      </c>
      <c r="G58" s="324">
        <f t="shared" si="18"/>
        <v>19.400000000000002</v>
      </c>
      <c r="H58" s="324">
        <f t="shared" si="19"/>
        <v>1.0779999999999998</v>
      </c>
      <c r="I58" s="324">
        <f t="shared" si="20"/>
        <v>1.0779999999999998</v>
      </c>
      <c r="J58" s="324">
        <f t="shared" si="21"/>
        <v>17.816000000000003</v>
      </c>
      <c r="K58" s="324">
        <f t="shared" si="22"/>
        <v>0.99</v>
      </c>
      <c r="L58" s="324">
        <f t="shared" si="23"/>
        <v>0.99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0.33955213628476794</v>
      </c>
      <c r="AH58" s="236">
        <f t="shared" si="83"/>
        <v>0.30904951328817093</v>
      </c>
      <c r="AI58" s="236">
        <f t="shared" si="84"/>
        <v>0</v>
      </c>
      <c r="AJ58" s="285"/>
      <c r="AK58" s="355"/>
      <c r="AL58" s="567" t="s">
        <v>61</v>
      </c>
      <c r="AM58" s="560">
        <f>M82/1000</f>
        <v>0.357408</v>
      </c>
      <c r="AN58" s="561">
        <f t="shared" si="77"/>
        <v>0.32166719999999999</v>
      </c>
      <c r="AO58" s="562">
        <f t="shared" si="78"/>
        <v>1.7870400000000002E-2</v>
      </c>
      <c r="AP58" s="562">
        <f t="shared" si="79"/>
        <v>1.7870400000000002E-2</v>
      </c>
      <c r="AQ58" s="582">
        <f t="shared" si="28"/>
        <v>0.30559360639360644</v>
      </c>
      <c r="AR58" s="562">
        <f t="shared" si="29"/>
        <v>1.6980923076923077E-2</v>
      </c>
      <c r="AS58" s="563">
        <f t="shared" si="30"/>
        <v>1.6980923076923077E-2</v>
      </c>
      <c r="AT58" s="560">
        <f t="shared" ref="AT58:AV62" si="87">IFERROR(AQ58/W58,0)</f>
        <v>0.32167748041432259</v>
      </c>
      <c r="AU58" s="561">
        <f t="shared" si="87"/>
        <v>1.7874655870445344E-2</v>
      </c>
      <c r="AV58" s="566">
        <f t="shared" si="87"/>
        <v>1.7874655870445344E-2</v>
      </c>
      <c r="AW58" s="285"/>
      <c r="AX58" s="355"/>
      <c r="AY58" s="567" t="s">
        <v>61</v>
      </c>
      <c r="AZ58" s="560">
        <f>M102/1000</f>
        <v>0.32529599999999997</v>
      </c>
      <c r="BA58" s="561">
        <f>AZ58*$AN$23</f>
        <v>0.29276639999999998</v>
      </c>
      <c r="BB58" s="562">
        <f t="shared" si="60"/>
        <v>1.6264799999999999E-2</v>
      </c>
      <c r="BC58" s="562">
        <f t="shared" si="61"/>
        <v>1.6264799999999999E-2</v>
      </c>
      <c r="BD58" s="560">
        <f t="shared" si="33"/>
        <v>0.2781412752475248</v>
      </c>
      <c r="BE58" s="561">
        <f t="shared" si="34"/>
        <v>1.5455762376237624E-2</v>
      </c>
      <c r="BF58" s="566">
        <f t="shared" si="35"/>
        <v>1.5455762376237624E-2</v>
      </c>
      <c r="BG58" s="560">
        <f t="shared" ref="BG58:BI62" si="88">IFERROR(BD58/W58,0)</f>
        <v>0.29278028973423664</v>
      </c>
      <c r="BH58" s="561">
        <f t="shared" si="88"/>
        <v>1.6269223553934342E-2</v>
      </c>
      <c r="BI58" s="566">
        <f t="shared" si="88"/>
        <v>1.6269223553934342E-2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INDLDLAAELCE1</v>
      </c>
      <c r="D59" s="146" t="str">
        <f ca="1">+OFFSET(Processes!E40,$D$11,0)</f>
        <v>Textile &amp; Leather Electricity Light Appliance - Electricity Existing 1</v>
      </c>
      <c r="E59" s="176" t="str">
        <f>+Processes!O40</f>
        <v>INDELC</v>
      </c>
      <c r="F59" s="149" t="str">
        <f ca="1">+OFFSET(Processes!$M$12,$D$11,0) &amp; Processes!P40</f>
        <v>ILDLA</v>
      </c>
      <c r="G59" s="323">
        <f t="shared" si="18"/>
        <v>86.787000000000006</v>
      </c>
      <c r="H59" s="323">
        <f t="shared" si="19"/>
        <v>4.8220000000000001</v>
      </c>
      <c r="I59" s="323">
        <f t="shared" si="20"/>
        <v>4.8220000000000001</v>
      </c>
      <c r="J59" s="323">
        <f t="shared" si="21"/>
        <v>79.7</v>
      </c>
      <c r="K59" s="323">
        <f t="shared" si="22"/>
        <v>4.4279999999999999</v>
      </c>
      <c r="L59" s="323">
        <f t="shared" si="23"/>
        <v>4.4279999999999999</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1.4430476643356649</v>
      </c>
      <c r="AH59" s="236">
        <f t="shared" si="83"/>
        <v>1.3133963405940596</v>
      </c>
      <c r="AI59" s="236">
        <f t="shared" si="84"/>
        <v>0</v>
      </c>
      <c r="AJ59" s="285"/>
      <c r="AK59" s="531" t="str">
        <f ca="1">F59</f>
        <v>ILDLA</v>
      </c>
      <c r="AL59" s="578" t="s">
        <v>61</v>
      </c>
      <c r="AM59" s="579">
        <f>M80/1000</f>
        <v>1.5189840000000001</v>
      </c>
      <c r="AN59" s="580">
        <f t="shared" si="77"/>
        <v>1.3670856000000002</v>
      </c>
      <c r="AO59" s="583">
        <f t="shared" si="78"/>
        <v>7.5949200000000008E-2</v>
      </c>
      <c r="AP59" s="583">
        <f t="shared" si="79"/>
        <v>7.5949200000000008E-2</v>
      </c>
      <c r="AQ59" s="584">
        <f t="shared" si="28"/>
        <v>1.3670903256743261</v>
      </c>
      <c r="AR59" s="583">
        <f t="shared" si="29"/>
        <v>7.5957338661338664E-2</v>
      </c>
      <c r="AS59" s="585">
        <f t="shared" si="30"/>
        <v>7.5957338661338664E-2</v>
      </c>
      <c r="AT59" s="579">
        <f t="shared" si="87"/>
        <v>1.3670903256743261</v>
      </c>
      <c r="AU59" s="580">
        <f t="shared" si="87"/>
        <v>7.5957338661338664E-2</v>
      </c>
      <c r="AV59" s="581">
        <f t="shared" si="87"/>
        <v>7.5957338661338664E-2</v>
      </c>
      <c r="AW59" s="285"/>
      <c r="AX59" s="531" t="str">
        <f t="shared" ca="1" si="12"/>
        <v>ILDLA</v>
      </c>
      <c r="AY59" s="578" t="s">
        <v>61</v>
      </c>
      <c r="AZ59" s="579">
        <f>M100/1000</f>
        <v>1.3825080000000001</v>
      </c>
      <c r="BA59" s="580">
        <f>AZ59*$AN$23</f>
        <v>1.2442572000000001</v>
      </c>
      <c r="BB59" s="583">
        <f t="shared" si="60"/>
        <v>6.9125400000000004E-2</v>
      </c>
      <c r="BC59" s="583">
        <f t="shared" si="61"/>
        <v>6.9125400000000004E-2</v>
      </c>
      <c r="BD59" s="579">
        <f t="shared" si="33"/>
        <v>1.2442669306930696</v>
      </c>
      <c r="BE59" s="580">
        <f t="shared" si="34"/>
        <v>6.9129409900990091E-2</v>
      </c>
      <c r="BF59" s="581">
        <f t="shared" si="35"/>
        <v>6.9129409900990091E-2</v>
      </c>
      <c r="BG59" s="579">
        <f t="shared" si="88"/>
        <v>1.2442669306930696</v>
      </c>
      <c r="BH59" s="580">
        <f t="shared" si="88"/>
        <v>6.9129409900990091E-2</v>
      </c>
      <c r="BI59" s="581">
        <f t="shared" si="88"/>
        <v>6.9129409900990091E-2</v>
      </c>
      <c r="BJ59" s="285"/>
      <c r="BK59" s="531" t="str">
        <f ca="1">AK59</f>
        <v>ILDLA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INDLDEMMELCE1</v>
      </c>
      <c r="D60" s="148" t="str">
        <f ca="1">+OFFSET(Processes!E41,$D$11,0)</f>
        <v>Textile &amp; Leather Electricity Motors - Electricity Existing 1</v>
      </c>
      <c r="E60" s="174" t="str">
        <f>+Processes!O41</f>
        <v>INDELC</v>
      </c>
      <c r="F60" s="174" t="str">
        <f ca="1">+OFFSET(Processes!$M$12,$D$11,0) &amp; Processes!P41</f>
        <v>ILDEM</v>
      </c>
      <c r="G60" s="324">
        <f t="shared" si="18"/>
        <v>250.15</v>
      </c>
      <c r="H60" s="324">
        <f t="shared" si="19"/>
        <v>13.898</v>
      </c>
      <c r="I60" s="324">
        <f t="shared" si="20"/>
        <v>13.898</v>
      </c>
      <c r="J60" s="324">
        <f t="shared" si="21"/>
        <v>229.72200000000001</v>
      </c>
      <c r="K60" s="324">
        <f t="shared" si="22"/>
        <v>12.763</v>
      </c>
      <c r="L60" s="324">
        <f t="shared" si="23"/>
        <v>12.763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4.1593495144855153</v>
      </c>
      <c r="AH60" s="236">
        <f t="shared" si="83"/>
        <v>3.7856470099009902</v>
      </c>
      <c r="AI60" s="236">
        <f t="shared" si="84"/>
        <v>0</v>
      </c>
      <c r="AJ60" s="285"/>
      <c r="AK60" s="536" t="str">
        <f ca="1">F60</f>
        <v>ILDEM</v>
      </c>
      <c r="AL60" s="578" t="s">
        <v>61</v>
      </c>
      <c r="AM60" s="579">
        <f>M81/1000</f>
        <v>4.3782480000000001</v>
      </c>
      <c r="AN60" s="580">
        <f t="shared" si="77"/>
        <v>3.9404232000000001</v>
      </c>
      <c r="AO60" s="583">
        <f t="shared" si="78"/>
        <v>0.21891240000000001</v>
      </c>
      <c r="AP60" s="583">
        <f t="shared" si="79"/>
        <v>0.21891240000000001</v>
      </c>
      <c r="AQ60" s="584">
        <f t="shared" si="28"/>
        <v>3.9404247752247761</v>
      </c>
      <c r="AR60" s="583">
        <f t="shared" si="29"/>
        <v>0.2189247392607393</v>
      </c>
      <c r="AS60" s="585">
        <f t="shared" si="30"/>
        <v>0.2189247392607393</v>
      </c>
      <c r="AT60" s="579">
        <f t="shared" si="87"/>
        <v>3.9404247752247761</v>
      </c>
      <c r="AU60" s="580">
        <f t="shared" si="87"/>
        <v>0.2189247392607393</v>
      </c>
      <c r="AV60" s="581">
        <f t="shared" si="87"/>
        <v>0.2189247392607393</v>
      </c>
      <c r="AW60" s="285"/>
      <c r="AX60" s="536" t="str">
        <f t="shared" ca="1" si="12"/>
        <v>ILDEM</v>
      </c>
      <c r="AY60" s="578" t="s">
        <v>61</v>
      </c>
      <c r="AZ60" s="579">
        <f>M101/1000</f>
        <v>3.9848759999999999</v>
      </c>
      <c r="BA60" s="580">
        <f>AZ60*$AN$23</f>
        <v>3.5863884000000001</v>
      </c>
      <c r="BB60" s="583">
        <f t="shared" si="60"/>
        <v>0.1992438</v>
      </c>
      <c r="BC60" s="583">
        <f t="shared" si="61"/>
        <v>0.1992438</v>
      </c>
      <c r="BD60" s="579">
        <f t="shared" si="33"/>
        <v>3.5863925702970301</v>
      </c>
      <c r="BE60" s="580">
        <f t="shared" si="34"/>
        <v>0.19925443960396041</v>
      </c>
      <c r="BF60" s="581">
        <f t="shared" si="35"/>
        <v>0.19925443960396041</v>
      </c>
      <c r="BG60" s="579">
        <f t="shared" si="88"/>
        <v>3.5863925702970301</v>
      </c>
      <c r="BH60" s="580">
        <f t="shared" si="88"/>
        <v>0.19925443960396041</v>
      </c>
      <c r="BI60" s="581">
        <f t="shared" si="88"/>
        <v>0.19925443960396041</v>
      </c>
      <c r="BJ60" s="285"/>
      <c r="BK60" s="536" t="str">
        <f ca="1">AK60</f>
        <v>ILDEM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INDLDTFTDSLE1</v>
      </c>
      <c r="D61" s="173" t="str">
        <f ca="1">+OFFSET(Processes!E42,$D$11,0)</f>
        <v>Textile &amp; Leather Tractors, Trucks, Fishing boats, Forest machines - Diesel Existing 1</v>
      </c>
      <c r="E61" s="172" t="str">
        <f>+Processes!O42</f>
        <v>INDDSB1,INDDSB2,INDDSL</v>
      </c>
      <c r="F61" s="173" t="str">
        <f ca="1">+OFFSET(Processes!$M$12,$D$11,0) &amp; Processes!P42</f>
        <v>ILDTF</v>
      </c>
      <c r="G61" s="323">
        <f t="shared" si="18"/>
        <v>78.426000000000002</v>
      </c>
      <c r="H61" s="323">
        <f t="shared" si="19"/>
        <v>4.3570000000000002</v>
      </c>
      <c r="I61" s="323">
        <f t="shared" si="20"/>
        <v>4.3570000000000002</v>
      </c>
      <c r="J61" s="323">
        <f t="shared" si="21"/>
        <v>46.896000000000001</v>
      </c>
      <c r="K61" s="323">
        <f t="shared" si="22"/>
        <v>2.6059999999999999</v>
      </c>
      <c r="L61" s="323">
        <f t="shared" si="23"/>
        <v>2.6059999999999999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1.3040183256743259</v>
      </c>
      <c r="AH61" s="236">
        <f t="shared" si="83"/>
        <v>0.77281934257425744</v>
      </c>
      <c r="AI61" s="236">
        <f t="shared" si="84"/>
        <v>0.53016387326732672</v>
      </c>
      <c r="AJ61" s="285"/>
      <c r="AK61" s="536" t="str">
        <f ca="1">F61</f>
        <v>ILDTF</v>
      </c>
      <c r="AL61" s="578" t="s">
        <v>59</v>
      </c>
      <c r="AM61" s="579">
        <f>F79/1000</f>
        <v>1.3726400000000001</v>
      </c>
      <c r="AN61" s="580">
        <f t="shared" si="77"/>
        <v>1.235376</v>
      </c>
      <c r="AO61" s="583">
        <f t="shared" si="78"/>
        <v>6.8632000000000012E-2</v>
      </c>
      <c r="AP61" s="583">
        <f t="shared" si="79"/>
        <v>6.8632000000000012E-2</v>
      </c>
      <c r="AQ61" s="584">
        <f t="shared" si="28"/>
        <v>1.2353857822177825</v>
      </c>
      <c r="AR61" s="583">
        <f t="shared" si="29"/>
        <v>6.863254345654346E-2</v>
      </c>
      <c r="AS61" s="585">
        <f t="shared" si="30"/>
        <v>6.863254345654346E-2</v>
      </c>
      <c r="AT61" s="579">
        <f t="shared" si="87"/>
        <v>1.2353857822177825</v>
      </c>
      <c r="AU61" s="580">
        <f t="shared" si="87"/>
        <v>6.863254345654346E-2</v>
      </c>
      <c r="AV61" s="581">
        <f t="shared" si="87"/>
        <v>6.863254345654346E-2</v>
      </c>
      <c r="AW61" s="285"/>
      <c r="AX61" s="536" t="str">
        <f t="shared" ca="1" si="12"/>
        <v>ILDTF</v>
      </c>
      <c r="AY61" s="578" t="s">
        <v>59</v>
      </c>
      <c r="AZ61" s="579">
        <f>F99/1000</f>
        <v>0.81346600000000002</v>
      </c>
      <c r="BA61" s="580">
        <f>AZ61*$AN$23</f>
        <v>0.73211940000000009</v>
      </c>
      <c r="BB61" s="583">
        <f t="shared" si="60"/>
        <v>4.0673300000000003E-2</v>
      </c>
      <c r="BC61" s="583">
        <f t="shared" si="61"/>
        <v>4.0673300000000003E-2</v>
      </c>
      <c r="BD61" s="579">
        <f t="shared" si="33"/>
        <v>0.73213478019801981</v>
      </c>
      <c r="BE61" s="580">
        <f t="shared" si="34"/>
        <v>4.0684562376237625E-2</v>
      </c>
      <c r="BF61" s="581">
        <f t="shared" si="35"/>
        <v>4.0684562376237625E-2</v>
      </c>
      <c r="BG61" s="579">
        <f t="shared" si="88"/>
        <v>0.73213478019801981</v>
      </c>
      <c r="BH61" s="580">
        <f t="shared" si="88"/>
        <v>4.0684562376237625E-2</v>
      </c>
      <c r="BI61" s="581">
        <f t="shared" si="88"/>
        <v>4.0684562376237625E-2</v>
      </c>
      <c r="BJ61" s="285"/>
      <c r="BK61" s="536" t="str">
        <f ca="1">AK61</f>
        <v>ILDTF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INDLDFLTLPGE1</v>
      </c>
      <c r="D62" s="173" t="str">
        <f ca="1">+OFFSET(Processes!E43,$D$11,0)</f>
        <v>Textile &amp; Leather Forklifts - LPG Existing 1</v>
      </c>
      <c r="E62" s="172" t="str">
        <f>+Processes!O43</f>
        <v>INDLPG,INDSNG1,INDSNG2</v>
      </c>
      <c r="F62" s="173" t="str">
        <f ca="1">+OFFSET(Processes!$M$12,$D$11,0) &amp; Processes!P43</f>
        <v>ILDFL</v>
      </c>
      <c r="G62" s="323">
        <f t="shared" si="18"/>
        <v>1.9729999999999999</v>
      </c>
      <c r="H62" s="323">
        <f t="shared" si="19"/>
        <v>0.11</v>
      </c>
      <c r="I62" s="323">
        <f>ROUNDUP(AP62/($Z62*$AA62)*I$21*Y62,3)</f>
        <v>0.11</v>
      </c>
      <c r="J62" s="323">
        <f t="shared" si="21"/>
        <v>1.962</v>
      </c>
      <c r="K62" s="323">
        <f t="shared" si="22"/>
        <v>0.109</v>
      </c>
      <c r="L62" s="323">
        <f t="shared" si="23"/>
        <v>0.109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t="e">
        <f t="shared" si="84"/>
        <v>#REF!</v>
      </c>
      <c r="AJ62" s="285"/>
      <c r="AK62" s="536" t="str">
        <f ca="1">F62</f>
        <v>ILDFL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ILDFL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ILDFL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426.83199999999999</v>
      </c>
      <c r="E77" s="14">
        <f t="shared" si="93"/>
        <v>363.13200000000001</v>
      </c>
      <c r="F77" s="14">
        <f t="shared" si="93"/>
        <v>0</v>
      </c>
      <c r="G77" s="14">
        <f t="shared" si="93"/>
        <v>0</v>
      </c>
      <c r="H77" s="14">
        <f t="shared" si="93"/>
        <v>11.50775</v>
      </c>
      <c r="I77" s="14">
        <f t="shared" si="93"/>
        <v>10936.927</v>
      </c>
      <c r="J77" s="14">
        <f t="shared" si="93"/>
        <v>15</v>
      </c>
      <c r="K77" s="14">
        <f t="shared" si="93"/>
        <v>88</v>
      </c>
      <c r="L77" s="14">
        <f t="shared" si="93"/>
        <v>0</v>
      </c>
      <c r="M77" s="14">
        <f t="shared" si="93"/>
        <v>1787.0400000000002</v>
      </c>
      <c r="N77" s="14">
        <f t="shared" si="93"/>
        <v>0</v>
      </c>
      <c r="O77" s="86"/>
      <c r="T77" s="48" t="s">
        <v>209</v>
      </c>
      <c r="U77" s="48"/>
      <c r="V77" s="126" t="str">
        <f>+INDEX('Energy matrix'!C4:N4,1,$D$2)</f>
        <v>Textile and leather</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893.5200000000001</v>
      </c>
      <c r="N78" s="14">
        <f t="shared" si="94"/>
        <v>0</v>
      </c>
      <c r="O78" s="86"/>
      <c r="T78" s="117" t="str">
        <f>+'Energy matrix'!B5</f>
        <v>Coal</v>
      </c>
      <c r="U78" s="117"/>
      <c r="V78" s="118">
        <f>+INDEX('Energy matrix'!C5:N5,1,$D$2)</f>
        <v>426.83199999999999</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363.13200000000001</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1518.9840000000002</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4378.2480000000005</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357.40800000000002</v>
      </c>
      <c r="N82" s="14">
        <f t="shared" si="98"/>
        <v>2521</v>
      </c>
      <c r="O82" s="86"/>
      <c r="T82" s="117" t="str">
        <f>+'Energy matrix'!B9</f>
        <v>LPG</v>
      </c>
      <c r="U82" s="117"/>
      <c r="V82" s="118">
        <f>+INDEX('Energy matrix'!C9:N9,1,$D$2)</f>
        <v>46.030999999999999</v>
      </c>
      <c r="W82" s="117"/>
    </row>
    <row r="83" spans="3:24" ht="12.75" customHeight="1">
      <c r="C83" s="17" t="s">
        <v>57</v>
      </c>
      <c r="D83" s="18">
        <f t="shared" ref="D83:N83" si="99">SUM(D77:D82)</f>
        <v>426.83199999999999</v>
      </c>
      <c r="E83" s="18">
        <f t="shared" si="99"/>
        <v>363.13200000000001</v>
      </c>
      <c r="F83" s="18">
        <f t="shared" si="99"/>
        <v>1372.64</v>
      </c>
      <c r="G83" s="18">
        <f t="shared" si="99"/>
        <v>0</v>
      </c>
      <c r="H83" s="18">
        <f t="shared" si="99"/>
        <v>46.030999999999999</v>
      </c>
      <c r="I83" s="18">
        <f t="shared" si="99"/>
        <v>10936.927</v>
      </c>
      <c r="J83" s="18">
        <f t="shared" si="99"/>
        <v>15</v>
      </c>
      <c r="K83" s="18">
        <f t="shared" si="99"/>
        <v>88</v>
      </c>
      <c r="L83" s="18">
        <f t="shared" si="99"/>
        <v>0</v>
      </c>
      <c r="M83" s="18">
        <f t="shared" si="99"/>
        <v>8935.2000000000007</v>
      </c>
      <c r="N83" s="18">
        <f t="shared" si="99"/>
        <v>2521</v>
      </c>
      <c r="O83" s="86"/>
      <c r="T83" s="117" t="str">
        <f>+'Energy matrix'!B11</f>
        <v>Natural gas</v>
      </c>
      <c r="U83" s="117"/>
      <c r="V83" s="118">
        <f>+INDEX('Energy matrix'!C11:N11,1,$D$2)</f>
        <v>10936.927</v>
      </c>
      <c r="W83" s="117"/>
    </row>
    <row r="84" spans="3:24" ht="12.75" customHeight="1">
      <c r="E84" s="25"/>
      <c r="F84" s="25"/>
      <c r="G84" s="25"/>
      <c r="H84" s="25"/>
      <c r="I84" s="25"/>
      <c r="J84" s="25"/>
      <c r="K84" s="25"/>
      <c r="O84" s="86"/>
      <c r="T84" s="117" t="str">
        <f>+'Energy matrix'!B12</f>
        <v>Biogas</v>
      </c>
      <c r="U84" s="117"/>
      <c r="V84" s="118">
        <f>+INDEX('Energy matrix'!C12:N12,1,$D$2)</f>
        <v>15</v>
      </c>
      <c r="W84" s="117"/>
    </row>
    <row r="85" spans="3:24" ht="12.75" customHeight="1">
      <c r="E85" s="25"/>
      <c r="F85" s="25"/>
      <c r="G85" s="25"/>
      <c r="H85" s="25"/>
      <c r="I85" s="25"/>
      <c r="J85" s="25"/>
      <c r="K85" s="25"/>
      <c r="O85" s="86"/>
      <c r="T85" s="117" t="str">
        <f>+'Energy matrix'!B17</f>
        <v>Biomass</v>
      </c>
      <c r="U85" s="117"/>
      <c r="V85" s="118">
        <f>+INDEX('Energy matrix'!C17:N17,1,$D$2)</f>
        <v>88</v>
      </c>
      <c r="W85" s="117"/>
    </row>
    <row r="86" spans="3:24" ht="12.75" customHeight="1">
      <c r="O86" s="86"/>
      <c r="T86" s="117" t="str">
        <f>+'Energy matrix'!B18</f>
        <v>Waste</v>
      </c>
      <c r="U86" s="117"/>
      <c r="V86" s="118">
        <f>+INDEX('Energy matrix'!C18:N18,1,$D$2)</f>
        <v>0</v>
      </c>
      <c r="W86" s="117"/>
    </row>
    <row r="87" spans="3:24" ht="12.75" customHeight="1">
      <c r="O87" s="86"/>
      <c r="T87" s="117" t="str">
        <f>+'Energy matrix'!B19</f>
        <v>Electricity</v>
      </c>
      <c r="U87" s="117"/>
      <c r="V87" s="118">
        <f>+INDEX('Energy matrix'!C19:N19,1,$D$2)</f>
        <v>8935.2000000000007</v>
      </c>
      <c r="W87" s="117"/>
    </row>
    <row r="88" spans="3:24" ht="12.75" customHeight="1">
      <c r="O88" s="86"/>
      <c r="T88" s="122" t="str">
        <f>+'Energy matrix'!B20</f>
        <v>District Heating</v>
      </c>
      <c r="U88" s="122"/>
      <c r="V88" s="123">
        <f>+INDEX('Energy matrix'!C20:N20,1,$D$2)</f>
        <v>2521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24704.762000000002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253.63200000000001</v>
      </c>
      <c r="E97" s="14">
        <f t="shared" si="110"/>
        <v>81.47</v>
      </c>
      <c r="F97" s="14">
        <f t="shared" si="110"/>
        <v>0</v>
      </c>
      <c r="G97" s="14">
        <f t="shared" si="110"/>
        <v>0</v>
      </c>
      <c r="H97" s="14">
        <f t="shared" si="110"/>
        <v>11.3415</v>
      </c>
      <c r="I97" s="14">
        <f t="shared" si="110"/>
        <v>9849.6</v>
      </c>
      <c r="J97" s="14" t="e">
        <f t="shared" si="110"/>
        <v>#REF!</v>
      </c>
      <c r="K97" s="14">
        <f t="shared" si="110"/>
        <v>96</v>
      </c>
      <c r="L97" s="14">
        <f t="shared" si="110"/>
        <v>0</v>
      </c>
      <c r="M97" s="14">
        <f t="shared" si="110"/>
        <v>1626.48</v>
      </c>
      <c r="N97" s="14">
        <f t="shared" si="110"/>
        <v>0</v>
      </c>
      <c r="O97" s="86"/>
      <c r="R97" s="287"/>
      <c r="S97" s="287"/>
      <c r="T97" s="48" t="s">
        <v>209</v>
      </c>
      <c r="U97" s="48"/>
      <c r="V97" s="126" t="str">
        <f>+INDEX('Energy matrix'!C28:N28,1,$D$2)</f>
        <v>Textile and leather</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813.24</v>
      </c>
      <c r="N98" s="14">
        <f t="shared" si="111"/>
        <v>0</v>
      </c>
      <c r="O98" s="86"/>
      <c r="R98" s="287"/>
      <c r="S98" s="287"/>
      <c r="T98" s="117" t="str">
        <f>'Energy matrix'!B29</f>
        <v>Coal</v>
      </c>
      <c r="U98" s="117"/>
      <c r="V98" s="118">
        <f>+INDEX('Energy matrix'!C29:N29,1,$D$2)</f>
        <v>253.63200000000001</v>
      </c>
      <c r="W98" s="117"/>
    </row>
    <row r="99" spans="3:24" s="285" customFormat="1" ht="12.75" customHeight="1">
      <c r="C99" s="13" t="str">
        <f>$D$152</f>
        <v>Haullage</v>
      </c>
      <c r="D99" s="19">
        <f t="shared" ref="D99:N99" si="112">+INDEX($E152:$O152,1,D$95) * INDEX($V$98:$V$108,D$95,1)</f>
        <v>0</v>
      </c>
      <c r="E99" s="19">
        <f t="shared" si="112"/>
        <v>0</v>
      </c>
      <c r="F99" s="19">
        <f t="shared" si="112"/>
        <v>813.46600000000001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81.47</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1382.508</v>
      </c>
      <c r="N100" s="14">
        <f t="shared" si="113"/>
        <v>0</v>
      </c>
      <c r="O100" s="86"/>
      <c r="R100" s="287"/>
      <c r="S100" s="287"/>
      <c r="T100" s="117" t="str">
        <f>'Energy matrix'!B31</f>
        <v>Diesel</v>
      </c>
      <c r="U100" s="117"/>
      <c r="V100" s="118">
        <f>+INDEX('Energy matrix'!C31:N31,1,$D$2)</f>
        <v>813.46600000000001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3984.8759999999997</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325.29599999999999</v>
      </c>
      <c r="N102" s="14">
        <f t="shared" si="115"/>
        <v>2298</v>
      </c>
      <c r="O102" s="86"/>
      <c r="R102" s="287"/>
      <c r="S102" s="287"/>
      <c r="T102" s="117" t="str">
        <f>'Energy matrix'!B33</f>
        <v>LPG</v>
      </c>
      <c r="U102" s="117"/>
      <c r="V102" s="118">
        <f>+INDEX('Energy matrix'!C33:N33,1,$D$2)</f>
        <v>45.366</v>
      </c>
      <c r="W102" s="117"/>
    </row>
    <row r="103" spans="3:24" s="285" customFormat="1" ht="12.75" customHeight="1">
      <c r="C103" s="17" t="s">
        <v>57</v>
      </c>
      <c r="D103" s="18">
        <f t="shared" ref="D103:N103" si="116">SUM(D97:D102)</f>
        <v>253.63200000000001</v>
      </c>
      <c r="E103" s="18">
        <f t="shared" si="116"/>
        <v>81.47</v>
      </c>
      <c r="F103" s="18">
        <f t="shared" si="116"/>
        <v>813.46600000000001</v>
      </c>
      <c r="G103" s="18">
        <f t="shared" si="116"/>
        <v>0</v>
      </c>
      <c r="H103" s="18">
        <f t="shared" si="116"/>
        <v>45.366</v>
      </c>
      <c r="I103" s="18">
        <f t="shared" si="116"/>
        <v>9849.6</v>
      </c>
      <c r="J103" s="18" t="e">
        <f t="shared" si="116"/>
        <v>#REF!</v>
      </c>
      <c r="K103" s="18">
        <f t="shared" si="116"/>
        <v>96</v>
      </c>
      <c r="L103" s="18">
        <f t="shared" si="116"/>
        <v>0</v>
      </c>
      <c r="M103" s="18">
        <f t="shared" si="116"/>
        <v>8132.4</v>
      </c>
      <c r="N103" s="18">
        <f t="shared" si="116"/>
        <v>2298</v>
      </c>
      <c r="O103" s="86"/>
      <c r="R103" s="287"/>
      <c r="S103" s="287"/>
      <c r="T103" s="117" t="str">
        <f>'Energy matrix'!B35</f>
        <v>Natural gas</v>
      </c>
      <c r="U103" s="117"/>
      <c r="V103" s="118">
        <f>+INDEX('Energy matrix'!C35:N35,1,$D$2)</f>
        <v>9849.6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96</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0</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8132.4</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2298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180.55199999999999</v>
      </c>
      <c r="E117" s="14">
        <f t="shared" si="127"/>
        <v>0</v>
      </c>
      <c r="F117" s="14">
        <f t="shared" si="127"/>
        <v>0</v>
      </c>
      <c r="G117" s="14">
        <f t="shared" si="127"/>
        <v>0</v>
      </c>
      <c r="H117" s="14" t="e">
        <f t="shared" si="127"/>
        <v>#REF!</v>
      </c>
      <c r="I117" s="14">
        <f t="shared" si="127"/>
        <v>0</v>
      </c>
      <c r="J117" s="14">
        <f t="shared" si="127"/>
        <v>8865.5460000000003</v>
      </c>
      <c r="K117" s="14">
        <f t="shared" si="127"/>
        <v>3</v>
      </c>
      <c r="L117" s="14">
        <f t="shared" si="127"/>
        <v>120</v>
      </c>
      <c r="M117" s="14">
        <f t="shared" si="127"/>
        <v>0</v>
      </c>
      <c r="N117" s="14">
        <f t="shared" si="127"/>
        <v>0</v>
      </c>
      <c r="O117" s="86"/>
      <c r="T117" s="48" t="s">
        <v>209</v>
      </c>
      <c r="U117" s="48"/>
      <c r="V117" s="126" t="str">
        <f>+INDEX('Energy matrix'!C52:N52,1,$D$2)</f>
        <v>Textile and leather</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180.55199999999999</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matrix'!B55</f>
        <v>Diesel</v>
      </c>
      <c r="U120" s="117"/>
      <c r="V120" s="118">
        <f>+INDEX('Energy matrix'!C55:N55,1,$D$2)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7005.6</v>
      </c>
      <c r="O122" s="86"/>
      <c r="T122" s="117" t="e">
        <f>'Energy matrix'!#REF!</f>
        <v>#REF!</v>
      </c>
      <c r="U122" s="117"/>
      <c r="V122" s="118" t="e">
        <f>+_xlfn.SINGLE(INDEX('Energy matrix'!#REF!,1,$D$2))</f>
        <v>#REF!</v>
      </c>
      <c r="W122" s="117"/>
    </row>
    <row r="123" spans="3:31" ht="12.75" customHeight="1">
      <c r="C123" s="17" t="s">
        <v>57</v>
      </c>
      <c r="D123" s="18">
        <f t="shared" ref="D123:N123" si="133">SUM(D117:D122)</f>
        <v>180.55199999999999</v>
      </c>
      <c r="E123" s="18">
        <f t="shared" si="133"/>
        <v>0</v>
      </c>
      <c r="F123" s="18">
        <f t="shared" si="133"/>
        <v>558.05100000000004</v>
      </c>
      <c r="G123" s="18">
        <f t="shared" si="133"/>
        <v>0</v>
      </c>
      <c r="H123" s="18" t="e">
        <f t="shared" si="133"/>
        <v>#REF!</v>
      </c>
      <c r="I123" s="18">
        <f t="shared" si="133"/>
        <v>0</v>
      </c>
      <c r="J123" s="18">
        <f t="shared" si="133"/>
        <v>8865.5460000000003</v>
      </c>
      <c r="K123" s="18">
        <f t="shared" si="133"/>
        <v>3</v>
      </c>
      <c r="L123" s="18">
        <f t="shared" si="133"/>
        <v>120</v>
      </c>
      <c r="M123" s="18">
        <f t="shared" si="133"/>
        <v>0</v>
      </c>
      <c r="N123" s="18">
        <f t="shared" si="133"/>
        <v>7005.6</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8865.5460000000003</v>
      </c>
      <c r="W124" s="117"/>
    </row>
    <row r="125" spans="3:31" ht="12.75" customHeight="1">
      <c r="E125" s="25"/>
      <c r="F125" s="25"/>
      <c r="G125" s="25"/>
      <c r="H125" s="25"/>
      <c r="I125" s="25"/>
      <c r="J125" s="25"/>
      <c r="K125" s="25"/>
      <c r="O125" s="86"/>
      <c r="T125" s="117" t="str">
        <f>'Energy matrix'!B60</f>
        <v>Biogas</v>
      </c>
      <c r="U125" s="117"/>
      <c r="V125" s="118">
        <f>+INDEX('Energy matrix'!C60:N60,1,$D$2)</f>
        <v>3</v>
      </c>
      <c r="W125" s="117"/>
    </row>
    <row r="126" spans="3:31" ht="12.75" customHeight="1">
      <c r="O126" s="86"/>
      <c r="T126" s="117" t="str">
        <f>'Energy matrix'!B65</f>
        <v>Biomass</v>
      </c>
      <c r="U126" s="117"/>
      <c r="V126" s="118">
        <f>+INDEX('Energy matrix'!C65:N65,1,$D$2)</f>
        <v>120</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7005.6</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011 Textile and leather</v>
      </c>
      <c r="D150" s="13" t="s">
        <v>534</v>
      </c>
      <c r="E150" s="22">
        <v>1</v>
      </c>
      <c r="F150" s="22">
        <v>1</v>
      </c>
      <c r="G150" s="22"/>
      <c r="H150" s="22">
        <v>0</v>
      </c>
      <c r="I150" s="22">
        <v>0.25</v>
      </c>
      <c r="J150" s="22">
        <v>1</v>
      </c>
      <c r="K150" s="22">
        <v>1</v>
      </c>
      <c r="L150" s="22">
        <v>1</v>
      </c>
      <c r="M150" s="22">
        <v>1</v>
      </c>
      <c r="N150" s="22">
        <v>0.2</v>
      </c>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0.04</v>
      </c>
      <c r="O155" s="22">
        <v>1</v>
      </c>
      <c r="P155" s="34"/>
      <c r="Q155" s="34"/>
      <c r="R155" s="25"/>
      <c r="S155" s="25"/>
      <c r="W155" s="285"/>
      <c r="X155" s="285"/>
      <c r="Y155" s="25"/>
      <c r="Z155" s="25"/>
      <c r="AA155" s="25"/>
    </row>
    <row r="156" spans="3:27">
      <c r="C156" s="17" t="str">
        <f>C150</f>
        <v>011 Textile and leather</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56"/>
  <sheetViews>
    <sheetView showGridLines="0" topLeftCell="BS23"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2.33203125" style="36" customWidth="1"/>
    <col min="12" max="15" width="12.3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12</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Construction</v>
      </c>
      <c r="E5" s="25"/>
      <c r="F5" s="197"/>
      <c r="G5" s="198"/>
    </row>
    <row r="6" spans="3:28" ht="12.75" customHeight="1">
      <c r="C6" s="62"/>
      <c r="D6" s="70" t="str">
        <f>+INDEX(Commodities!$Y$6:$Y$17,D2)</f>
        <v>012 Construction</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012 Construction</v>
      </c>
      <c r="E9" s="25"/>
    </row>
    <row r="10" spans="3:28" ht="12.75" customHeight="1">
      <c r="C10" s="62" t="s">
        <v>154</v>
      </c>
      <c r="D10" s="70">
        <f>+ROW(Processes!$M$44) - ROW(Processes!$M$7)</f>
        <v>37</v>
      </c>
      <c r="E10" s="25"/>
    </row>
    <row r="11" spans="3:28" ht="12.75" customHeight="1">
      <c r="C11" s="62" t="s">
        <v>194</v>
      </c>
      <c r="D11" s="70">
        <f>+$D$10*$D$2-$D$10</f>
        <v>407</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Construction</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7"/>
      <c r="T19" s="285"/>
      <c r="U19" s="285"/>
      <c r="V19" s="285"/>
      <c r="W19" s="285"/>
      <c r="X19" s="285"/>
      <c r="Y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7"/>
      <c r="AI22" s="287"/>
      <c r="AJ22" s="287"/>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7"/>
      <c r="AI23" s="287"/>
      <c r="AJ23" s="287"/>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INDNDPHBNGAE1</v>
      </c>
      <c r="D26" s="146" t="str">
        <f ca="1">+OFFSET(Processes!E7,$D$11,0)</f>
        <v>Construction Heat Medium Temp. Boiler - Nat. Gas Existing 1</v>
      </c>
      <c r="E26" s="149" t="str">
        <f>+Processes!O7</f>
        <v>INDSNG1,INDSNG2,INDNGA</v>
      </c>
      <c r="F26" s="149" t="str">
        <f ca="1">+OFFSET(Processes!$M$12,$D$11,0) &amp; Processes!P7</f>
        <v>INDPH</v>
      </c>
      <c r="G26" s="322">
        <f>ROUNDUP(AN26/($Z26*$AA26)*G$21*W26,3)</f>
        <v>1222.242</v>
      </c>
      <c r="H26" s="322">
        <f t="shared" ref="H26:I26" si="0">ROUNDUP(AO26/($Z26*$AA26)*H$21*X26,3)</f>
        <v>67.903000000000006</v>
      </c>
      <c r="I26" s="322">
        <f t="shared" si="0"/>
        <v>67.903000000000006</v>
      </c>
      <c r="J26" s="322">
        <f>ROUNDUP(BA26/($Z26*$AA26)*J$21*W26,3)</f>
        <v>1179.3709999999999</v>
      </c>
      <c r="K26" s="322">
        <f>ROUNDUP(BB26/($Z26*$AA26)*K$21*X26,3)</f>
        <v>65.521000000000001</v>
      </c>
      <c r="L26" s="322">
        <f>ROUNDUP(BC26/($Z26*$AA26)*L$21*Y26,3)</f>
        <v>65.521000000000001</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20.73743232277927</v>
      </c>
      <c r="AH26" s="236">
        <f t="shared" ref="AH26:AH41" si="9">((J26*Z26*AA26/W26)+(K26*Z26*AA26/X26))/$J$21</f>
        <v>19.831740812285307</v>
      </c>
      <c r="AI26" s="236">
        <f t="shared" ref="AI26:AI41" si="10">((M26*AA26*Z26/W26)+(N26*Z26*AA26/X26))/$M$21</f>
        <v>0</v>
      </c>
      <c r="AJ26" s="385"/>
      <c r="AK26" s="530" t="str">
        <f ca="1">F26</f>
        <v>INDPH</v>
      </c>
      <c r="AL26" s="350" t="s">
        <v>97</v>
      </c>
      <c r="AM26" s="313">
        <f>I77/1000</f>
        <v>21.828854</v>
      </c>
      <c r="AN26" s="310">
        <f>AM26*$AN$23</f>
        <v>19.6459686</v>
      </c>
      <c r="AO26" s="311">
        <f>AM26*$AO$23</f>
        <v>1.0914427</v>
      </c>
      <c r="AP26" s="311">
        <f>AM26*$AP$23</f>
        <v>1.0914427</v>
      </c>
      <c r="AQ26" s="312">
        <f>IFERROR(G26*$Z26*$AA26/G$21,0)</f>
        <v>19.253058797202801</v>
      </c>
      <c r="AR26" s="311">
        <f>IFERROR(H26*$Z26*$AA26/H$21,0)</f>
        <v>1.0696248791208796</v>
      </c>
      <c r="AS26" s="338">
        <f>IFERROR(I26*$Z26*$AA26/I$21,0)</f>
        <v>1.0696248791208796</v>
      </c>
      <c r="AT26" s="313">
        <f t="shared" ref="AT26:AV29" si="11">IFERROR(AQ26/W26,0)</f>
        <v>19.645978364492656</v>
      </c>
      <c r="AU26" s="310">
        <f t="shared" si="11"/>
        <v>1.0914539582866118</v>
      </c>
      <c r="AV26" s="357">
        <f t="shared" si="11"/>
        <v>1.0914539582866118</v>
      </c>
      <c r="AW26" s="285"/>
      <c r="AX26" s="530" t="str">
        <f t="shared" ref="AX26:AX62" ca="1" si="12">AK26</f>
        <v>INDPH</v>
      </c>
      <c r="AY26" s="350" t="s">
        <v>97</v>
      </c>
      <c r="AZ26" s="313">
        <f>I97/1000</f>
        <v>20.875499999999999</v>
      </c>
      <c r="BA26" s="310">
        <f>AZ26*$AN$23</f>
        <v>18.787949999999999</v>
      </c>
      <c r="BB26" s="311">
        <f>AZ26*$BB$23</f>
        <v>1.0437749999999999</v>
      </c>
      <c r="BC26" s="311">
        <f>AZ26*$BC$23</f>
        <v>1.0437749999999999</v>
      </c>
      <c r="BD26" s="313">
        <f t="shared" ref="BD26" si="13">IFERROR(J26*$Z26*AA26/J$21,0)</f>
        <v>18.412199928712869</v>
      </c>
      <c r="BE26" s="310">
        <f t="shared" ref="BE26" si="14">IFERROR(K26*$Z26*AA26/K$21,0)</f>
        <v>1.0229060673267327</v>
      </c>
      <c r="BF26" s="357">
        <f>IFERROR(L26*$Z26*AA26/L$21,0)</f>
        <v>1.0229060673267327</v>
      </c>
      <c r="BG26" s="313">
        <f t="shared" ref="BG26:BG35" si="15">IFERROR(BD26/W26,0)</f>
        <v>18.787959110931499</v>
      </c>
      <c r="BH26" s="310">
        <f t="shared" ref="BH26:BH35" si="16">IFERROR(BE26/X26,0)</f>
        <v>1.0437817013538089</v>
      </c>
      <c r="BI26" s="357">
        <f t="shared" ref="BI26:BI35" si="17">IFERROR(BF26/Y26,0)</f>
        <v>1.0437817013538089</v>
      </c>
      <c r="BJ26" s="285"/>
      <c r="BK26" s="530" t="str">
        <f ca="1">AK26</f>
        <v>INDPH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INDNDPHBCOAE1</v>
      </c>
      <c r="D27" s="146" t="str">
        <f ca="1">+OFFSET(Processes!E8,$D$11,0)</f>
        <v>Construction Heat Medium Temp. Boiler - Coal Existing 1</v>
      </c>
      <c r="E27" s="149" t="str">
        <f>+Processes!O8</f>
        <v>INDCOA</v>
      </c>
      <c r="F27" s="149" t="str">
        <f ca="1">+OFFSET(Processes!$M$12,$D$11,0) &amp; Processes!P8</f>
        <v>INDPH</v>
      </c>
      <c r="G27" s="322">
        <f t="shared" ref="G27:G62" si="18">ROUNDUP(AN27/($Z27*$AA27)*G$21*W27,3)</f>
        <v>0</v>
      </c>
      <c r="H27" s="322">
        <f t="shared" ref="H27:H62" si="19">ROUNDUP(AO27/($Z27*$AA27)*H$21*X27,3)</f>
        <v>0</v>
      </c>
      <c r="I27" s="322">
        <f t="shared" ref="I27:I61" si="20">ROUNDUP(AP27/($Z27*$AA27)*I$21*Y27,3)</f>
        <v>0</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v>
      </c>
      <c r="AH27" s="236">
        <f t="shared" si="9"/>
        <v>0</v>
      </c>
      <c r="AI27" s="236">
        <f t="shared" si="10"/>
        <v>0</v>
      </c>
      <c r="AJ27" s="285"/>
      <c r="AK27" s="290"/>
      <c r="AL27" s="291" t="s">
        <v>98</v>
      </c>
      <c r="AM27" s="307">
        <f>D77/1000</f>
        <v>0</v>
      </c>
      <c r="AN27" s="308">
        <f>AM27*$AN$23</f>
        <v>0</v>
      </c>
      <c r="AO27" s="309">
        <f t="shared" ref="AO27:AO29" si="27">AM27*$AO$23</f>
        <v>0</v>
      </c>
      <c r="AP27" s="309">
        <f>AM27*$AP$23</f>
        <v>0</v>
      </c>
      <c r="AQ27" s="306">
        <f t="shared" ref="AQ27:AQ62" si="28">IFERROR(G27*$Z27*$AA27/G$21,0)</f>
        <v>0</v>
      </c>
      <c r="AR27" s="309">
        <f t="shared" ref="AR27:AR62" si="29">IFERROR(H27*$Z27*$AA27/H$21,0)</f>
        <v>0</v>
      </c>
      <c r="AS27" s="540">
        <f t="shared" ref="AS27:AS62" si="30">IFERROR(I27*$Z27*$AA27/I$21,0)</f>
        <v>0</v>
      </c>
      <c r="AT27" s="307">
        <f t="shared" si="11"/>
        <v>0</v>
      </c>
      <c r="AU27" s="308">
        <f t="shared" si="11"/>
        <v>0</v>
      </c>
      <c r="AV27" s="353">
        <f t="shared" si="11"/>
        <v>0</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INDNDPHBDSLE1</v>
      </c>
      <c r="D28" s="146" t="str">
        <f ca="1">+OFFSET(Processes!E9,$D$11,0)</f>
        <v>Construction Heat Medium Temp. Boiler - Diesel Existing 1</v>
      </c>
      <c r="E28" s="149" t="str">
        <f>+Processes!O9</f>
        <v>INDDSB1,INDDSB2,INDDSL</v>
      </c>
      <c r="F28" s="149" t="str">
        <f ca="1">+OFFSET(Processes!$M$12,$D$11,0) &amp; Processes!P9</f>
        <v>INDPH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INDNDPHBWPEE1</v>
      </c>
      <c r="D29" s="146" t="str">
        <f ca="1">+OFFSET(Processes!E10,$D$11,0)</f>
        <v>Construction Heat Medium Temp. Boiler - Wood Pellets Existing 1</v>
      </c>
      <c r="E29" s="149" t="str">
        <f>+Processes!O10</f>
        <v>INDWPE</v>
      </c>
      <c r="F29" s="149" t="str">
        <f ca="1">+OFFSET(Processes!$M$12,$D$11,0) &amp; Processes!P10</f>
        <v>INDPH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v>
      </c>
      <c r="BN29" s="561">
        <f>BM29*$AN$23</f>
        <v>0</v>
      </c>
      <c r="BO29" s="562">
        <f t="shared" si="36"/>
        <v>0</v>
      </c>
      <c r="BP29" s="562">
        <f t="shared" si="37"/>
        <v>0</v>
      </c>
      <c r="BQ29" s="560">
        <f t="shared" si="38"/>
        <v>0</v>
      </c>
      <c r="BR29" s="561">
        <f t="shared" si="39"/>
        <v>0</v>
      </c>
      <c r="BS29" s="566">
        <f t="shared" si="40"/>
        <v>0</v>
      </c>
      <c r="BT29" s="560">
        <f t="shared" si="41"/>
        <v>0</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INDNDPHBBGAE1</v>
      </c>
      <c r="D31" s="146" t="str">
        <f ca="1">+OFFSET(Processes!E12,$D$11,0)</f>
        <v>Construction Heat Medium Temp. Boiler - Biogas Existing 1</v>
      </c>
      <c r="E31" s="149" t="str">
        <f>+Processes!O12</f>
        <v>INDBGA</v>
      </c>
      <c r="F31" s="172" t="str">
        <f ca="1">+OFFSET(Processes!$M$12,$D$11,0) &amp; Processes!P12</f>
        <v>INDPH</v>
      </c>
      <c r="G31" s="322">
        <f t="shared" si="18"/>
        <v>0</v>
      </c>
      <c r="H31" s="322">
        <f t="shared" si="19"/>
        <v>0</v>
      </c>
      <c r="I31" s="322">
        <f t="shared" si="20"/>
        <v>0</v>
      </c>
      <c r="J31" s="322" t="e">
        <f t="shared" si="21"/>
        <v>#REF!</v>
      </c>
      <c r="K31" s="322" t="e">
        <f t="shared" si="22"/>
        <v>#REF!</v>
      </c>
      <c r="L31" s="322" t="e">
        <f t="shared" si="23"/>
        <v>#REF!</v>
      </c>
      <c r="M31" s="322">
        <f t="shared" si="24"/>
        <v>1494.26</v>
      </c>
      <c r="N31" s="322">
        <f t="shared" si="25"/>
        <v>83.015000000000001</v>
      </c>
      <c r="O31" s="322">
        <f t="shared" si="26"/>
        <v>83.015000000000001</v>
      </c>
      <c r="P31" s="322">
        <f t="shared" si="1"/>
        <v>1494.26</v>
      </c>
      <c r="Q31" s="322">
        <f t="shared" si="2"/>
        <v>83.015000000000001</v>
      </c>
      <c r="R31" s="322">
        <f t="shared" si="3"/>
        <v>83.015000000000001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25.126765205091939</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26.449200000000001</v>
      </c>
      <c r="BN31" s="561">
        <f>BM31*$AN$23</f>
        <v>23.804280000000002</v>
      </c>
      <c r="BO31" s="562">
        <f>BM31*$BB$23</f>
        <v>1.3224600000000002</v>
      </c>
      <c r="BP31" s="562">
        <f>BM31*$BC$23</f>
        <v>1.3224600000000002</v>
      </c>
      <c r="BQ31" s="560">
        <f t="shared" si="38"/>
        <v>23.328209584158415</v>
      </c>
      <c r="BR31" s="561">
        <f t="shared" si="39"/>
        <v>1.2960203168316831</v>
      </c>
      <c r="BS31" s="566">
        <f t="shared" si="40"/>
        <v>1.2960203168316831</v>
      </c>
      <c r="BT31" s="560">
        <f t="shared" si="41"/>
        <v>23.804295494039199</v>
      </c>
      <c r="BU31" s="561">
        <f t="shared" si="42"/>
        <v>1.3224697110527379</v>
      </c>
      <c r="BV31" s="566">
        <f t="shared" si="43"/>
        <v>1.3224697110527379</v>
      </c>
      <c r="BW31" s="285"/>
      <c r="BX31" s="285"/>
      <c r="BY31" s="285"/>
    </row>
    <row r="32" spans="3:77" ht="12.75" customHeight="1">
      <c r="C32" s="146" t="str">
        <f ca="1">+IF(OFFSET(Processes!B13,$D$11,0)="*","*",OFFSET(Processes!D13,$D$11,0))</f>
        <v>INDNDPHBHFOE1</v>
      </c>
      <c r="D32" s="146" t="str">
        <f ca="1">+OFFSET(Processes!E13,$D$11,0)</f>
        <v>Construction Heat Medium Temp. Boiler - Heavy Fuel Oil Existing 1</v>
      </c>
      <c r="E32" s="149" t="str">
        <f>+Processes!O13</f>
        <v>INDHFO</v>
      </c>
      <c r="F32" s="172" t="str">
        <f ca="1">+OFFSET(Processes!$M$12,$D$11,0) &amp; Processes!P13</f>
        <v>INDPH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4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INDNDPHBLPGE1</v>
      </c>
      <c r="D33" s="146" t="str">
        <f ca="1">+OFFSET(Processes!E14,$D$11,0)</f>
        <v>Construction Heat Medium Temp. Boiler - Liquified Petroleum Gas Existing 1</v>
      </c>
      <c r="E33" s="149" t="str">
        <f>+Processes!O14</f>
        <v>INDLPG</v>
      </c>
      <c r="F33" s="172" t="str">
        <f ca="1">+OFFSET(Processes!$M$12,$D$11,0) &amp; Processes!P14</f>
        <v>INDPH</v>
      </c>
      <c r="G33" s="322">
        <f t="shared" si="18"/>
        <v>0</v>
      </c>
      <c r="H33" s="322">
        <f t="shared" si="19"/>
        <v>0</v>
      </c>
      <c r="I33" s="322">
        <f t="shared" si="20"/>
        <v>0</v>
      </c>
      <c r="J33" s="322">
        <f t="shared" si="21"/>
        <v>0</v>
      </c>
      <c r="K33" s="322">
        <f t="shared" si="22"/>
        <v>0</v>
      </c>
      <c r="L33" s="322">
        <f t="shared" si="23"/>
        <v>0</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t="e">
        <f t="shared" si="10"/>
        <v>#REF!</v>
      </c>
      <c r="AJ33" s="285"/>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INDNDPHBWSTE1</v>
      </c>
      <c r="D34" s="146" t="str">
        <f ca="1">+OFFSET(Processes!E15,$D$11,0)</f>
        <v>Construction Heat Medium Temp. Boiler - Waste Existing 1</v>
      </c>
      <c r="E34" s="149" t="str">
        <f>+Processes!O15</f>
        <v>INDWST</v>
      </c>
      <c r="F34" s="172" t="str">
        <f ca="1">+OFFSET(Processes!$M$12,$D$11,0) &amp; Processes!P15</f>
        <v>INDPH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INDNDPHBHETE1</v>
      </c>
      <c r="D35" s="146" t="str">
        <f ca="1">+OFFSET(Processes!E16,$D$11,0)</f>
        <v>Construction Heat Medium Temp. Boiler - Dist. Heat Existing 1</v>
      </c>
      <c r="E35" s="149" t="str">
        <f>+Processes!O16</f>
        <v>INDHCE</v>
      </c>
      <c r="F35" s="172" t="str">
        <f ca="1">+OFFSET(Processes!$M$12,$D$11,0) &amp; Processes!P16</f>
        <v>INDPH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INDNDPHBHETE2</v>
      </c>
      <c r="D36" s="146" t="str">
        <f ca="1">+OFFSET(Processes!E17,$D$11,0)</f>
        <v>Construction Heat Medium Temp. Boiler - Dist. Heat Existing 2</v>
      </c>
      <c r="E36" s="149" t="str">
        <f>+Processes!O17</f>
        <v>INDHDE</v>
      </c>
      <c r="F36" s="172" t="str">
        <f ca="1">+OFFSET(Processes!$M$12,$D$11,0) &amp; Processes!P17</f>
        <v>INDPH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INDNDPHBELCE1</v>
      </c>
      <c r="D37" s="148" t="str">
        <f ca="1">+OFFSET(Processes!E18,$D$11,0)</f>
        <v>Construction Heat Medium Temp. Boiler - Electricity Existing 1</v>
      </c>
      <c r="E37" s="174" t="str">
        <f>+Processes!O18</f>
        <v>INDELC</v>
      </c>
      <c r="F37" s="174" t="str">
        <f ca="1">+OFFSET(Processes!$M$12,$D$11,0) &amp; Processes!P18</f>
        <v>INDPH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INDNDCOBNGAE1</v>
      </c>
      <c r="D38" s="173" t="str">
        <f ca="1">+OFFSET(Processes!E19,$D$11,0)</f>
        <v>Construction Heat High Temp. Boiler - Nat. Gas Existing 1</v>
      </c>
      <c r="E38" s="172" t="str">
        <f>+Processes!O19</f>
        <v>INDSNG1,INDSNG2,INDNGA</v>
      </c>
      <c r="F38" s="172" t="str">
        <f ca="1">+OFFSET(Processes!$M$12,$D$11,0) &amp; Processes!P19</f>
        <v>INDCO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INDCO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INDCO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INDCO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INDNDCOBCOAE1</v>
      </c>
      <c r="D39" s="173" t="str">
        <f ca="1">+OFFSET(Processes!E20,$D$11,0)</f>
        <v>Construction Heat High Temp. Boiler - Coal Existing 1</v>
      </c>
      <c r="E39" s="172" t="str">
        <f>+Processes!O20</f>
        <v>INDCOA</v>
      </c>
      <c r="F39" s="172" t="str">
        <f ca="1">+OFFSET(Processes!$M$12,$D$11,0) &amp; Processes!P20</f>
        <v>INDCO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INDNDCOBDSLE1</v>
      </c>
      <c r="D40" s="173" t="str">
        <f ca="1">+OFFSET(Processes!E21,$D$11,0)</f>
        <v>Construction Heat High Temp. Boiler - Diesel Existing 1</v>
      </c>
      <c r="E40" s="172" t="str">
        <f>+Processes!O21</f>
        <v>INDDSB1,INDDSB2,INDDSL</v>
      </c>
      <c r="F40" s="172" t="str">
        <f ca="1">+OFFSET(Processes!$M$12,$D$11,0) &amp; Processes!P21</f>
        <v>INDCO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INDNDCOBWPEE1</v>
      </c>
      <c r="D41" s="173" t="str">
        <f ca="1">+OFFSET(Processes!E22,$D$11,0)</f>
        <v>Construction Heat High Temp. Boiler - Wood Pellets Existing 1</v>
      </c>
      <c r="E41" s="172" t="str">
        <f>+Processes!O22</f>
        <v>INDWPE</v>
      </c>
      <c r="F41" s="172" t="str">
        <f ca="1">+OFFSET(Processes!$M$12,$D$11,0) &amp; Processes!P22</f>
        <v>INDCO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INDNDCOBHFOE1</v>
      </c>
      <c r="D43" s="173" t="str">
        <f ca="1">+OFFSET(Processes!E24,$D$11,0)</f>
        <v>Construction Heat High Temp. Boiler - Heavy Fuel Oil Existing 1</v>
      </c>
      <c r="E43" s="172" t="str">
        <f>+Processes!O24</f>
        <v>INDHFO</v>
      </c>
      <c r="F43" s="172" t="str">
        <f ca="1">+OFFSET(Processes!$M$12,$D$11,0) &amp; Processes!P24</f>
        <v>INDCO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INDNDCOBLPGE1</v>
      </c>
      <c r="D44" s="173" t="str">
        <f ca="1">+OFFSET(Processes!E25,$D$11,0)</f>
        <v>Construction Heat High Temp. Boiler - Liquified Petroleum Gas Existing 1</v>
      </c>
      <c r="E44" s="172" t="str">
        <f>+Processes!O25</f>
        <v>INDLPG</v>
      </c>
      <c r="F44" s="172" t="str">
        <f ca="1">+OFFSET(Processes!$M$12,$D$11,0) &amp; Processes!P25</f>
        <v>INDCO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INDNDCOBWSTE1</v>
      </c>
      <c r="D45" s="173" t="str">
        <f ca="1">+OFFSET(Processes!E26,$D$11,0)</f>
        <v>Construction Heat High Temp. Boiler - Waste Existing 1</v>
      </c>
      <c r="E45" s="172" t="str">
        <f>+Processes!O26</f>
        <v>INDWST</v>
      </c>
      <c r="F45" s="172" t="str">
        <f ca="1">+OFFSET(Processes!$M$12,$D$11,0) &amp; Processes!P26</f>
        <v>INDCO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INDNDCOBELCE1</v>
      </c>
      <c r="D46" s="148" t="str">
        <f ca="1">+OFFSET(Processes!E27,$D$11,0)</f>
        <v>Construction Heat High Temp. Boiler - Electricity Existing 1</v>
      </c>
      <c r="E46" s="174" t="str">
        <f>+Processes!O27</f>
        <v>INDELC</v>
      </c>
      <c r="F46" s="174" t="str">
        <f ca="1">+OFFSET(Processes!$M$12,$D$11,0) &amp; Processes!P27</f>
        <v>INDCO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INDNDSHBNGAE1</v>
      </c>
      <c r="D47" s="146" t="str">
        <f ca="1">+OFFSET(Processes!E28,$D$11,0)</f>
        <v>Construction Heat Room Boiler - Nat. Gas Existing 1</v>
      </c>
      <c r="E47" s="149" t="str">
        <f>+Processes!O28</f>
        <v>INDSNG1,INDSNG2,INDNGA</v>
      </c>
      <c r="F47" s="149" t="str">
        <f ca="1">+OFFSET(Processes!$M$12,$D$11,0) &amp; Processes!P28</f>
        <v>INDSH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INDSH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INDSH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INDSH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INDNDSHBCOAE1</v>
      </c>
      <c r="D48" s="146" t="str">
        <f ca="1">+OFFSET(Processes!E29,$D$11,0)</f>
        <v>Construction Heat Room Boiler - Coal Existing 1</v>
      </c>
      <c r="E48" s="149" t="str">
        <f>+Processes!O29</f>
        <v>INDCOA</v>
      </c>
      <c r="F48" s="149" t="str">
        <f ca="1">+OFFSET(Processes!$M$12,$D$11,0) &amp; Processes!P29</f>
        <v>INDSH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INDNDSHBDSLE1</v>
      </c>
      <c r="D49" s="146" t="str">
        <f ca="1">+OFFSET(Processes!E30,$D$11,0)</f>
        <v>Construction Heat Room Boiler - Diesel Existing 1</v>
      </c>
      <c r="E49" s="149" t="str">
        <f>+Processes!O30</f>
        <v>INDDSB1,INDDSB2,INDDSL</v>
      </c>
      <c r="F49" s="149" t="str">
        <f ca="1">+OFFSET(Processes!$M$12,$D$11,0) &amp; Processes!P30</f>
        <v>INDSH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INDNDSHBWPEE1</v>
      </c>
      <c r="D50" s="146" t="str">
        <f ca="1">+OFFSET(Processes!E31,$D$11,0)</f>
        <v>Construction Heat Room Boiler - Wood Pellets Existing 1</v>
      </c>
      <c r="E50" s="149" t="str">
        <f>+Processes!O31</f>
        <v>INDWPE</v>
      </c>
      <c r="F50" s="149" t="str">
        <f ca="1">+OFFSET(Processes!$M$12,$D$11,0) &amp; Processes!P31</f>
        <v>INDSH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INDNDSHBBGAE1</v>
      </c>
      <c r="D52" s="146" t="str">
        <f ca="1">+OFFSET(Processes!E33,$D$11,0)</f>
        <v>Construction Heat Room Boiler - Biogas Existing 1</v>
      </c>
      <c r="E52" s="149" t="str">
        <f>+Processes!O33</f>
        <v>INDBGA</v>
      </c>
      <c r="F52" s="149" t="str">
        <f ca="1">+OFFSET(Processes!$M$12,$D$11,0) &amp; Processes!P33</f>
        <v>INDSH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INDNDSHBHFOE1</v>
      </c>
      <c r="D53" s="146" t="str">
        <f ca="1">+OFFSET(Processes!E34,$D$11,0)</f>
        <v>Construction Heat Room Boiler - Heavy Fuel Oil Existing 1</v>
      </c>
      <c r="E53" s="149" t="str">
        <f>+Processes!O34</f>
        <v>INDHFO</v>
      </c>
      <c r="F53" s="149" t="str">
        <f ca="1">+OFFSET(Processes!$M$12,$D$11,0) &amp; Processes!P34</f>
        <v>INDSH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INDNDSHBLPGE1</v>
      </c>
      <c r="D54" s="146" t="str">
        <f ca="1">+OFFSET(Processes!E35,$D$11,0)</f>
        <v>Construction Heat Room Boiler - Liquified Petroleum Gas Existing 1</v>
      </c>
      <c r="E54" s="149" t="str">
        <f>+Processes!O35</f>
        <v>INDLPG</v>
      </c>
      <c r="F54" s="149" t="str">
        <f ca="1">+OFFSET(Processes!$M$12,$D$11,0) &amp; Processes!P35</f>
        <v>INDSH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INDNDSHBWSTE1</v>
      </c>
      <c r="D55" s="146" t="str">
        <f ca="1">+OFFSET(Processes!E36,$D$11,0)</f>
        <v>Construction Heat Room Boiler - Waste Existing 1</v>
      </c>
      <c r="E55" s="149" t="str">
        <f>+Processes!O36</f>
        <v>INDWST</v>
      </c>
      <c r="F55" s="149" t="str">
        <f ca="1">+OFFSET(Processes!$M$12,$D$11,0) &amp; Processes!P36</f>
        <v>INDSH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INDNDSHBHETE1</v>
      </c>
      <c r="D56" s="146" t="str">
        <f ca="1">+OFFSET(Processes!E37,$D$11,0)</f>
        <v>Construction Heat Room Boiler - Dist. Heat Existing 1</v>
      </c>
      <c r="E56" s="149" t="str">
        <f>+Processes!O37</f>
        <v>INDHCE</v>
      </c>
      <c r="F56" s="149" t="str">
        <f ca="1">+OFFSET(Processes!$M$12,$D$11,0) &amp; Processes!P37</f>
        <v>INDSH</v>
      </c>
      <c r="G56" s="321">
        <f t="shared" si="18"/>
        <v>0</v>
      </c>
      <c r="H56" s="321">
        <f t="shared" si="19"/>
        <v>0</v>
      </c>
      <c r="I56" s="321">
        <f t="shared" si="20"/>
        <v>0</v>
      </c>
      <c r="J56" s="321">
        <f t="shared" si="21"/>
        <v>0</v>
      </c>
      <c r="K56" s="321">
        <f t="shared" si="22"/>
        <v>0</v>
      </c>
      <c r="L56" s="321">
        <f t="shared" si="23"/>
        <v>0</v>
      </c>
      <c r="M56" s="321">
        <f t="shared" si="24"/>
        <v>1066.56</v>
      </c>
      <c r="N56" s="321">
        <f t="shared" si="25"/>
        <v>0</v>
      </c>
      <c r="O56" s="321">
        <f t="shared" si="26"/>
        <v>0</v>
      </c>
      <c r="P56" s="321">
        <f t="shared" si="1"/>
        <v>1066.56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v>
      </c>
      <c r="AH56" s="236">
        <f t="shared" si="83"/>
        <v>0</v>
      </c>
      <c r="AI56" s="236">
        <f t="shared" si="84"/>
        <v>17.344799999999999</v>
      </c>
      <c r="AJ56" s="285"/>
      <c r="AK56" s="356"/>
      <c r="AL56" s="559" t="s">
        <v>103</v>
      </c>
      <c r="AM56" s="560">
        <f>N82/1000</f>
        <v>0</v>
      </c>
      <c r="AN56" s="613">
        <f>AM56</f>
        <v>0</v>
      </c>
      <c r="AO56" s="614">
        <v>0</v>
      </c>
      <c r="AP56" s="614">
        <v>0</v>
      </c>
      <c r="AQ56" s="582">
        <f t="shared" si="28"/>
        <v>0</v>
      </c>
      <c r="AR56" s="562">
        <f t="shared" si="29"/>
        <v>0</v>
      </c>
      <c r="AS56" s="563">
        <f t="shared" si="30"/>
        <v>0</v>
      </c>
      <c r="AT56" s="560">
        <f t="shared" si="85"/>
        <v>0</v>
      </c>
      <c r="AU56" s="561">
        <f t="shared" si="85"/>
        <v>0</v>
      </c>
      <c r="AV56" s="566">
        <f t="shared" si="85"/>
        <v>0</v>
      </c>
      <c r="AW56" s="285"/>
      <c r="AX56" s="356"/>
      <c r="AY56" s="559" t="s">
        <v>103</v>
      </c>
      <c r="AZ56" s="560">
        <f>N102/1000</f>
        <v>0</v>
      </c>
      <c r="BA56" s="613">
        <f>AZ56</f>
        <v>0</v>
      </c>
      <c r="BB56" s="614">
        <v>0</v>
      </c>
      <c r="BC56" s="614">
        <v>0</v>
      </c>
      <c r="BD56" s="560">
        <f t="shared" si="33"/>
        <v>0</v>
      </c>
      <c r="BE56" s="561">
        <f t="shared" si="34"/>
        <v>0</v>
      </c>
      <c r="BF56" s="566">
        <f t="shared" si="35"/>
        <v>0</v>
      </c>
      <c r="BG56" s="560">
        <f t="shared" si="62"/>
        <v>0</v>
      </c>
      <c r="BH56" s="561">
        <f t="shared" si="63"/>
        <v>0</v>
      </c>
      <c r="BI56" s="566">
        <f t="shared" si="64"/>
        <v>0</v>
      </c>
      <c r="BJ56" s="285"/>
      <c r="BK56" s="356"/>
      <c r="BL56" s="559" t="s">
        <v>103</v>
      </c>
      <c r="BM56" s="560">
        <f>N122/1000</f>
        <v>17.344799999999999</v>
      </c>
      <c r="BN56" s="613">
        <f>BM56</f>
        <v>17.344799999999999</v>
      </c>
      <c r="BO56" s="614">
        <v>0</v>
      </c>
      <c r="BP56" s="614">
        <v>0</v>
      </c>
      <c r="BQ56" s="560">
        <f t="shared" si="38"/>
        <v>16.651007999999997</v>
      </c>
      <c r="BR56" s="561">
        <f t="shared" si="39"/>
        <v>0</v>
      </c>
      <c r="BS56" s="566">
        <f t="shared" si="40"/>
        <v>0</v>
      </c>
      <c r="BT56" s="560">
        <f t="shared" si="65"/>
        <v>17.344799999999999</v>
      </c>
      <c r="BU56" s="561">
        <f t="shared" si="66"/>
        <v>0</v>
      </c>
      <c r="BV56" s="566">
        <f t="shared" si="67"/>
        <v>0</v>
      </c>
      <c r="BW56" s="285"/>
      <c r="BX56" s="285"/>
      <c r="BY56" s="285"/>
    </row>
    <row r="57" spans="3:77" ht="12.75" customHeight="1">
      <c r="C57" s="173" t="str">
        <f ca="1">+IF(OFFSET(Processes!B38,$D$11,0)="*","*",OFFSET(Processes!D38,$D$11,0))</f>
        <v>INDNDSHBHETE2</v>
      </c>
      <c r="D57" s="146" t="str">
        <f ca="1">+OFFSET(Processes!E38,$D$11,0)</f>
        <v>Construction Heat Room Boiler - Dist. Heat Existing 2</v>
      </c>
      <c r="E57" s="149" t="str">
        <f>+Processes!O38</f>
        <v>INDHDE</v>
      </c>
      <c r="F57" s="149" t="str">
        <f ca="1">+OFFSET(Processes!$M$12,$D$11,0) &amp; Processes!P38</f>
        <v>INDSH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INDNDSHBELCE1</v>
      </c>
      <c r="D58" s="148" t="str">
        <f ca="1">+OFFSET(Processes!E39,$D$11,0)</f>
        <v>Construction Heat Room Boiler - Electricity Existing 1</v>
      </c>
      <c r="E58" s="172" t="str">
        <f>+Processes!O39</f>
        <v>INDELC</v>
      </c>
      <c r="F58" s="174" t="str">
        <f ca="1">+OFFSET(Processes!$M$12,$D$11,0) &amp; Processes!P39</f>
        <v>INDSH</v>
      </c>
      <c r="G58" s="324">
        <f t="shared" si="18"/>
        <v>31.069000000000003</v>
      </c>
      <c r="H58" s="324">
        <f t="shared" si="19"/>
        <v>1.7269999999999999</v>
      </c>
      <c r="I58" s="324">
        <f t="shared" si="20"/>
        <v>1.7269999999999999</v>
      </c>
      <c r="J58" s="324">
        <f t="shared" si="21"/>
        <v>31.112000000000002</v>
      </c>
      <c r="K58" s="324">
        <f t="shared" si="22"/>
        <v>1.7289999999999999</v>
      </c>
      <c r="L58" s="324">
        <f t="shared" si="23"/>
        <v>1.7289999999999999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0.54380075503443948</v>
      </c>
      <c r="AH58" s="236">
        <f t="shared" si="83"/>
        <v>0.53969451589369477</v>
      </c>
      <c r="AI58" s="236">
        <f t="shared" si="84"/>
        <v>0</v>
      </c>
      <c r="AJ58" s="285"/>
      <c r="AK58" s="355"/>
      <c r="AL58" s="567" t="s">
        <v>61</v>
      </c>
      <c r="AM58" s="560">
        <f>M82/1000</f>
        <v>0.57240000000000002</v>
      </c>
      <c r="AN58" s="561">
        <f t="shared" si="77"/>
        <v>0.51516000000000006</v>
      </c>
      <c r="AO58" s="562">
        <f t="shared" si="78"/>
        <v>2.8620000000000003E-2</v>
      </c>
      <c r="AP58" s="562">
        <f t="shared" si="79"/>
        <v>2.8620000000000003E-2</v>
      </c>
      <c r="AQ58" s="582">
        <f t="shared" si="28"/>
        <v>0.48940658541458554</v>
      </c>
      <c r="AR58" s="562">
        <f t="shared" si="29"/>
        <v>2.7204131868131868E-2</v>
      </c>
      <c r="AS58" s="563">
        <f t="shared" si="30"/>
        <v>2.7204131868131868E-2</v>
      </c>
      <c r="AT58" s="560">
        <f t="shared" ref="AT58:AV62" si="87">IFERROR(AQ58/W58,0)</f>
        <v>0.51516482675219533</v>
      </c>
      <c r="AU58" s="561">
        <f t="shared" si="87"/>
        <v>2.8635928282244073E-2</v>
      </c>
      <c r="AV58" s="566">
        <f t="shared" si="87"/>
        <v>2.8635928282244073E-2</v>
      </c>
      <c r="AW58" s="285"/>
      <c r="AX58" s="355"/>
      <c r="AY58" s="567" t="s">
        <v>61</v>
      </c>
      <c r="AZ58" s="560">
        <f>M102/1000</f>
        <v>0.56808000000000003</v>
      </c>
      <c r="BA58" s="561">
        <f>AZ58*$AN$23</f>
        <v>0.51127200000000006</v>
      </c>
      <c r="BB58" s="562">
        <f t="shared" si="60"/>
        <v>2.8404000000000002E-2</v>
      </c>
      <c r="BC58" s="562">
        <f t="shared" si="61"/>
        <v>2.8404000000000002E-2</v>
      </c>
      <c r="BD58" s="560">
        <f t="shared" si="33"/>
        <v>0.48571684752475253</v>
      </c>
      <c r="BE58" s="561">
        <f t="shared" si="34"/>
        <v>2.6992942574257425E-2</v>
      </c>
      <c r="BF58" s="566">
        <f t="shared" si="35"/>
        <v>2.6992942574257425E-2</v>
      </c>
      <c r="BG58" s="560">
        <f t="shared" ref="BG58:BI62" si="88">IFERROR(BD58/W58,0)</f>
        <v>0.51128089213131844</v>
      </c>
      <c r="BH58" s="561">
        <f t="shared" si="88"/>
        <v>2.8413623762376237E-2</v>
      </c>
      <c r="BI58" s="566">
        <f t="shared" si="88"/>
        <v>2.8413623762376237E-2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INDNDLAAELCE1</v>
      </c>
      <c r="D59" s="146" t="str">
        <f ca="1">+OFFSET(Processes!E40,$D$11,0)</f>
        <v>Construction Electricity Light Appliance - Electricity Existing 1</v>
      </c>
      <c r="E59" s="176" t="str">
        <f>+Processes!O40</f>
        <v>INDELC</v>
      </c>
      <c r="F59" s="149" t="str">
        <f ca="1">+OFFSET(Processes!$M$12,$D$11,0) &amp; Processes!P40</f>
        <v>INDLA</v>
      </c>
      <c r="G59" s="323">
        <f t="shared" si="18"/>
        <v>138.99200000000002</v>
      </c>
      <c r="H59" s="323">
        <f t="shared" si="19"/>
        <v>7.7220000000000004</v>
      </c>
      <c r="I59" s="323">
        <f t="shared" si="20"/>
        <v>7.7220000000000004</v>
      </c>
      <c r="J59" s="323">
        <f t="shared" si="21"/>
        <v>139.18299999999999</v>
      </c>
      <c r="K59" s="323">
        <f t="shared" si="22"/>
        <v>7.7330000000000005</v>
      </c>
      <c r="L59" s="323">
        <f t="shared" si="23"/>
        <v>7.7330000000000005</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2.3110752767232774</v>
      </c>
      <c r="AH59" s="236">
        <f t="shared" si="83"/>
        <v>2.2936351366336636</v>
      </c>
      <c r="AI59" s="236">
        <f t="shared" si="84"/>
        <v>0</v>
      </c>
      <c r="AJ59" s="285"/>
      <c r="AK59" s="531" t="str">
        <f ca="1">F59</f>
        <v>INDLA</v>
      </c>
      <c r="AL59" s="578" t="s">
        <v>61</v>
      </c>
      <c r="AM59" s="579">
        <f>M80/1000</f>
        <v>2.4327000000000001</v>
      </c>
      <c r="AN59" s="580">
        <f t="shared" si="77"/>
        <v>2.1894300000000002</v>
      </c>
      <c r="AO59" s="583">
        <f t="shared" si="78"/>
        <v>0.12163500000000001</v>
      </c>
      <c r="AP59" s="583">
        <f t="shared" si="79"/>
        <v>0.12163500000000001</v>
      </c>
      <c r="AQ59" s="584">
        <f t="shared" si="28"/>
        <v>2.1894364195804203</v>
      </c>
      <c r="AR59" s="583">
        <f t="shared" si="29"/>
        <v>0.12163885714285716</v>
      </c>
      <c r="AS59" s="585">
        <f t="shared" si="30"/>
        <v>0.12163885714285716</v>
      </c>
      <c r="AT59" s="579">
        <f t="shared" si="87"/>
        <v>2.1894364195804203</v>
      </c>
      <c r="AU59" s="580">
        <f t="shared" si="87"/>
        <v>0.12163885714285716</v>
      </c>
      <c r="AV59" s="581">
        <f t="shared" si="87"/>
        <v>0.12163885714285716</v>
      </c>
      <c r="AW59" s="285"/>
      <c r="AX59" s="531" t="str">
        <f t="shared" ca="1" si="12"/>
        <v>INDLA</v>
      </c>
      <c r="AY59" s="578" t="s">
        <v>61</v>
      </c>
      <c r="AZ59" s="579">
        <f>M100/1000</f>
        <v>2.4143400000000002</v>
      </c>
      <c r="BA59" s="580">
        <f>AZ59*$AN$23</f>
        <v>2.1729060000000002</v>
      </c>
      <c r="BB59" s="583">
        <f t="shared" si="60"/>
        <v>0.12071700000000002</v>
      </c>
      <c r="BC59" s="583">
        <f t="shared" si="61"/>
        <v>0.12071700000000002</v>
      </c>
      <c r="BD59" s="579">
        <f t="shared" si="33"/>
        <v>2.1729084594059405</v>
      </c>
      <c r="BE59" s="580">
        <f t="shared" si="34"/>
        <v>0.12072667722772279</v>
      </c>
      <c r="BF59" s="581">
        <f t="shared" si="35"/>
        <v>0.12072667722772279</v>
      </c>
      <c r="BG59" s="579">
        <f t="shared" si="88"/>
        <v>2.1729084594059405</v>
      </c>
      <c r="BH59" s="580">
        <f t="shared" si="88"/>
        <v>0.12072667722772279</v>
      </c>
      <c r="BI59" s="581">
        <f t="shared" si="88"/>
        <v>0.12072667722772279</v>
      </c>
      <c r="BJ59" s="285"/>
      <c r="BK59" s="531" t="str">
        <f ca="1">AK59</f>
        <v>INDLA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INDNDEMMELCE1</v>
      </c>
      <c r="D60" s="148" t="str">
        <f ca="1">+OFFSET(Processes!E41,$D$11,0)</f>
        <v>Construction Electricity Motors - Electricity Existing 1</v>
      </c>
      <c r="E60" s="174" t="str">
        <f>+Processes!O41</f>
        <v>INDELC</v>
      </c>
      <c r="F60" s="174" t="str">
        <f ca="1">+OFFSET(Processes!$M$12,$D$11,0) &amp; Processes!P41</f>
        <v>INDEM</v>
      </c>
      <c r="G60" s="324">
        <f t="shared" si="18"/>
        <v>645.90300000000002</v>
      </c>
      <c r="H60" s="324">
        <f t="shared" si="19"/>
        <v>35.884</v>
      </c>
      <c r="I60" s="324">
        <f t="shared" si="20"/>
        <v>35.884</v>
      </c>
      <c r="J60" s="324">
        <f t="shared" si="21"/>
        <v>646.79099999999994</v>
      </c>
      <c r="K60" s="324">
        <f t="shared" si="22"/>
        <v>35.933</v>
      </c>
      <c r="L60" s="324">
        <f t="shared" si="23"/>
        <v>35.933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10.739677738261738</v>
      </c>
      <c r="AH60" s="236">
        <f t="shared" si="83"/>
        <v>10.658605972277227</v>
      </c>
      <c r="AI60" s="236">
        <f t="shared" si="84"/>
        <v>0</v>
      </c>
      <c r="AJ60" s="285"/>
      <c r="AK60" s="536" t="str">
        <f ca="1">F60</f>
        <v>INDEM</v>
      </c>
      <c r="AL60" s="578" t="s">
        <v>61</v>
      </c>
      <c r="AM60" s="579">
        <f>M81/1000</f>
        <v>11.3049</v>
      </c>
      <c r="AN60" s="580">
        <f t="shared" si="77"/>
        <v>10.17441</v>
      </c>
      <c r="AO60" s="583">
        <f t="shared" si="78"/>
        <v>0.565245</v>
      </c>
      <c r="AP60" s="583">
        <f t="shared" si="79"/>
        <v>0.565245</v>
      </c>
      <c r="AQ60" s="584">
        <f t="shared" si="28"/>
        <v>10.174424079920081</v>
      </c>
      <c r="AR60" s="583">
        <f t="shared" si="29"/>
        <v>0.56525365834165842</v>
      </c>
      <c r="AS60" s="585">
        <f t="shared" si="30"/>
        <v>0.56525365834165842</v>
      </c>
      <c r="AT60" s="579">
        <f t="shared" si="87"/>
        <v>10.174424079920081</v>
      </c>
      <c r="AU60" s="580">
        <f t="shared" si="87"/>
        <v>0.56525365834165842</v>
      </c>
      <c r="AV60" s="581">
        <f t="shared" si="87"/>
        <v>0.56525365834165842</v>
      </c>
      <c r="AW60" s="285"/>
      <c r="AX60" s="536" t="str">
        <f t="shared" ca="1" si="12"/>
        <v>INDEM</v>
      </c>
      <c r="AY60" s="578" t="s">
        <v>61</v>
      </c>
      <c r="AZ60" s="579">
        <f>M101/1000</f>
        <v>11.219580000000001</v>
      </c>
      <c r="BA60" s="580">
        <f>AZ60*$AN$23</f>
        <v>10.097622000000001</v>
      </c>
      <c r="BB60" s="583">
        <f t="shared" si="60"/>
        <v>0.56097900000000001</v>
      </c>
      <c r="BC60" s="583">
        <f t="shared" si="61"/>
        <v>0.56097900000000001</v>
      </c>
      <c r="BD60" s="579">
        <f t="shared" si="33"/>
        <v>10.097624245544555</v>
      </c>
      <c r="BE60" s="580">
        <f t="shared" si="34"/>
        <v>0.56098172673267321</v>
      </c>
      <c r="BF60" s="581">
        <f t="shared" si="35"/>
        <v>0.56098172673267321</v>
      </c>
      <c r="BG60" s="579">
        <f t="shared" si="88"/>
        <v>10.097624245544555</v>
      </c>
      <c r="BH60" s="580">
        <f t="shared" si="88"/>
        <v>0.56098172673267321</v>
      </c>
      <c r="BI60" s="581">
        <f t="shared" si="88"/>
        <v>0.56098172673267321</v>
      </c>
      <c r="BJ60" s="285"/>
      <c r="BK60" s="536" t="str">
        <f ca="1">AK60</f>
        <v>INDEM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INDNDTFTDSLE1</v>
      </c>
      <c r="D61" s="173" t="str">
        <f ca="1">+OFFSET(Processes!E42,$D$11,0)</f>
        <v>Construction Tractors, Trucks, Fishing boats, Forest machines - Diesel Existing 1</v>
      </c>
      <c r="E61" s="172" t="str">
        <f>+Processes!O42</f>
        <v>INDDSB1,INDDSB2,INDDSL</v>
      </c>
      <c r="F61" s="173" t="str">
        <f ca="1">+OFFSET(Processes!$M$12,$D$11,0) &amp; Processes!P42</f>
        <v>INDTF</v>
      </c>
      <c r="G61" s="323">
        <f>ROUNDUP(AN61/($Z61*$AA61)*G$21*W61,3)</f>
        <v>0</v>
      </c>
      <c r="H61" s="323">
        <f t="shared" si="19"/>
        <v>0</v>
      </c>
      <c r="I61" s="323">
        <f t="shared" si="20"/>
        <v>0</v>
      </c>
      <c r="J61" s="323">
        <f t="shared" si="21"/>
        <v>0</v>
      </c>
      <c r="K61" s="323">
        <f t="shared" si="22"/>
        <v>0</v>
      </c>
      <c r="L61" s="323">
        <f t="shared" si="23"/>
        <v>0</v>
      </c>
      <c r="M61" s="323">
        <f t="shared" si="24"/>
        <v>3246.527</v>
      </c>
      <c r="N61" s="323">
        <f t="shared" si="25"/>
        <v>180.363</v>
      </c>
      <c r="O61" s="323">
        <f t="shared" si="26"/>
        <v>180.363</v>
      </c>
      <c r="P61" s="323">
        <f t="shared" si="1"/>
        <v>3246.527</v>
      </c>
      <c r="Q61" s="323">
        <f t="shared" si="2"/>
        <v>180.363</v>
      </c>
      <c r="R61" s="323">
        <f t="shared" si="3"/>
        <v>180.363</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0</v>
      </c>
      <c r="AH61" s="236">
        <f t="shared" si="83"/>
        <v>0</v>
      </c>
      <c r="AI61" s="236">
        <f t="shared" si="84"/>
        <v>53.500199524752482</v>
      </c>
      <c r="AJ61" s="285"/>
      <c r="AK61" s="536" t="str">
        <f ca="1">F61</f>
        <v>INDTF</v>
      </c>
      <c r="AL61" s="578" t="s">
        <v>59</v>
      </c>
      <c r="AM61" s="579">
        <f>SUM(D79:G79)/1000</f>
        <v>0</v>
      </c>
      <c r="AN61" s="580">
        <f>AM61*$AN$23</f>
        <v>0</v>
      </c>
      <c r="AO61" s="583">
        <f t="shared" si="78"/>
        <v>0</v>
      </c>
      <c r="AP61" s="583">
        <f t="shared" si="79"/>
        <v>0</v>
      </c>
      <c r="AQ61" s="584">
        <f t="shared" si="28"/>
        <v>0</v>
      </c>
      <c r="AR61" s="583">
        <f t="shared" si="29"/>
        <v>0</v>
      </c>
      <c r="AS61" s="585">
        <f t="shared" si="30"/>
        <v>0</v>
      </c>
      <c r="AT61" s="579">
        <f t="shared" si="87"/>
        <v>0</v>
      </c>
      <c r="AU61" s="580">
        <f t="shared" si="87"/>
        <v>0</v>
      </c>
      <c r="AV61" s="581">
        <f t="shared" si="87"/>
        <v>0</v>
      </c>
      <c r="AW61" s="285"/>
      <c r="AX61" s="536" t="str">
        <f t="shared" ca="1" si="12"/>
        <v>INDTF</v>
      </c>
      <c r="AY61" s="578" t="s">
        <v>59</v>
      </c>
      <c r="AZ61" s="579">
        <f>SUM(D99:G99)/1000</f>
        <v>0</v>
      </c>
      <c r="BA61" s="580">
        <f>AZ61*$AN$23</f>
        <v>0</v>
      </c>
      <c r="BB61" s="583">
        <f t="shared" si="60"/>
        <v>0</v>
      </c>
      <c r="BC61" s="583">
        <f t="shared" si="61"/>
        <v>0</v>
      </c>
      <c r="BD61" s="579">
        <f t="shared" si="33"/>
        <v>0</v>
      </c>
      <c r="BE61" s="580">
        <f t="shared" si="34"/>
        <v>0</v>
      </c>
      <c r="BF61" s="581">
        <f t="shared" si="35"/>
        <v>0</v>
      </c>
      <c r="BG61" s="579">
        <f t="shared" si="88"/>
        <v>0</v>
      </c>
      <c r="BH61" s="580">
        <f t="shared" si="88"/>
        <v>0</v>
      </c>
      <c r="BI61" s="581">
        <f t="shared" si="88"/>
        <v>0</v>
      </c>
      <c r="BJ61" s="285"/>
      <c r="BK61" s="536" t="str">
        <f ca="1">AK61</f>
        <v>INDTF</v>
      </c>
      <c r="BL61" s="578" t="s">
        <v>59</v>
      </c>
      <c r="BM61" s="579">
        <f>SUM(D119:G119)/1000</f>
        <v>56.315992999999999</v>
      </c>
      <c r="BN61" s="580">
        <f>BM61*$AN$23</f>
        <v>50.684393700000001</v>
      </c>
      <c r="BO61" s="583">
        <f t="shared" si="53"/>
        <v>2.8157996500000002</v>
      </c>
      <c r="BP61" s="583">
        <f t="shared" si="54"/>
        <v>2.8157996500000002</v>
      </c>
      <c r="BQ61" s="579">
        <f t="shared" si="38"/>
        <v>50.684393798019805</v>
      </c>
      <c r="BR61" s="580">
        <f t="shared" si="39"/>
        <v>2.8158057267326733</v>
      </c>
      <c r="BS61" s="581">
        <f t="shared" si="40"/>
        <v>2.8158057267326733</v>
      </c>
      <c r="BT61" s="579">
        <f t="shared" si="89"/>
        <v>50.684393798019805</v>
      </c>
      <c r="BU61" s="580">
        <f t="shared" si="89"/>
        <v>2.8158057267326733</v>
      </c>
      <c r="BV61" s="581">
        <f t="shared" si="89"/>
        <v>2.8158057267326733</v>
      </c>
      <c r="BW61" s="285"/>
      <c r="BX61" s="285"/>
      <c r="BY61" s="285"/>
    </row>
    <row r="62" spans="3:77" ht="12.75" customHeight="1">
      <c r="C62" s="173" t="str">
        <f ca="1">+IF(OFFSET(Processes!B43,$D$11,0)="*","*",OFFSET(Processes!D43,$D$11,0))</f>
        <v>INDNDFLTLPGE1</v>
      </c>
      <c r="D62" s="173" t="str">
        <f ca="1">+OFFSET(Processes!E43,$D$11,0)</f>
        <v>Construction Forklifts - LPG Existing 1</v>
      </c>
      <c r="E62" s="172" t="str">
        <f>+Processes!O43</f>
        <v>INDLPG,INDSNG1,INDSNG2</v>
      </c>
      <c r="F62" s="173" t="str">
        <f ca="1">+OFFSET(Processes!$M$12,$D$11,0) &amp; Processes!P43</f>
        <v>INDFL</v>
      </c>
      <c r="G62" s="323">
        <f t="shared" si="18"/>
        <v>0</v>
      </c>
      <c r="H62" s="323">
        <f t="shared" si="19"/>
        <v>0</v>
      </c>
      <c r="I62" s="323">
        <f>ROUNDUP(AP62/($Z62*$AA62)*I$21*Y62,3)</f>
        <v>0</v>
      </c>
      <c r="J62" s="323">
        <f t="shared" si="21"/>
        <v>0</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t="e">
        <f t="shared" si="84"/>
        <v>#REF!</v>
      </c>
      <c r="AJ62" s="285"/>
      <c r="AK62" s="536" t="str">
        <f ca="1">F62</f>
        <v>INDFL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INDFL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INDFL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408"/>
      <c r="AH64" s="408"/>
      <c r="AI64" s="408"/>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79"/>
      <c r="AD67" s="79"/>
      <c r="AE67" s="79"/>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0</v>
      </c>
      <c r="E77" s="14">
        <f t="shared" si="93"/>
        <v>0</v>
      </c>
      <c r="F77" s="14">
        <f t="shared" si="93"/>
        <v>0</v>
      </c>
      <c r="G77" s="14">
        <f t="shared" si="93"/>
        <v>0</v>
      </c>
      <c r="H77" s="14">
        <f t="shared" si="93"/>
        <v>0</v>
      </c>
      <c r="I77" s="14">
        <f t="shared" si="93"/>
        <v>21828.853999999999</v>
      </c>
      <c r="J77" s="14">
        <f t="shared" si="93"/>
        <v>0</v>
      </c>
      <c r="K77" s="14">
        <f t="shared" si="93"/>
        <v>0</v>
      </c>
      <c r="L77" s="14">
        <f t="shared" si="93"/>
        <v>0</v>
      </c>
      <c r="M77" s="14">
        <f t="shared" si="93"/>
        <v>0</v>
      </c>
      <c r="N77" s="14">
        <f t="shared" si="93"/>
        <v>0</v>
      </c>
      <c r="O77" s="86"/>
      <c r="T77" s="48" t="s">
        <v>209</v>
      </c>
      <c r="U77" s="48"/>
      <c r="V77" s="126" t="str">
        <f>+INDEX('Energy matrix'!C4:N4,1,$D$2)</f>
        <v>Construction</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0</v>
      </c>
      <c r="W78" s="117"/>
    </row>
    <row r="79" spans="3:66" ht="12.75" customHeight="1">
      <c r="C79" s="13" t="str">
        <f>$D$152</f>
        <v>Haullage</v>
      </c>
      <c r="D79" s="19">
        <f t="shared" ref="D79:N79" si="95">+INDEX($E152:$O152,1,D$75) * INDEX($V$78:$V$88,D$75,1)</f>
        <v>0</v>
      </c>
      <c r="E79" s="19">
        <f t="shared" si="95"/>
        <v>0</v>
      </c>
      <c r="F79" s="19">
        <f t="shared" si="95"/>
        <v>0</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2432.7000000000003</v>
      </c>
      <c r="N80" s="14">
        <f t="shared" si="96"/>
        <v>0</v>
      </c>
      <c r="O80" s="86"/>
      <c r="T80" s="117" t="str">
        <f>+'Energy matrix'!B7</f>
        <v>Diesel</v>
      </c>
      <c r="U80" s="117"/>
      <c r="V80" s="118">
        <f>+INDEX('Energy matrix'!C7:N7,1,$D$2)</f>
        <v>0</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11304.9</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572.4</v>
      </c>
      <c r="N82" s="14">
        <f t="shared" si="98"/>
        <v>0</v>
      </c>
      <c r="O82" s="86"/>
      <c r="T82" s="117" t="str">
        <f>+'Energy matrix'!B9</f>
        <v>LPG</v>
      </c>
      <c r="U82" s="117"/>
      <c r="V82" s="118">
        <f>+INDEX('Energy matrix'!C9:N9,1,$D$2)</f>
        <v>0</v>
      </c>
      <c r="W82" s="117"/>
    </row>
    <row r="83" spans="3:24" ht="12.75" customHeight="1">
      <c r="C83" s="17" t="s">
        <v>57</v>
      </c>
      <c r="D83" s="18">
        <f t="shared" ref="D83:N83" si="99">SUM(D77:D82)</f>
        <v>0</v>
      </c>
      <c r="E83" s="18">
        <f t="shared" si="99"/>
        <v>0</v>
      </c>
      <c r="F83" s="18">
        <f t="shared" si="99"/>
        <v>0</v>
      </c>
      <c r="G83" s="18">
        <f t="shared" si="99"/>
        <v>0</v>
      </c>
      <c r="H83" s="18">
        <f t="shared" si="99"/>
        <v>0</v>
      </c>
      <c r="I83" s="18">
        <f t="shared" si="99"/>
        <v>21828.853999999999</v>
      </c>
      <c r="J83" s="18">
        <f t="shared" si="99"/>
        <v>0</v>
      </c>
      <c r="K83" s="18">
        <f t="shared" si="99"/>
        <v>0</v>
      </c>
      <c r="L83" s="18">
        <f t="shared" si="99"/>
        <v>0</v>
      </c>
      <c r="M83" s="18">
        <f t="shared" si="99"/>
        <v>14310</v>
      </c>
      <c r="N83" s="18">
        <f t="shared" si="99"/>
        <v>0</v>
      </c>
      <c r="O83" s="86"/>
      <c r="T83" s="117" t="str">
        <f>+'Energy matrix'!B11</f>
        <v>Natural gas</v>
      </c>
      <c r="U83" s="117"/>
      <c r="V83" s="118">
        <f>+INDEX('Energy matrix'!C11:N11,1,$D$2)</f>
        <v>21828.853999999999</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matrix'!B17</f>
        <v>Biomass</v>
      </c>
      <c r="U85" s="117"/>
      <c r="V85" s="118">
        <f>+INDEX('Energy matrix'!C17:N17,1,$D$2)</f>
        <v>0</v>
      </c>
      <c r="W85" s="117"/>
    </row>
    <row r="86" spans="3:24" ht="12.75" customHeight="1">
      <c r="O86" s="86"/>
      <c r="T86" s="117" t="str">
        <f>+'Energy matrix'!B18</f>
        <v>Waste</v>
      </c>
      <c r="U86" s="117"/>
      <c r="V86" s="118">
        <f>+INDEX('Energy matrix'!C18:N18,1,$D$2)</f>
        <v>0</v>
      </c>
      <c r="W86" s="117"/>
    </row>
    <row r="87" spans="3:24" ht="12.75" customHeight="1">
      <c r="O87" s="86"/>
      <c r="T87" s="117" t="str">
        <f>+'Energy matrix'!B19</f>
        <v>Electricity</v>
      </c>
      <c r="U87" s="117"/>
      <c r="V87" s="118">
        <f>+INDEX('Energy matrix'!C19:N19,1,$D$2)</f>
        <v>14310</v>
      </c>
      <c r="W87" s="117"/>
    </row>
    <row r="88" spans="3:24" ht="12.75" customHeight="1">
      <c r="O88" s="86"/>
      <c r="T88" s="122" t="str">
        <f>+'Energy matrix'!B20</f>
        <v>District Heating</v>
      </c>
      <c r="U88" s="122"/>
      <c r="V88" s="123">
        <f>+INDEX('Energy matrix'!C20:N20,1,$D$2)</f>
        <v>0</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36138.853999999999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0</v>
      </c>
      <c r="F97" s="14">
        <f t="shared" si="110"/>
        <v>0</v>
      </c>
      <c r="G97" s="14">
        <f t="shared" si="110"/>
        <v>0</v>
      </c>
      <c r="H97" s="14">
        <f t="shared" si="110"/>
        <v>0</v>
      </c>
      <c r="I97" s="14">
        <f t="shared" si="110"/>
        <v>20875.5</v>
      </c>
      <c r="J97" s="14" t="e">
        <f t="shared" si="110"/>
        <v>#REF!</v>
      </c>
      <c r="K97" s="14">
        <f t="shared" si="110"/>
        <v>0</v>
      </c>
      <c r="L97" s="14">
        <f t="shared" si="110"/>
        <v>0</v>
      </c>
      <c r="M97" s="14">
        <f t="shared" si="110"/>
        <v>0</v>
      </c>
      <c r="N97" s="14">
        <f t="shared" si="110"/>
        <v>0</v>
      </c>
      <c r="O97" s="86"/>
      <c r="R97" s="287"/>
      <c r="S97" s="287"/>
      <c r="T97" s="48" t="s">
        <v>209</v>
      </c>
      <c r="U97" s="48"/>
      <c r="V97" s="126" t="str">
        <f>+INDEX('Energy matrix'!C28:N28,1,$D$2)</f>
        <v>Construction</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0</v>
      </c>
      <c r="W98" s="117"/>
    </row>
    <row r="99" spans="3:24" s="285" customFormat="1" ht="12.75" customHeight="1">
      <c r="C99" s="13" t="str">
        <f>$D$152</f>
        <v>Haullage</v>
      </c>
      <c r="D99" s="19">
        <f t="shared" ref="D99:N99" si="112">+INDEX($E152:$O152,1,D$95) * INDEX($V$98:$V$108,D$95,1)</f>
        <v>0</v>
      </c>
      <c r="E99" s="19">
        <f t="shared" si="112"/>
        <v>0</v>
      </c>
      <c r="F99" s="19">
        <f t="shared" si="112"/>
        <v>0</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2414.34</v>
      </c>
      <c r="N100" s="14">
        <f t="shared" si="113"/>
        <v>0</v>
      </c>
      <c r="O100" s="86"/>
      <c r="R100" s="287"/>
      <c r="S100" s="287"/>
      <c r="T100" s="117" t="str">
        <f>'Energy matrix'!B31</f>
        <v>Diesel</v>
      </c>
      <c r="U100" s="117"/>
      <c r="V100" s="118">
        <f>+INDEX('Energy matrix'!C31:N31,1,$D$2)</f>
        <v>0</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11219.58</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568.08000000000004</v>
      </c>
      <c r="N102" s="14">
        <f t="shared" si="115"/>
        <v>0</v>
      </c>
      <c r="O102" s="86"/>
      <c r="R102" s="287"/>
      <c r="S102" s="287"/>
      <c r="T102" s="117" t="str">
        <f>'Energy matrix'!B33</f>
        <v>LPG</v>
      </c>
      <c r="U102" s="117"/>
      <c r="V102" s="118">
        <f>+INDEX('Energy matrix'!C33:N33,1,$D$2)</f>
        <v>0</v>
      </c>
      <c r="W102" s="117"/>
    </row>
    <row r="103" spans="3:24" s="285" customFormat="1" ht="12.75" customHeight="1">
      <c r="C103" s="17" t="s">
        <v>57</v>
      </c>
      <c r="D103" s="18">
        <f t="shared" ref="D103:N103" si="116">SUM(D97:D102)</f>
        <v>0</v>
      </c>
      <c r="E103" s="18">
        <f t="shared" si="116"/>
        <v>0</v>
      </c>
      <c r="F103" s="18">
        <f t="shared" si="116"/>
        <v>0</v>
      </c>
      <c r="G103" s="18">
        <f t="shared" si="116"/>
        <v>0</v>
      </c>
      <c r="H103" s="18">
        <f t="shared" si="116"/>
        <v>0</v>
      </c>
      <c r="I103" s="18">
        <f t="shared" si="116"/>
        <v>20875.5</v>
      </c>
      <c r="J103" s="18" t="e">
        <f t="shared" si="116"/>
        <v>#REF!</v>
      </c>
      <c r="K103" s="18">
        <f t="shared" si="116"/>
        <v>0</v>
      </c>
      <c r="L103" s="18">
        <f t="shared" si="116"/>
        <v>0</v>
      </c>
      <c r="M103" s="18">
        <f t="shared" si="116"/>
        <v>14202</v>
      </c>
      <c r="N103" s="18">
        <f t="shared" si="116"/>
        <v>0</v>
      </c>
      <c r="O103" s="86"/>
      <c r="R103" s="287"/>
      <c r="S103" s="287"/>
      <c r="T103" s="117" t="str">
        <f>'Energy matrix'!B35</f>
        <v>Natural gas</v>
      </c>
      <c r="U103" s="117"/>
      <c r="V103" s="118">
        <f>+INDEX('Energy matrix'!C35:N35,1,$D$2)</f>
        <v>20875.5</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0</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0</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14202</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0</v>
      </c>
      <c r="E117" s="14">
        <f t="shared" si="127"/>
        <v>0</v>
      </c>
      <c r="F117" s="14">
        <f t="shared" si="127"/>
        <v>0</v>
      </c>
      <c r="G117" s="14">
        <f t="shared" si="127"/>
        <v>0</v>
      </c>
      <c r="H117" s="14" t="e">
        <f t="shared" si="127"/>
        <v>#REF!</v>
      </c>
      <c r="I117" s="14">
        <f t="shared" si="127"/>
        <v>0</v>
      </c>
      <c r="J117" s="14">
        <f t="shared" si="127"/>
        <v>26449.200000000001</v>
      </c>
      <c r="K117" s="14">
        <f t="shared" si="127"/>
        <v>0</v>
      </c>
      <c r="L117" s="14">
        <f t="shared" si="127"/>
        <v>0</v>
      </c>
      <c r="M117" s="14">
        <f t="shared" si="127"/>
        <v>0</v>
      </c>
      <c r="N117" s="14">
        <f t="shared" si="127"/>
        <v>0</v>
      </c>
      <c r="O117" s="86"/>
      <c r="T117" s="48" t="s">
        <v>209</v>
      </c>
      <c r="U117" s="48"/>
      <c r="V117" s="126" t="str">
        <f>+INDEX('Energy matrix'!C52:N52,1,$D$2)</f>
        <v>Construction</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0</v>
      </c>
      <c r="W118" s="117"/>
    </row>
    <row r="119" spans="3:31" ht="12.75" customHeight="1">
      <c r="C119" s="13" t="str">
        <f>$D$152</f>
        <v>Haullage</v>
      </c>
      <c r="D119" s="19">
        <f t="shared" ref="D119:N119" si="129">+INDEX($E152:$O152,1,D$115) * INDEX($V$118:$V$128,D$115,1)</f>
        <v>0</v>
      </c>
      <c r="E119" s="19">
        <f t="shared" si="129"/>
        <v>0</v>
      </c>
      <c r="F119" s="19">
        <f t="shared" si="129"/>
        <v>53229.48</v>
      </c>
      <c r="G119" s="19">
        <f t="shared" si="129"/>
        <v>3086.5129999999999</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matrix'!B55</f>
        <v>Diesel</v>
      </c>
      <c r="U120" s="117"/>
      <c r="V120" s="118">
        <f>+INDEX('Energy matrix'!C55:N55,1,$D$2)</f>
        <v>53229.48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matrix'!B56</f>
        <v>Gasoline</v>
      </c>
      <c r="U121" s="117"/>
      <c r="V121" s="118">
        <f>+INDEX('Energy matrix'!C56:N56,1,$D$2)</f>
        <v>3086.5129999999999</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17344.8</v>
      </c>
      <c r="O122" s="86"/>
      <c r="T122" s="117" t="e">
        <f>'Energy matrix'!#REF!</f>
        <v>#REF!</v>
      </c>
      <c r="U122" s="117"/>
      <c r="V122" s="118" t="e">
        <f>+_xlfn.SINGLE(INDEX('Energy matrix'!#REF!,1,$D$2))</f>
        <v>#REF!</v>
      </c>
      <c r="W122" s="117"/>
    </row>
    <row r="123" spans="3:31" ht="12.75" customHeight="1">
      <c r="C123" s="17" t="s">
        <v>57</v>
      </c>
      <c r="D123" s="18">
        <f t="shared" ref="D123:N123" si="133">SUM(D117:D122)</f>
        <v>0</v>
      </c>
      <c r="E123" s="18">
        <f t="shared" si="133"/>
        <v>0</v>
      </c>
      <c r="F123" s="18">
        <f t="shared" si="133"/>
        <v>53229.48</v>
      </c>
      <c r="G123" s="18">
        <f t="shared" si="133"/>
        <v>3086.5129999999999</v>
      </c>
      <c r="H123" s="18" t="e">
        <f t="shared" si="133"/>
        <v>#REF!</v>
      </c>
      <c r="I123" s="18">
        <f t="shared" si="133"/>
        <v>0</v>
      </c>
      <c r="J123" s="18">
        <f t="shared" si="133"/>
        <v>26449.200000000001</v>
      </c>
      <c r="K123" s="18">
        <f t="shared" si="133"/>
        <v>0</v>
      </c>
      <c r="L123" s="18">
        <f t="shared" si="133"/>
        <v>0</v>
      </c>
      <c r="M123" s="18">
        <f t="shared" si="133"/>
        <v>0</v>
      </c>
      <c r="N123" s="18">
        <f t="shared" si="133"/>
        <v>17344.8</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26449.200000000001</v>
      </c>
      <c r="W124" s="117"/>
    </row>
    <row r="125" spans="3:31" ht="12.75" customHeight="1">
      <c r="E125" s="25"/>
      <c r="F125" s="25"/>
      <c r="G125" s="25"/>
      <c r="H125" s="25"/>
      <c r="I125" s="25"/>
      <c r="J125" s="25"/>
      <c r="K125" s="25"/>
      <c r="O125" s="86"/>
      <c r="T125" s="117" t="str">
        <f>'Energy matrix'!B60</f>
        <v>Biogas</v>
      </c>
      <c r="U125" s="117"/>
      <c r="V125" s="118">
        <f>+INDEX('Energy matrix'!C60:N60,1,$D$2)</f>
        <v>0</v>
      </c>
      <c r="W125" s="117"/>
    </row>
    <row r="126" spans="3:31" ht="12.75" customHeight="1">
      <c r="O126" s="86"/>
      <c r="T126" s="117" t="str">
        <f>'Energy matrix'!B65</f>
        <v>Biomass</v>
      </c>
      <c r="U126" s="117"/>
      <c r="V126" s="118">
        <f>+INDEX('Energy matrix'!C65:N65,1,$D$2)</f>
        <v>0</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17344.8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f>1-(V90-V88-V86-V80-V81)/V90</f>
        <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509</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012 Construction</v>
      </c>
      <c r="D150" s="13" t="s">
        <v>534</v>
      </c>
      <c r="E150" s="22">
        <v>1</v>
      </c>
      <c r="F150" s="410">
        <v>0</v>
      </c>
      <c r="G150" s="22"/>
      <c r="H150" s="22">
        <v>0</v>
      </c>
      <c r="I150" s="22">
        <v>0.25</v>
      </c>
      <c r="J150" s="410">
        <v>1</v>
      </c>
      <c r="K150" s="22">
        <v>1</v>
      </c>
      <c r="L150" s="22">
        <v>1</v>
      </c>
      <c r="M150" s="22">
        <v>1</v>
      </c>
      <c r="N150" s="22"/>
      <c r="O150" s="22"/>
      <c r="P150" s="34"/>
      <c r="Q150" s="34"/>
      <c r="R150" s="25"/>
      <c r="S150" s="25"/>
      <c r="W150" s="285"/>
      <c r="X150" s="285"/>
      <c r="Z150" s="25"/>
      <c r="AA150" s="25"/>
    </row>
    <row r="151" spans="3:27">
      <c r="C151" s="15"/>
      <c r="D151" s="13" t="s">
        <v>535</v>
      </c>
      <c r="E151" s="22"/>
      <c r="F151" s="22"/>
      <c r="G151" s="22"/>
      <c r="H151" s="22">
        <v>0</v>
      </c>
      <c r="I151" s="22"/>
      <c r="J151" s="22"/>
      <c r="K151" s="22">
        <v>0</v>
      </c>
      <c r="L151" s="610"/>
      <c r="M151" s="22">
        <v>0</v>
      </c>
      <c r="N151" s="22">
        <v>0</v>
      </c>
      <c r="O151" s="22">
        <v>0</v>
      </c>
      <c r="P151" s="34"/>
      <c r="Q151" s="34"/>
      <c r="R151" s="25"/>
      <c r="S151" s="25"/>
      <c r="W151" s="285"/>
      <c r="X151" s="285"/>
      <c r="Z151" s="25"/>
      <c r="AA151" s="25"/>
    </row>
    <row r="152" spans="3:27">
      <c r="C152" s="15"/>
      <c r="D152" s="13" t="s">
        <v>536</v>
      </c>
      <c r="E152" s="22">
        <v>0</v>
      </c>
      <c r="F152" s="410">
        <v>1</v>
      </c>
      <c r="G152" s="22">
        <v>1</v>
      </c>
      <c r="H152" s="611">
        <v>1</v>
      </c>
      <c r="I152" s="22">
        <v>0.75</v>
      </c>
      <c r="J152" s="410"/>
      <c r="K152" s="22">
        <v>0</v>
      </c>
      <c r="L152" s="22"/>
      <c r="M152" s="22">
        <v>0</v>
      </c>
      <c r="N152" s="22">
        <v>0</v>
      </c>
      <c r="O152" s="22">
        <v>0</v>
      </c>
      <c r="P152" s="34"/>
      <c r="Q152" s="34"/>
      <c r="R152" s="25"/>
      <c r="S152" s="25"/>
      <c r="W152" s="285"/>
      <c r="X152" s="285"/>
      <c r="Z152" s="25"/>
      <c r="AA152" s="25"/>
    </row>
    <row r="153" spans="3:27">
      <c r="C153" s="15"/>
      <c r="D153" s="13" t="s">
        <v>537</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Z153" s="25"/>
      <c r="AA153" s="25"/>
    </row>
    <row r="154" spans="3:27">
      <c r="C154" s="15"/>
      <c r="D154" s="13" t="s">
        <v>538</v>
      </c>
      <c r="E154" s="22">
        <v>0</v>
      </c>
      <c r="F154" s="22">
        <v>0</v>
      </c>
      <c r="G154" s="22">
        <v>0</v>
      </c>
      <c r="H154" s="22">
        <v>0</v>
      </c>
      <c r="I154" s="22">
        <v>0</v>
      </c>
      <c r="J154" s="22">
        <v>0</v>
      </c>
      <c r="K154" s="22">
        <v>0</v>
      </c>
      <c r="L154" s="22">
        <v>0</v>
      </c>
      <c r="M154" s="22">
        <v>0</v>
      </c>
      <c r="N154" s="22">
        <v>0.79</v>
      </c>
      <c r="O154" s="22">
        <v>0</v>
      </c>
      <c r="P154" s="34"/>
      <c r="Q154" s="34"/>
      <c r="R154" s="25"/>
      <c r="S154" s="25"/>
      <c r="W154" s="285"/>
      <c r="X154" s="285"/>
      <c r="Z154" s="25"/>
      <c r="AA154" s="25"/>
    </row>
    <row r="155" spans="3:27">
      <c r="C155" s="16"/>
      <c r="D155" s="13" t="s">
        <v>539</v>
      </c>
      <c r="E155" s="22"/>
      <c r="F155" s="22"/>
      <c r="G155" s="22"/>
      <c r="H155" s="22"/>
      <c r="I155" s="22"/>
      <c r="J155" s="22"/>
      <c r="K155" s="22"/>
      <c r="L155" s="22"/>
      <c r="M155" s="22"/>
      <c r="N155" s="22">
        <v>0.04</v>
      </c>
      <c r="O155" s="22">
        <v>1</v>
      </c>
      <c r="P155" s="34"/>
      <c r="Q155" s="34"/>
      <c r="R155" s="25"/>
      <c r="S155" s="25"/>
      <c r="W155" s="285"/>
      <c r="X155" s="285"/>
      <c r="Z155" s="25"/>
      <c r="AA155" s="25"/>
    </row>
    <row r="156" spans="3:27">
      <c r="C156" s="17" t="str">
        <f>C150</f>
        <v>012 Construction</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topLeftCell="D1" zoomScale="125" zoomScaleNormal="70" workbookViewId="0">
      <selection activeCell="X83" sqref="X83"/>
    </sheetView>
  </sheetViews>
  <sheetFormatPr baseColWidth="10" defaultColWidth="9.1640625" defaultRowHeight="14"/>
  <cols>
    <col min="1" max="1" width="3.5" style="285" customWidth="1"/>
    <col min="2" max="2" width="24.5" style="285" customWidth="1"/>
    <col min="3" max="3" width="19.1640625" style="285" customWidth="1"/>
    <col min="4" max="4" width="57.5" style="285" customWidth="1"/>
    <col min="5" max="5" width="25.5" style="63" customWidth="1"/>
    <col min="6" max="6" width="11.83203125" style="63" bestFit="1" customWidth="1"/>
    <col min="7" max="11" width="12.33203125" style="288" customWidth="1"/>
    <col min="12" max="15" width="12.33203125" style="285" customWidth="1"/>
    <col min="16" max="16" width="9" style="285" customWidth="1"/>
    <col min="17" max="17" width="9.83203125" style="285" customWidth="1"/>
    <col min="18" max="18" width="9.33203125" style="287" customWidth="1"/>
    <col min="19" max="19" width="9.1640625" style="287" customWidth="1"/>
    <col min="20" max="21" width="9.5" style="285" customWidth="1"/>
    <col min="22" max="22" width="10" style="285" customWidth="1"/>
    <col min="23" max="23" width="8.6640625" style="285" customWidth="1"/>
    <col min="24" max="24" width="8.1640625" style="285" customWidth="1"/>
    <col min="25" max="25" width="7.1640625" style="285" bestFit="1" customWidth="1"/>
    <col min="26" max="27" width="5.5" style="285" bestFit="1" customWidth="1"/>
    <col min="28" max="28" width="5.5" style="285" customWidth="1"/>
    <col min="29" max="31" width="9.1640625" style="285"/>
    <col min="32" max="33" width="10.5" style="285" customWidth="1"/>
    <col min="34" max="40" width="9.1640625" style="285"/>
    <col min="41" max="41" width="10.33203125" style="285" customWidth="1"/>
    <col min="42" max="43" width="9.1640625" style="285"/>
    <col min="44" max="44" width="8.5" style="285" customWidth="1"/>
    <col min="45" max="16384" width="9.1640625" style="285"/>
  </cols>
  <sheetData>
    <row r="1" spans="3:22" ht="12.75" customHeight="1"/>
    <row r="2" spans="3:22" ht="12.75" customHeight="1">
      <c r="C2" s="62" t="s">
        <v>196</v>
      </c>
      <c r="D2" s="131">
        <v>13</v>
      </c>
      <c r="E2" s="70" t="s">
        <v>199</v>
      </c>
      <c r="F2" s="70"/>
      <c r="G2" s="70"/>
      <c r="H2" s="70"/>
    </row>
    <row r="3" spans="3:22" ht="12.75" customHeight="1">
      <c r="E3" s="285"/>
    </row>
    <row r="4" spans="3:22" ht="12.75" customHeight="1" thickBot="1">
      <c r="C4" s="62" t="s">
        <v>198</v>
      </c>
      <c r="D4" s="64" t="s">
        <v>135</v>
      </c>
      <c r="E4" s="285"/>
    </row>
    <row r="5" spans="3:22" ht="12.75" customHeight="1">
      <c r="C5" s="62" t="s">
        <v>201</v>
      </c>
      <c r="D5" s="70" t="str">
        <f>+INDEX(Commodities!$X$6:$X$18,D2)</f>
        <v>Other comm</v>
      </c>
      <c r="E5" s="285"/>
      <c r="F5" s="197"/>
      <c r="G5" s="198"/>
    </row>
    <row r="6" spans="3:22" ht="12.75" customHeight="1">
      <c r="C6" s="62"/>
      <c r="D6" s="70" t="str">
        <f>+INDEX(Commodities!$Y$6:$Y$18,D2)</f>
        <v>013 Non-specified</v>
      </c>
      <c r="E6" s="285"/>
      <c r="F6" s="202" t="str">
        <f ca="1">+"Give 'Index' in cell " &amp; SUBSTITUTE(CELL("address",D2),"$","") &amp; "."</f>
        <v>Give 'Index' in cell D2.</v>
      </c>
      <c r="G6" s="201"/>
    </row>
    <row r="7" spans="3:22" ht="12.75" customHeight="1">
      <c r="E7" s="285"/>
      <c r="F7" s="202" t="s">
        <v>221</v>
      </c>
      <c r="G7" s="201"/>
    </row>
    <row r="8" spans="3:22" ht="12.75" customHeight="1" thickBot="1">
      <c r="C8" s="62" t="s">
        <v>198</v>
      </c>
      <c r="D8" s="64" t="s">
        <v>136</v>
      </c>
      <c r="E8" s="285"/>
      <c r="F8" s="199"/>
      <c r="G8" s="200"/>
    </row>
    <row r="9" spans="3:22" ht="12.75" customHeight="1">
      <c r="C9" s="62" t="s">
        <v>201</v>
      </c>
      <c r="D9" s="70" t="str">
        <f ca="1">+OFFSET(Processes!$M$11,D11,0)</f>
        <v>013 Non-specified</v>
      </c>
      <c r="E9" s="285"/>
    </row>
    <row r="10" spans="3:22" ht="12.75" customHeight="1">
      <c r="C10" s="62" t="s">
        <v>154</v>
      </c>
      <c r="D10" s="70">
        <f>+ROW(Processes!$M$44) - ROW(Processes!$M$7)</f>
        <v>37</v>
      </c>
      <c r="E10" s="285"/>
    </row>
    <row r="11" spans="3:22" ht="12.75" customHeight="1">
      <c r="C11" s="62" t="s">
        <v>194</v>
      </c>
      <c r="D11" s="70">
        <f>+$D$10*$D$2-$D$10</f>
        <v>444</v>
      </c>
      <c r="E11" s="285"/>
    </row>
    <row r="12" spans="3:22" ht="12.75" customHeight="1">
      <c r="E12" s="285"/>
    </row>
    <row r="13" spans="3:22" ht="12.75" customHeight="1">
      <c r="C13" s="62" t="s">
        <v>198</v>
      </c>
      <c r="D13" s="64" t="s">
        <v>195</v>
      </c>
      <c r="E13" s="285"/>
      <c r="G13" s="112"/>
      <c r="H13" s="112"/>
      <c r="I13" s="112"/>
      <c r="J13" s="112"/>
      <c r="K13" s="112"/>
      <c r="L13" s="112"/>
      <c r="M13" s="112"/>
      <c r="N13" s="112"/>
    </row>
    <row r="14" spans="3:22" ht="12.75" customHeight="1">
      <c r="C14" s="62" t="s">
        <v>201</v>
      </c>
      <c r="D14" s="70" t="str">
        <f>+INDEX('Energy matrix'!$C$4:$O$4,1,D2)</f>
        <v>Non-specified</v>
      </c>
      <c r="E14" s="285"/>
    </row>
    <row r="15" spans="3:22" ht="12.75" customHeight="1">
      <c r="D15" s="287"/>
      <c r="E15" s="285"/>
      <c r="L15" s="288"/>
      <c r="M15" s="288"/>
      <c r="R15" s="285"/>
      <c r="S15" s="285"/>
      <c r="T15" s="287"/>
      <c r="U15" s="287"/>
    </row>
    <row r="16" spans="3:22" ht="12.75" customHeight="1">
      <c r="C16" s="287"/>
      <c r="D16" s="524"/>
      <c r="E16" s="287"/>
      <c r="L16" s="288"/>
      <c r="M16" s="288"/>
      <c r="R16" s="285"/>
      <c r="S16" s="285"/>
      <c r="U16" s="287"/>
      <c r="V16" s="287"/>
    </row>
    <row r="17" spans="3:74" ht="12.75" customHeight="1">
      <c r="C17" s="287"/>
      <c r="D17" s="429"/>
      <c r="E17" s="287"/>
      <c r="L17" s="288"/>
      <c r="M17" s="288"/>
      <c r="N17" s="288"/>
      <c r="O17" s="288"/>
      <c r="R17" s="285"/>
      <c r="S17" s="285"/>
      <c r="X17" s="287"/>
      <c r="Y17" s="287"/>
      <c r="Z17" s="287"/>
    </row>
    <row r="18" spans="3:74" ht="12.75" customHeight="1">
      <c r="C18" s="287"/>
      <c r="D18" s="524"/>
      <c r="E18" s="287"/>
      <c r="L18" s="288"/>
      <c r="M18" s="288"/>
      <c r="N18" s="288"/>
      <c r="O18" s="288"/>
      <c r="P18" s="288"/>
      <c r="R18" s="285"/>
      <c r="S18" s="285"/>
      <c r="Z18" s="287"/>
      <c r="AA18" s="287"/>
      <c r="AB18" s="286"/>
      <c r="BK18" s="548"/>
      <c r="BL18" s="291"/>
      <c r="BM18" s="293"/>
      <c r="BN18" s="293"/>
      <c r="BO18" s="293"/>
      <c r="BP18" s="293"/>
      <c r="BQ18" s="291"/>
      <c r="BR18" s="291"/>
      <c r="BS18" s="291"/>
      <c r="BT18" s="291"/>
      <c r="BU18" s="291"/>
      <c r="BV18" s="291"/>
    </row>
    <row r="19" spans="3:74" ht="12.75" customHeight="1">
      <c r="C19" s="287"/>
      <c r="D19" s="287"/>
      <c r="E19" s="287"/>
      <c r="G19" s="512" t="s">
        <v>62</v>
      </c>
      <c r="H19" s="512"/>
      <c r="I19" s="519"/>
      <c r="J19" s="512"/>
      <c r="K19" s="512"/>
      <c r="L19" s="519"/>
      <c r="M19" s="512"/>
      <c r="N19" s="512"/>
      <c r="O19" s="512"/>
      <c r="P19" s="288"/>
      <c r="R19" s="285"/>
      <c r="S19" s="397"/>
      <c r="AB19" s="339"/>
      <c r="AK19" s="655">
        <v>2010</v>
      </c>
      <c r="AL19" s="350"/>
      <c r="AM19" s="337"/>
      <c r="AN19" s="337"/>
      <c r="AO19" s="337"/>
      <c r="AP19" s="337"/>
      <c r="AQ19" s="350"/>
      <c r="AR19" s="350"/>
      <c r="AS19" s="350"/>
      <c r="AT19" s="350"/>
      <c r="AU19" s="350"/>
      <c r="AV19" s="351"/>
      <c r="AX19" s="655">
        <v>2015</v>
      </c>
      <c r="AY19" s="350"/>
      <c r="AZ19" s="337"/>
      <c r="BA19" s="337"/>
      <c r="BB19" s="337"/>
      <c r="BC19" s="337"/>
      <c r="BD19" s="350"/>
      <c r="BE19" s="350"/>
      <c r="BF19" s="350"/>
      <c r="BG19" s="350"/>
      <c r="BH19" s="350"/>
      <c r="BI19" s="351"/>
      <c r="BK19" s="655">
        <v>2019</v>
      </c>
      <c r="BL19" s="350"/>
      <c r="BM19" s="337"/>
      <c r="BN19" s="337"/>
      <c r="BO19" s="337"/>
      <c r="BP19" s="337"/>
      <c r="BQ19" s="350"/>
      <c r="BR19" s="350"/>
      <c r="BS19" s="350"/>
      <c r="BT19" s="350"/>
      <c r="BU19" s="350"/>
      <c r="BV19" s="351"/>
    </row>
    <row r="20" spans="3:74" ht="12.75" customHeight="1">
      <c r="E20" s="285"/>
      <c r="G20" s="513">
        <v>2010</v>
      </c>
      <c r="H20" s="513"/>
      <c r="I20" s="520"/>
      <c r="J20" s="513">
        <v>2015</v>
      </c>
      <c r="K20" s="513"/>
      <c r="L20" s="520"/>
      <c r="M20" s="513">
        <v>2019</v>
      </c>
      <c r="N20" s="513"/>
      <c r="O20" s="513"/>
      <c r="P20" s="296"/>
      <c r="Q20" s="297"/>
      <c r="R20" s="297"/>
      <c r="S20" s="296"/>
      <c r="T20" s="449"/>
      <c r="U20" s="449"/>
      <c r="V20" s="287"/>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X20" s="656"/>
      <c r="AY20" s="291"/>
      <c r="AZ20" s="291"/>
      <c r="BA20" s="291"/>
      <c r="BB20" s="291"/>
      <c r="BC20" s="291"/>
      <c r="BD20" s="291"/>
      <c r="BE20" s="291"/>
      <c r="BF20" s="291"/>
      <c r="BG20" s="291"/>
      <c r="BH20" s="291"/>
      <c r="BI20" s="292"/>
      <c r="BK20" s="656"/>
      <c r="BL20" s="291"/>
      <c r="BM20" s="291"/>
      <c r="BN20" s="291"/>
      <c r="BO20" s="291"/>
      <c r="BP20" s="291"/>
      <c r="BQ20" s="291"/>
      <c r="BR20" s="291"/>
      <c r="BS20" s="291"/>
      <c r="BT20" s="291"/>
      <c r="BU20" s="291"/>
      <c r="BV20" s="292"/>
    </row>
    <row r="21" spans="3:74" ht="12.75" customHeight="1">
      <c r="E21" s="285"/>
      <c r="F21" s="294"/>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450"/>
      <c r="U21" s="450"/>
      <c r="V21" s="287"/>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X21" s="657"/>
      <c r="AY21" s="291"/>
      <c r="AZ21" s="291"/>
      <c r="BA21" s="358" t="s">
        <v>96</v>
      </c>
      <c r="BB21" s="350"/>
      <c r="BC21" s="351"/>
      <c r="BD21" s="291"/>
      <c r="BE21" s="291"/>
      <c r="BF21" s="291"/>
      <c r="BG21" s="291"/>
      <c r="BH21" s="291"/>
      <c r="BI21" s="292"/>
      <c r="BK21" s="657"/>
      <c r="BL21" s="291"/>
      <c r="BM21" s="291"/>
      <c r="BN21" s="358" t="s">
        <v>96</v>
      </c>
      <c r="BO21" s="350"/>
      <c r="BP21" s="351"/>
      <c r="BQ21" s="291"/>
      <c r="BR21" s="291"/>
      <c r="BS21" s="291"/>
      <c r="BT21" s="291"/>
      <c r="BU21" s="291"/>
      <c r="BV21" s="292"/>
    </row>
    <row r="22" spans="3:74" ht="12.75" customHeight="1">
      <c r="F22" s="300"/>
      <c r="G22" s="300"/>
      <c r="H22" s="300"/>
      <c r="I22" s="300"/>
      <c r="L22" s="288"/>
      <c r="M22" s="300"/>
      <c r="N22" s="300"/>
      <c r="O22" s="300"/>
      <c r="P22" s="288"/>
      <c r="Q22" s="314"/>
      <c r="R22" s="314"/>
      <c r="S22" s="314"/>
      <c r="T22" s="451"/>
      <c r="U22" s="451"/>
      <c r="V22" s="451"/>
      <c r="W22" s="300"/>
      <c r="X22" s="301"/>
      <c r="Y22" s="301"/>
      <c r="Z22" s="301"/>
      <c r="AA22" s="301"/>
      <c r="AB22" s="340"/>
      <c r="AK22" s="547"/>
      <c r="AL22" s="291"/>
      <c r="AM22" s="291"/>
      <c r="AN22" s="290" t="s">
        <v>424</v>
      </c>
      <c r="AO22" s="291" t="s">
        <v>425</v>
      </c>
      <c r="AP22" s="292" t="s">
        <v>525</v>
      </c>
      <c r="AQ22" s="291"/>
      <c r="AR22" s="291"/>
      <c r="AS22" s="291"/>
      <c r="AT22" s="291"/>
      <c r="AU22" s="291"/>
      <c r="AV22" s="292"/>
      <c r="AX22" s="547"/>
      <c r="AY22" s="291"/>
      <c r="AZ22" s="291"/>
      <c r="BA22" s="290" t="s">
        <v>424</v>
      </c>
      <c r="BB22" s="291" t="s">
        <v>425</v>
      </c>
      <c r="BC22" s="292" t="s">
        <v>525</v>
      </c>
      <c r="BD22" s="291"/>
      <c r="BE22" s="291"/>
      <c r="BF22" s="291"/>
      <c r="BG22" s="291"/>
      <c r="BH22" s="291"/>
      <c r="BI22" s="292"/>
      <c r="BK22" s="547"/>
      <c r="BL22" s="291"/>
      <c r="BM22" s="291"/>
      <c r="BN22" s="290" t="s">
        <v>424</v>
      </c>
      <c r="BO22" s="291" t="s">
        <v>425</v>
      </c>
      <c r="BP22" s="292" t="s">
        <v>525</v>
      </c>
      <c r="BQ22" s="291"/>
      <c r="BR22" s="291"/>
      <c r="BS22" s="291"/>
      <c r="BT22" s="291"/>
      <c r="BU22" s="291"/>
      <c r="BV22" s="292"/>
    </row>
    <row r="23" spans="3:74" ht="12.75" customHeight="1">
      <c r="F23" s="302" t="s">
        <v>8</v>
      </c>
      <c r="G23" s="302"/>
      <c r="H23" s="302"/>
      <c r="I23" s="302"/>
      <c r="L23" s="288"/>
      <c r="M23" s="302"/>
      <c r="N23" s="302"/>
      <c r="O23" s="302"/>
      <c r="P23" s="303"/>
      <c r="Q23" s="315"/>
      <c r="R23" s="315"/>
      <c r="S23" s="315"/>
      <c r="T23" s="452"/>
      <c r="U23" s="452"/>
      <c r="V23" s="452"/>
      <c r="W23" s="302"/>
      <c r="X23" s="301"/>
      <c r="Y23" s="301"/>
      <c r="Z23" s="301"/>
      <c r="AA23" s="301"/>
      <c r="AB23" s="341"/>
      <c r="AK23" s="290"/>
      <c r="AL23" s="293"/>
      <c r="AM23" s="291"/>
      <c r="AN23" s="608" cm="1">
        <f t="array" ref="AN23">INDEX(RegSplit!$B$4:$AN$6,MATCH(AN22,RegSplit!$A$4:$A$6,0),MATCH($D$6&amp;AK19,RegSplit!$B$2:$AN$2&amp;RegSplit!$B$3:$AN$3,0))</f>
        <v>0.9</v>
      </c>
      <c r="AO23" s="609" cm="1">
        <f t="array" ref="AO23">INDEX(RegSplit!$B$4:$AN$6,MATCH(AO22,RegSplit!$A$4:$A$6,0),MATCH($D$6&amp;AK19,RegSplit!$B$2:$AN$2&amp;RegSplit!$B$3:$AN$3,0))</f>
        <v>0.05</v>
      </c>
      <c r="AP23" s="609" cm="1">
        <f t="array" ref="AP23">INDEX(RegSplit!$B$4:$AN$6,MATCH(AP22,RegSplit!$A$4:$A$6,0),MATCH($D$6&amp;AK19,RegSplit!$B$2:$AN$2&amp;RegSplit!$B$3:$AN$3,0))</f>
        <v>0.05</v>
      </c>
      <c r="AQ23" s="291"/>
      <c r="AR23" s="291"/>
      <c r="AS23" s="291"/>
      <c r="AT23" s="291"/>
      <c r="AU23" s="291"/>
      <c r="AV23" s="292"/>
      <c r="AX23" s="290"/>
      <c r="AY23" s="293"/>
      <c r="AZ23" s="291"/>
      <c r="BA23" s="608" cm="1">
        <f t="array" ref="BA23">INDEX(RegSplit!$B$4:$AN$6,MATCH(BA22,RegSplit!$A$4:$A$6,0),MATCH($D$6&amp;AX19,RegSplit!$B$2:$AN$2&amp;RegSplit!$B$3:$AN$3,0))</f>
        <v>0.9</v>
      </c>
      <c r="BB23" s="609" cm="1">
        <f t="array" ref="BB23">INDEX(RegSplit!$B$4:$AN$6,MATCH(BB22,RegSplit!$A$4:$A$6,0),MATCH($D$6&amp;AX19,RegSplit!$B$2:$AN$2&amp;RegSplit!$B$3:$AN$3,0))</f>
        <v>0.05</v>
      </c>
      <c r="BC23" s="609" cm="1">
        <f t="array" ref="BC23">INDEX(RegSplit!$B$4:$AN$6,MATCH(BC22,RegSplit!$A$4:$A$6,0),MATCH($D$6&amp;AX19,RegSplit!$B$2:$AN$2&amp;RegSplit!$B$3:$AN$3,0))</f>
        <v>0.05</v>
      </c>
      <c r="BD23" s="291"/>
      <c r="BE23" s="291"/>
      <c r="BF23" s="291"/>
      <c r="BG23" s="291"/>
      <c r="BH23" s="291"/>
      <c r="BI23" s="292"/>
      <c r="BK23" s="290"/>
      <c r="BL23" s="293"/>
      <c r="BM23" s="291"/>
      <c r="BN23" s="608" cm="1">
        <f t="array" ref="BN23">INDEX(RegSplit!$B$4:$AN$6,MATCH(BN22,RegSplit!$A$4:$A$6,0),MATCH($D$6&amp;BK19,RegSplit!$B$2:$AN$2&amp;RegSplit!$B$3:$AN$3,0))</f>
        <v>0.9</v>
      </c>
      <c r="BO23" s="609" cm="1">
        <f t="array" ref="BO23">INDEX(RegSplit!$B$4:$AN$6,MATCH(BO22,RegSplit!$A$4:$A$6,0),MATCH($D$6&amp;BK19,RegSplit!$B$2:$AN$2&amp;RegSplit!$B$3:$AN$3,0))</f>
        <v>0.05</v>
      </c>
      <c r="BP23" s="609" cm="1">
        <f t="array" ref="BP23">INDEX(RegSplit!$B$4:$AN$6,MATCH(BP22,RegSplit!$A$4:$A$6,0),MATCH($D$6&amp;BK19,RegSplit!$B$2:$AN$2&amp;RegSplit!$B$3:$AN$3,0))</f>
        <v>0.05</v>
      </c>
      <c r="BQ23" s="291"/>
      <c r="BR23" s="291"/>
      <c r="BS23" s="291"/>
      <c r="BT23" s="291"/>
      <c r="BU23" s="291"/>
      <c r="BV23" s="292"/>
    </row>
    <row r="24" spans="3:74" ht="25.5" customHeight="1">
      <c r="C24" s="289" t="s">
        <v>2</v>
      </c>
      <c r="D24" s="289" t="s">
        <v>26</v>
      </c>
      <c r="E24" s="289" t="s">
        <v>14</v>
      </c>
      <c r="F24" s="289"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K24" s="290"/>
      <c r="AL24" s="291"/>
      <c r="AM24" s="542" t="s">
        <v>300</v>
      </c>
      <c r="AN24" s="543"/>
      <c r="AO24" s="350"/>
      <c r="AP24" s="351"/>
      <c r="AQ24" s="542" t="s">
        <v>96</v>
      </c>
      <c r="AR24" s="543"/>
      <c r="AS24" s="544"/>
      <c r="AT24" s="542" t="s">
        <v>301</v>
      </c>
      <c r="AU24" s="543"/>
      <c r="AV24" s="544"/>
      <c r="AX24" s="290"/>
      <c r="AY24" s="291"/>
      <c r="AZ24" s="542" t="s">
        <v>300</v>
      </c>
      <c r="BA24" s="526"/>
      <c r="BB24" s="291"/>
      <c r="BC24" s="292"/>
      <c r="BD24" s="542" t="s">
        <v>96</v>
      </c>
      <c r="BE24" s="543"/>
      <c r="BF24" s="544"/>
      <c r="BG24" s="542" t="s">
        <v>301</v>
      </c>
      <c r="BH24" s="543"/>
      <c r="BI24" s="544"/>
      <c r="BK24" s="290"/>
      <c r="BL24" s="291"/>
      <c r="BM24" s="542" t="s">
        <v>300</v>
      </c>
      <c r="BN24" s="543"/>
      <c r="BO24" s="350"/>
      <c r="BP24" s="351"/>
      <c r="BQ24" s="542" t="s">
        <v>96</v>
      </c>
      <c r="BR24" s="543"/>
      <c r="BS24" s="544"/>
      <c r="BT24" s="542" t="s">
        <v>301</v>
      </c>
      <c r="BU24" s="543"/>
      <c r="BV24" s="544"/>
    </row>
    <row r="25" spans="3:74" ht="25" thickBot="1">
      <c r="C25" s="305" t="s">
        <v>27</v>
      </c>
      <c r="D25" s="305"/>
      <c r="E25" s="305"/>
      <c r="F25" s="305"/>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K25" s="531"/>
      <c r="BL25" s="539" t="s">
        <v>44</v>
      </c>
      <c r="BM25" s="527" t="s">
        <v>105</v>
      </c>
      <c r="BN25" s="528" t="s">
        <v>424</v>
      </c>
      <c r="BO25" s="528" t="s">
        <v>425</v>
      </c>
      <c r="BP25" s="529" t="s">
        <v>525</v>
      </c>
      <c r="BQ25" s="527" t="s">
        <v>424</v>
      </c>
      <c r="BR25" s="528" t="s">
        <v>425</v>
      </c>
      <c r="BS25" s="529" t="s">
        <v>525</v>
      </c>
      <c r="BT25" s="527" t="s">
        <v>424</v>
      </c>
      <c r="BU25" s="528" t="s">
        <v>425</v>
      </c>
      <c r="BV25" s="529" t="s">
        <v>525</v>
      </c>
    </row>
    <row r="26" spans="3:74" ht="12.75" customHeight="1">
      <c r="C26" s="146" t="str">
        <f ca="1">+IF(OFFSET(Processes!B7,$D$11,0)="*","*",OFFSET(Processes!D7,$D$11,0))</f>
        <v>INDODPHBNGAE1</v>
      </c>
      <c r="D26" s="146" t="str">
        <f ca="1">+OFFSET(Processes!E7,$D$11,0)</f>
        <v>Other comm Heat Medium Temp. Boiler - Nat. Gas Existing 1</v>
      </c>
      <c r="E26" s="149" t="str">
        <f>+Processes!O7</f>
        <v>INDSNG1,INDSNG2,INDNGA</v>
      </c>
      <c r="F26" s="149" t="str">
        <f ca="1">+OFFSET(Processes!$M$12,$D$11,0) &amp; Processes!P7</f>
        <v>IODPH</v>
      </c>
      <c r="G26" s="322">
        <f>ROUNDUP(AN26/($Z26*$AA26)*G$21*W26,3)</f>
        <v>1540.2749999999999</v>
      </c>
      <c r="H26" s="322">
        <f t="shared" ref="H26:I26" si="0">ROUNDUP(AO26/($Z26*$AA26)*H$21*X26,3)</f>
        <v>85.570999999999998</v>
      </c>
      <c r="I26" s="322">
        <f t="shared" si="0"/>
        <v>85.570999999999998</v>
      </c>
      <c r="J26" s="322">
        <f>ROUNDUP(BA26/($Z26*$AA26)*J$21*W26,3)</f>
        <v>1564.223</v>
      </c>
      <c r="K26" s="322">
        <f>ROUNDUP(BB26/($Z26*$AA26)*K$21*X26,3)</f>
        <v>86.902000000000001</v>
      </c>
      <c r="L26" s="322">
        <f>ROUNDUP(BC26/($Z26*$AA26)*L$21*Y26,3)</f>
        <v>86.902000000000001</v>
      </c>
      <c r="M26" s="322">
        <f>ROUNDUP(BN26/($Z26*$AA26)*M$21*W26,3)</f>
        <v>0.76300000000000001</v>
      </c>
      <c r="N26" s="322">
        <f>ROUNDUP(BO26/($Z26*$AA26)*N$21*X26,3)</f>
        <v>4.3000000000000003E-2</v>
      </c>
      <c r="O26" s="322">
        <f>ROUNDUP(BP26/($Z26*$AA26)*O$21*Y26,3)</f>
        <v>4.3000000000000003E-2</v>
      </c>
      <c r="P26" s="322">
        <f t="shared" ref="P26:P62" si="1">M26</f>
        <v>0.76300000000000001</v>
      </c>
      <c r="Q26" s="322">
        <f t="shared" ref="Q26:Q62" si="2">N26</f>
        <v>4.3000000000000003E-2</v>
      </c>
      <c r="R26" s="322">
        <f t="shared" ref="R26:R62" si="3">O26</f>
        <v>4.3000000000000003E-2</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26.133396937756125</v>
      </c>
      <c r="AH26" s="236">
        <f t="shared" ref="AH26:AH41" si="9">((J26*Z26*AA26/W26)+(K26*Z26*AA26/X26))/$J$21</f>
        <v>26.303231966053747</v>
      </c>
      <c r="AI26" s="236">
        <f t="shared" ref="AI26:AI41" si="10">((M26*AA26*Z26/W26)+(N26*Z26*AA26/X26))/$M$21</f>
        <v>1.2839975752677311E-2</v>
      </c>
      <c r="AJ26" s="236"/>
      <c r="AK26" s="530" t="str">
        <f ca="1">F26</f>
        <v>IODPH</v>
      </c>
      <c r="AL26" s="350" t="s">
        <v>97</v>
      </c>
      <c r="AM26" s="313">
        <f>I77/1000</f>
        <v>27.50882</v>
      </c>
      <c r="AN26" s="310">
        <f>AM26*$AN$23</f>
        <v>24.757937999999999</v>
      </c>
      <c r="AO26" s="311">
        <f>AM26*$AO$23</f>
        <v>1.3754410000000001</v>
      </c>
      <c r="AP26" s="311">
        <f>AM26*$AP$23</f>
        <v>1.3754410000000001</v>
      </c>
      <c r="AQ26" s="312">
        <f>IFERROR(G26*$Z26*$AA26/G$21,0)</f>
        <v>24.262793406593406</v>
      </c>
      <c r="AR26" s="311">
        <f>IFERROR(H26*$Z26*$AA26/H$21,0)</f>
        <v>1.3479355924075924</v>
      </c>
      <c r="AS26" s="338">
        <f>IFERROR(I26*$Z26*$AA26/I$21,0)</f>
        <v>1.3479355924075924</v>
      </c>
      <c r="AT26" s="313">
        <f t="shared" ref="AT26:AV29" si="11">IFERROR(AQ26/W26,0)</f>
        <v>24.757952455707557</v>
      </c>
      <c r="AU26" s="310">
        <f t="shared" si="11"/>
        <v>1.3754444820485636</v>
      </c>
      <c r="AV26" s="357">
        <f t="shared" si="11"/>
        <v>1.3754444820485636</v>
      </c>
      <c r="AX26" s="530" t="str">
        <f t="shared" ref="AX26:AX62" ca="1" si="12">AK26</f>
        <v>IODPH</v>
      </c>
      <c r="AY26" s="350" t="s">
        <v>97</v>
      </c>
      <c r="AZ26" s="313">
        <f>I97/1000</f>
        <v>27.6876</v>
      </c>
      <c r="BA26" s="310">
        <f>AZ26*$AN$23</f>
        <v>24.918839999999999</v>
      </c>
      <c r="BB26" s="311">
        <f>AZ26*$BB$23</f>
        <v>1.3843800000000002</v>
      </c>
      <c r="BC26" s="311">
        <f>AZ26*$BC$23</f>
        <v>1.3843800000000002</v>
      </c>
      <c r="BD26" s="313">
        <f t="shared" ref="BD26" si="13">IFERROR(J26*$Z26*AA26/J$21,0)</f>
        <v>24.420463627722771</v>
      </c>
      <c r="BE26" s="310">
        <f t="shared" ref="BE26" si="14">IFERROR(K26*$Z26*AA26/K$21,0)</f>
        <v>1.3567036990099011</v>
      </c>
      <c r="BF26" s="357">
        <f>IFERROR(L26*$Z26*AA26/L$21,0)</f>
        <v>1.3567036990099011</v>
      </c>
      <c r="BG26" s="313">
        <f t="shared" ref="BG26:BG35" si="15">IFERROR(BD26/W26,0)</f>
        <v>24.918840436451809</v>
      </c>
      <c r="BH26" s="310">
        <f t="shared" ref="BH26:BH35" si="16">IFERROR(BE26/X26,0)</f>
        <v>1.3843915296019398</v>
      </c>
      <c r="BI26" s="357">
        <f t="shared" ref="BI26:BI35" si="17">IFERROR(BF26/Y26,0)</f>
        <v>1.3843915296019398</v>
      </c>
      <c r="BK26" s="530" t="str">
        <f ca="1">AK26</f>
        <v>IODPH</v>
      </c>
      <c r="BL26" s="350" t="s">
        <v>97</v>
      </c>
      <c r="BM26" s="313">
        <f>I117/1000</f>
        <v>1.35E-2</v>
      </c>
      <c r="BN26" s="310">
        <f>BM26*$AN$23</f>
        <v>1.2149999999999999E-2</v>
      </c>
      <c r="BO26" s="311">
        <f>BM26*$BB$23</f>
        <v>6.7500000000000004E-4</v>
      </c>
      <c r="BP26" s="311">
        <f>BM26*$BC$23</f>
        <v>6.7500000000000004E-4</v>
      </c>
      <c r="BQ26" s="313">
        <f>IFERROR(M26*$Z26*$AA26/M$21,0)</f>
        <v>1.1911865346534654E-2</v>
      </c>
      <c r="BR26" s="310">
        <f>IFERROR(N26*$Z26*$AA26/N$21,0)</f>
        <v>6.7131089108910891E-4</v>
      </c>
      <c r="BS26" s="357">
        <f>IFERROR(O26*$Z26*$AA26/O$21,0)</f>
        <v>6.7131089108910891E-4</v>
      </c>
      <c r="BT26" s="313">
        <f>IFERROR(BQ26/W26,0)</f>
        <v>1.2154964639321076E-2</v>
      </c>
      <c r="BU26" s="310">
        <f>IFERROR(BR26/X26,0)</f>
        <v>6.850111133562336E-4</v>
      </c>
      <c r="BV26" s="357">
        <f>IFERROR(BS26/Y26,0)</f>
        <v>6.850111133562336E-4</v>
      </c>
    </row>
    <row r="27" spans="3:74" ht="12.75" customHeight="1">
      <c r="C27" s="146" t="str">
        <f ca="1">+IF(OFFSET(Processes!B8,$D$11,0)="*","*",OFFSET(Processes!D8,$D$11,0))</f>
        <v>INDODPHBCOAE1</v>
      </c>
      <c r="D27" s="146" t="str">
        <f ca="1">+OFFSET(Processes!E8,$D$11,0)</f>
        <v>Other comm Heat Medium Temp. Boiler - Coal Existing 1</v>
      </c>
      <c r="E27" s="149" t="str">
        <f>+Processes!O8</f>
        <v>INDCOA</v>
      </c>
      <c r="F27" s="149" t="str">
        <f ca="1">+OFFSET(Processes!$M$12,$D$11,0) &amp; Processes!P8</f>
        <v>IODPH</v>
      </c>
      <c r="G27" s="322">
        <f t="shared" ref="G27:G62" si="18">ROUNDUP(AN27/($Z27*$AA27)*G$21*W27,3)</f>
        <v>18.993000000000002</v>
      </c>
      <c r="H27" s="322">
        <f t="shared" ref="H27:H62" si="19">ROUNDUP(AO27/($Z27*$AA27)*H$21*X27,3)</f>
        <v>1.0559999999999998</v>
      </c>
      <c r="I27" s="322">
        <f t="shared" ref="I27:I61" si="20">ROUNDUP(AP27/($Z27*$AA27)*I$21*Y27,3)</f>
        <v>1.0559999999999998</v>
      </c>
      <c r="J27" s="322">
        <f t="shared" ref="J27:J62" si="21">ROUNDUP(BA27/($Z27*$AA27)*J$21*W27,3)</f>
        <v>5.7770000000000001</v>
      </c>
      <c r="K27" s="322">
        <f t="shared" ref="K27:K62" si="22">ROUNDUP(BB27/($Z27*$AA27)*K$21*X27,3)</f>
        <v>0.32100000000000001</v>
      </c>
      <c r="L27" s="322">
        <f t="shared" ref="L27:L62" si="23">ROUNDUP(BC27/($Z27*$AA27)*L$21*Y27,3)</f>
        <v>0.32100000000000001</v>
      </c>
      <c r="M27" s="322">
        <f t="shared" ref="M27:M62" si="24">ROUNDUP(BN27/($Z27*$AA27)*M$21*W27,3)</f>
        <v>79.138000000000005</v>
      </c>
      <c r="N27" s="322">
        <f t="shared" ref="N27:N62" si="25">ROUNDUP(BO27/($Z27*$AA27)*N$21*X27,3)</f>
        <v>4.3970000000000002</v>
      </c>
      <c r="O27" s="322">
        <f t="shared" ref="O27:O62" si="26">ROUNDUP(BP27/($Z27*$AA27)*O$21*Y27,3)</f>
        <v>4.3970000000000002</v>
      </c>
      <c r="P27" s="322">
        <f t="shared" si="1"/>
        <v>79.138000000000005</v>
      </c>
      <c r="Q27" s="322">
        <f t="shared" si="2"/>
        <v>4.3970000000000002</v>
      </c>
      <c r="R27" s="322">
        <f t="shared" si="3"/>
        <v>4.3970000000000002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0.33922321716951165</v>
      </c>
      <c r="AH27" s="236">
        <f t="shared" si="9"/>
        <v>0.10225698333528305</v>
      </c>
      <c r="AI27" s="236">
        <f t="shared" si="10"/>
        <v>1.4007932277653115</v>
      </c>
      <c r="AJ27" s="236"/>
      <c r="AK27" s="290"/>
      <c r="AL27" s="291" t="s">
        <v>98</v>
      </c>
      <c r="AM27" s="307">
        <f>D77/1000</f>
        <v>0.35705100000000001</v>
      </c>
      <c r="AN27" s="308">
        <f>AM27*$AN$23</f>
        <v>0.32134590000000002</v>
      </c>
      <c r="AO27" s="309">
        <f t="shared" ref="AO27:AO29" si="27">AM27*$AO$23</f>
        <v>1.7852550000000002E-2</v>
      </c>
      <c r="AP27" s="309">
        <f>AM27*$AP$23</f>
        <v>1.7852550000000002E-2</v>
      </c>
      <c r="AQ27" s="306">
        <f t="shared" ref="AQ27:AQ62" si="28">IFERROR(G27*$Z27*$AA27/G$21,0)</f>
        <v>0.29918244155844165</v>
      </c>
      <c r="AR27" s="309">
        <f t="shared" ref="AR27:AR62" si="29">IFERROR(H27*$Z27*$AA27/H$21,0)</f>
        <v>1.6634373626373627E-2</v>
      </c>
      <c r="AS27" s="540">
        <f t="shared" ref="AS27:AS62" si="30">IFERROR(I27*$Z27*$AA27/I$21,0)</f>
        <v>1.6634373626373627E-2</v>
      </c>
      <c r="AT27" s="307">
        <f t="shared" si="11"/>
        <v>0.32135600597039921</v>
      </c>
      <c r="AU27" s="308">
        <f t="shared" si="11"/>
        <v>1.7867211199112384E-2</v>
      </c>
      <c r="AV27" s="353">
        <f t="shared" si="11"/>
        <v>1.7867211199112384E-2</v>
      </c>
      <c r="AX27" s="290"/>
      <c r="AY27" s="291" t="s">
        <v>98</v>
      </c>
      <c r="AZ27" s="307">
        <f>D97/1000</f>
        <v>0.10763500000000001</v>
      </c>
      <c r="BA27" s="308">
        <f>AZ27*$AN$23</f>
        <v>9.6871500000000013E-2</v>
      </c>
      <c r="BB27" s="309">
        <f t="shared" ref="BB27:BB29" si="31">AZ27*$BB$23</f>
        <v>5.3817500000000011E-3</v>
      </c>
      <c r="BC27" s="309">
        <f t="shared" ref="BC27:BC29" si="32">AZ27*$BC$23</f>
        <v>5.3817500000000011E-3</v>
      </c>
      <c r="BD27" s="307">
        <f t="shared" ref="BD27:BD62" si="33">IFERROR(J27*$Z27*AA27/J$21,0)</f>
        <v>9.0189837623762384E-2</v>
      </c>
      <c r="BE27" s="308">
        <f t="shared" ref="BE27:BE62" si="34">IFERROR(K27*$Z27*AA27/K$21,0)</f>
        <v>5.0114138613861388E-3</v>
      </c>
      <c r="BF27" s="353">
        <f t="shared" ref="BF27:BF62" si="35">IFERROR(L27*$Z27*AA27/L$21,0)</f>
        <v>5.0114138613861388E-3</v>
      </c>
      <c r="BG27" s="307">
        <f t="shared" si="15"/>
        <v>9.6874154268273241E-2</v>
      </c>
      <c r="BH27" s="308">
        <f t="shared" si="16"/>
        <v>5.3828290670098165E-3</v>
      </c>
      <c r="BI27" s="353">
        <f t="shared" si="17"/>
        <v>5.3828290670098165E-3</v>
      </c>
      <c r="BK27" s="290"/>
      <c r="BL27" s="291" t="s">
        <v>98</v>
      </c>
      <c r="BM27" s="307">
        <f>D117/1000</f>
        <v>1.4745050000000002</v>
      </c>
      <c r="BN27" s="308">
        <f>BM27*$AN$23</f>
        <v>1.3270545000000002</v>
      </c>
      <c r="BO27" s="309">
        <f t="shared" ref="BO27:BO29" si="36">BM27*$BB$23</f>
        <v>7.3725250000000006E-2</v>
      </c>
      <c r="BP27" s="309">
        <f t="shared" ref="BP27:BP29" si="37">BM27*$BC$23</f>
        <v>7.3725250000000006E-2</v>
      </c>
      <c r="BQ27" s="307">
        <f t="shared" ref="BQ27:BQ62" si="38">IFERROR(M27*$Z27*$AA27/M$21,0)</f>
        <v>1.2354930534653465</v>
      </c>
      <c r="BR27" s="308">
        <f t="shared" ref="BR27:BR62" si="39">IFERROR(N27*$Z27*$AA27/N$21,0)</f>
        <v>6.8645441584158418E-2</v>
      </c>
      <c r="BS27" s="353">
        <f t="shared" ref="BS27:BS62" si="40">IFERROR(O27*$Z27*$AA27/O$21,0)</f>
        <v>6.8645441584158418E-2</v>
      </c>
      <c r="BT27" s="307">
        <f t="shared" ref="BT27:BT35" si="41">IFERROR(BQ27/W27,0)</f>
        <v>1.3270602078038094</v>
      </c>
      <c r="BU27" s="308">
        <f t="shared" ref="BU27:BU35" si="42">IFERROR(BR27/X27,0)</f>
        <v>7.3733019961502069E-2</v>
      </c>
      <c r="BV27" s="353">
        <f t="shared" ref="BV27:BV35" si="43">IFERROR(BS27/Y27,0)</f>
        <v>7.3733019961502069E-2</v>
      </c>
    </row>
    <row r="28" spans="3:74" ht="12.75" customHeight="1">
      <c r="C28" s="146" t="str">
        <f ca="1">+IF(OFFSET(Processes!B9,$D$11,0)="*","*",OFFSET(Processes!D9,$D$11,0))</f>
        <v>INDODPHBDSLE1</v>
      </c>
      <c r="D28" s="146" t="str">
        <f ca="1">+OFFSET(Processes!E9,$D$11,0)</f>
        <v>Other comm Heat Medium Temp. Boiler - Diesel Existing 1</v>
      </c>
      <c r="E28" s="149" t="str">
        <f>+Processes!O9</f>
        <v>INDDSB1,INDDSB2,INDDSL</v>
      </c>
      <c r="F28" s="149" t="str">
        <f ca="1">+OFFSET(Processes!$M$12,$D$11,0) &amp; Processes!P9</f>
        <v>IODPH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row>
    <row r="29" spans="3:74" ht="12.75" customHeight="1">
      <c r="C29" s="146" t="str">
        <f ca="1">+IF(OFFSET(Processes!B10,$D$11,0)="*","*",OFFSET(Processes!D10,$D$11,0))</f>
        <v>INDODPHBWPEE1</v>
      </c>
      <c r="D29" s="146" t="str">
        <f ca="1">+OFFSET(Processes!E10,$D$11,0)</f>
        <v>Other comm Heat Medium Temp. Boiler - Wood Pellets Existing 1</v>
      </c>
      <c r="E29" s="149" t="str">
        <f>+Processes!O10</f>
        <v>INDWPE</v>
      </c>
      <c r="F29" s="149" t="str">
        <f ca="1">+OFFSET(Processes!$M$12,$D$11,0) &amp; Processes!P10</f>
        <v>IODPH</v>
      </c>
      <c r="G29" s="321">
        <f t="shared" si="18"/>
        <v>189.65899999999999</v>
      </c>
      <c r="H29" s="321">
        <f t="shared" si="19"/>
        <v>10.536999999999999</v>
      </c>
      <c r="I29" s="321">
        <f t="shared" si="20"/>
        <v>10.536999999999999</v>
      </c>
      <c r="J29" s="321">
        <f t="shared" si="21"/>
        <v>260.03499999999997</v>
      </c>
      <c r="K29" s="321">
        <f t="shared" si="22"/>
        <v>14.446999999999999</v>
      </c>
      <c r="L29" s="321">
        <f t="shared" si="23"/>
        <v>14.446999999999999</v>
      </c>
      <c r="M29" s="321">
        <f t="shared" si="24"/>
        <v>6.5310000000000006</v>
      </c>
      <c r="N29" s="321">
        <f t="shared" si="25"/>
        <v>0.36299999999999999</v>
      </c>
      <c r="O29" s="321">
        <f t="shared" si="26"/>
        <v>0.36299999999999999</v>
      </c>
      <c r="P29" s="321">
        <f t="shared" si="1"/>
        <v>6.5310000000000006</v>
      </c>
      <c r="Q29" s="321">
        <f t="shared" si="2"/>
        <v>0.36299999999999999</v>
      </c>
      <c r="R29" s="321">
        <f t="shared" si="3"/>
        <v>0.36299999999999999</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3.7857586926878648</v>
      </c>
      <c r="AH29" s="236">
        <f t="shared" si="9"/>
        <v>5.1442741563952321</v>
      </c>
      <c r="AI29" s="236">
        <f t="shared" si="10"/>
        <v>0.12920565295425104</v>
      </c>
      <c r="AJ29" s="236"/>
      <c r="AK29" s="290"/>
      <c r="AL29" s="559" t="s">
        <v>99</v>
      </c>
      <c r="AM29" s="560">
        <f>K77/1000</f>
        <v>3.9849999999999999</v>
      </c>
      <c r="AN29" s="561">
        <f>AM29*$AN$23</f>
        <v>3.5865</v>
      </c>
      <c r="AO29" s="562">
        <f t="shared" si="27"/>
        <v>0.19925000000000001</v>
      </c>
      <c r="AP29" s="562">
        <f>AM29*$AP$23</f>
        <v>0.19925000000000001</v>
      </c>
      <c r="AQ29" s="582">
        <f t="shared" si="28"/>
        <v>2.987555556443557</v>
      </c>
      <c r="AR29" s="562">
        <f t="shared" si="29"/>
        <v>0.16598143456543457</v>
      </c>
      <c r="AS29" s="563">
        <f t="shared" si="30"/>
        <v>0.16598143456543457</v>
      </c>
      <c r="AT29" s="560">
        <f t="shared" si="11"/>
        <v>3.5865012682395645</v>
      </c>
      <c r="AU29" s="561">
        <f t="shared" si="11"/>
        <v>0.1992574244483008</v>
      </c>
      <c r="AV29" s="566">
        <f t="shared" si="11"/>
        <v>0.1992574244483008</v>
      </c>
      <c r="AX29" s="290"/>
      <c r="AY29" s="559" t="s">
        <v>99</v>
      </c>
      <c r="AZ29" s="560">
        <f>K97/1000</f>
        <v>5.415</v>
      </c>
      <c r="BA29" s="561">
        <f>AZ29*$AN$23</f>
        <v>4.8734999999999999</v>
      </c>
      <c r="BB29" s="562">
        <f t="shared" si="31"/>
        <v>0.27074999999999999</v>
      </c>
      <c r="BC29" s="562">
        <f t="shared" si="32"/>
        <v>0.27074999999999999</v>
      </c>
      <c r="BD29" s="560">
        <f t="shared" si="33"/>
        <v>4.0596355247524754</v>
      </c>
      <c r="BE29" s="561">
        <f t="shared" si="34"/>
        <v>0.22554484752475246</v>
      </c>
      <c r="BF29" s="566">
        <f t="shared" si="35"/>
        <v>0.22554484752475246</v>
      </c>
      <c r="BG29" s="560">
        <f t="shared" si="15"/>
        <v>4.8735120345167777</v>
      </c>
      <c r="BH29" s="561">
        <f t="shared" si="16"/>
        <v>0.27076212187845433</v>
      </c>
      <c r="BI29" s="566">
        <f t="shared" si="17"/>
        <v>0.27076212187845433</v>
      </c>
      <c r="BK29" s="290"/>
      <c r="BL29" s="559" t="s">
        <v>99</v>
      </c>
      <c r="BM29" s="560">
        <f>K117/1000</f>
        <v>0.13600000000000001</v>
      </c>
      <c r="BN29" s="561">
        <f>BM29*$AN$23</f>
        <v>0.12240000000000001</v>
      </c>
      <c r="BO29" s="562">
        <f t="shared" si="36"/>
        <v>6.8000000000000005E-3</v>
      </c>
      <c r="BP29" s="562">
        <f t="shared" si="37"/>
        <v>6.8000000000000005E-3</v>
      </c>
      <c r="BQ29" s="560">
        <f t="shared" si="38"/>
        <v>0.10196119603960398</v>
      </c>
      <c r="BR29" s="561">
        <f t="shared" si="39"/>
        <v>5.6671128712871286E-3</v>
      </c>
      <c r="BS29" s="566">
        <f t="shared" si="40"/>
        <v>5.6671128712871286E-3</v>
      </c>
      <c r="BT29" s="560">
        <f t="shared" si="41"/>
        <v>0.12240239620600718</v>
      </c>
      <c r="BU29" s="561">
        <f t="shared" si="42"/>
        <v>6.803256748243852E-3</v>
      </c>
      <c r="BV29" s="566">
        <f t="shared" si="43"/>
        <v>6.803256748243852E-3</v>
      </c>
    </row>
    <row r="30" spans="3:74"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row>
    <row r="31" spans="3:74" ht="12.75" customHeight="1">
      <c r="C31" s="146" t="str">
        <f ca="1">+IF(OFFSET(Processes!B12,$D$11,0)="*","*",OFFSET(Processes!D12,$D$11,0))</f>
        <v>INDODPHBBGAE1</v>
      </c>
      <c r="D31" s="146" t="str">
        <f ca="1">+OFFSET(Processes!E12,$D$11,0)</f>
        <v>Other comm Heat Medium Temp. Boiler - Biogas Existing 1</v>
      </c>
      <c r="E31" s="149" t="str">
        <f>+Processes!O12</f>
        <v>INDBGA</v>
      </c>
      <c r="F31" s="172" t="str">
        <f ca="1">+OFFSET(Processes!$M$12,$D$11,0) &amp; Processes!P12</f>
        <v>IODPH</v>
      </c>
      <c r="G31" s="322">
        <f t="shared" si="18"/>
        <v>3.6959999999999997</v>
      </c>
      <c r="H31" s="322">
        <f t="shared" si="19"/>
        <v>0.20599999999999999</v>
      </c>
      <c r="I31" s="322">
        <f t="shared" si="20"/>
        <v>0.20599999999999999</v>
      </c>
      <c r="J31" s="322" t="e">
        <f t="shared" si="21"/>
        <v>#REF!</v>
      </c>
      <c r="K31" s="322" t="e">
        <f t="shared" si="22"/>
        <v>#REF!</v>
      </c>
      <c r="L31" s="322" t="e">
        <f t="shared" si="23"/>
        <v>#REF!</v>
      </c>
      <c r="M31" s="322">
        <f t="shared" si="24"/>
        <v>1677.6009999999999</v>
      </c>
      <c r="N31" s="322">
        <f t="shared" si="25"/>
        <v>93.201000000000008</v>
      </c>
      <c r="O31" s="322">
        <f t="shared" si="26"/>
        <v>93.201000000000008</v>
      </c>
      <c r="P31" s="322">
        <f t="shared" si="1"/>
        <v>1677.6009999999999</v>
      </c>
      <c r="Q31" s="322">
        <f t="shared" si="2"/>
        <v>93.201000000000008</v>
      </c>
      <c r="R31" s="322">
        <f t="shared" si="3"/>
        <v>93.201000000000008</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6.2719664009459941E-2</v>
      </c>
      <c r="AH31" s="236" t="e">
        <f t="shared" si="9"/>
        <v>#REF!</v>
      </c>
      <c r="AI31" s="236">
        <f t="shared" si="10"/>
        <v>28.209745338452212</v>
      </c>
      <c r="AJ31" s="236"/>
      <c r="AK31" s="290"/>
      <c r="AL31" s="559" t="s">
        <v>100</v>
      </c>
      <c r="AM31" s="560">
        <f>J77/1000</f>
        <v>6.6000000000000003E-2</v>
      </c>
      <c r="AN31" s="561">
        <f t="shared" ref="AN31:AN41" si="47">AM31*$AN$23</f>
        <v>5.9400000000000001E-2</v>
      </c>
      <c r="AO31" s="562">
        <f t="shared" ref="AO31:AO33" si="48">AM31*$AO$23</f>
        <v>3.3000000000000004E-3</v>
      </c>
      <c r="AP31" s="562">
        <f t="shared" ref="AP31:AP37" si="49">AM31*$AP$23</f>
        <v>3.3000000000000004E-3</v>
      </c>
      <c r="AQ31" s="582">
        <f t="shared" si="28"/>
        <v>5.8220307692307696E-2</v>
      </c>
      <c r="AR31" s="562">
        <f t="shared" si="29"/>
        <v>3.2449630369630372E-3</v>
      </c>
      <c r="AS31" s="563">
        <f>IFERROR(I31*$Z31*$AA31/I$21,0)</f>
        <v>3.2449630369630372E-3</v>
      </c>
      <c r="AT31" s="560">
        <f t="shared" ref="AT31:AV34" si="50">IFERROR(AQ31/W31,0)</f>
        <v>5.9408477237048674E-2</v>
      </c>
      <c r="AU31" s="561">
        <f t="shared" si="50"/>
        <v>3.3111867724112624E-3</v>
      </c>
      <c r="AV31" s="566">
        <f t="shared" si="50"/>
        <v>3.3111867724112624E-3</v>
      </c>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K31" s="290"/>
      <c r="BL31" s="559" t="s">
        <v>100</v>
      </c>
      <c r="BM31" s="560">
        <f>J117/1000</f>
        <v>29.694444000000001</v>
      </c>
      <c r="BN31" s="561">
        <f>BM31*$AN$23</f>
        <v>26.7249996</v>
      </c>
      <c r="BO31" s="562">
        <f>BM31*$BB$23</f>
        <v>1.4847222000000002</v>
      </c>
      <c r="BP31" s="562">
        <f>BM31*$BC$23</f>
        <v>1.4847222000000002</v>
      </c>
      <c r="BQ31" s="560">
        <f t="shared" si="38"/>
        <v>26.190507493069305</v>
      </c>
      <c r="BR31" s="561">
        <f t="shared" si="39"/>
        <v>1.4550429386138615</v>
      </c>
      <c r="BS31" s="566">
        <f t="shared" si="40"/>
        <v>1.4550429386138615</v>
      </c>
      <c r="BT31" s="560">
        <f t="shared" si="41"/>
        <v>26.725007645989088</v>
      </c>
      <c r="BU31" s="561">
        <f t="shared" si="42"/>
        <v>1.4847376924631239</v>
      </c>
      <c r="BV31" s="566">
        <f t="shared" si="43"/>
        <v>1.4847376924631239</v>
      </c>
    </row>
    <row r="32" spans="3:74" ht="12.75" customHeight="1">
      <c r="C32" s="146" t="str">
        <f ca="1">+IF(OFFSET(Processes!B13,$D$11,0)="*","*",OFFSET(Processes!D13,$D$11,0))</f>
        <v>INDODPHBHFOE1</v>
      </c>
      <c r="D32" s="146" t="str">
        <f ca="1">+OFFSET(Processes!E13,$D$11,0)</f>
        <v>Other comm Heat Medium Temp. Boiler - Heavy Fuel Oil Existing 1</v>
      </c>
      <c r="E32" s="149" t="str">
        <f>+Processes!O13</f>
        <v>INDHFO</v>
      </c>
      <c r="F32" s="172" t="str">
        <f ca="1">+OFFSET(Processes!$M$12,$D$11,0) &amp; Processes!P13</f>
        <v>IODPH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3.8350560985207012E-2</v>
      </c>
      <c r="AJ32" s="236"/>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row>
    <row r="33" spans="3:74" ht="12.75" customHeight="1">
      <c r="C33" s="146" t="str">
        <f ca="1">+IF(OFFSET(Processes!B14,$D$11,0)="*","*",OFFSET(Processes!D14,$D$11,0))</f>
        <v>INDODPHBLPGE1</v>
      </c>
      <c r="D33" s="146" t="str">
        <f ca="1">+OFFSET(Processes!E14,$D$11,0)</f>
        <v>Other comm Heat Medium Temp. Boiler - Liquified Petroleum Gas Existing 1</v>
      </c>
      <c r="E33" s="149" t="str">
        <f>+Processes!O14</f>
        <v>INDLPG</v>
      </c>
      <c r="F33" s="172" t="str">
        <f ca="1">+OFFSET(Processes!$M$12,$D$11,0) &amp; Processes!P14</f>
        <v>IODPH</v>
      </c>
      <c r="G33" s="322">
        <f t="shared" si="18"/>
        <v>21.908000000000001</v>
      </c>
      <c r="H33" s="322">
        <f t="shared" si="19"/>
        <v>1.218</v>
      </c>
      <c r="I33" s="322">
        <f t="shared" si="20"/>
        <v>1.218</v>
      </c>
      <c r="J33" s="322">
        <f t="shared" si="21"/>
        <v>3.8449999999999998</v>
      </c>
      <c r="K33" s="322">
        <f t="shared" si="22"/>
        <v>0.214</v>
      </c>
      <c r="L33" s="322">
        <f t="shared" si="23"/>
        <v>0.214</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0.37172089950865472</v>
      </c>
      <c r="AH33" s="236">
        <f t="shared" si="9"/>
        <v>6.4661863002626788E-2</v>
      </c>
      <c r="AI33" s="236" t="e">
        <f t="shared" si="10"/>
        <v>#REF!</v>
      </c>
      <c r="AJ33" s="236"/>
      <c r="AK33" s="290"/>
      <c r="AL33" s="559" t="s">
        <v>53</v>
      </c>
      <c r="AM33" s="560">
        <f>H77/1000</f>
        <v>0.39126350000000004</v>
      </c>
      <c r="AN33" s="561">
        <f t="shared" si="47"/>
        <v>0.35213715000000007</v>
      </c>
      <c r="AO33" s="562">
        <f t="shared" si="48"/>
        <v>1.9563175000000002E-2</v>
      </c>
      <c r="AP33" s="562">
        <f t="shared" si="49"/>
        <v>1.9563175000000002E-2</v>
      </c>
      <c r="AQ33" s="582">
        <f t="shared" si="28"/>
        <v>0.34510024375624382</v>
      </c>
      <c r="AR33" s="562">
        <f t="shared" si="29"/>
        <v>1.9186237762237768E-2</v>
      </c>
      <c r="AS33" s="563">
        <f t="shared" si="30"/>
        <v>1.9186237762237768E-2</v>
      </c>
      <c r="AT33" s="560">
        <f t="shared" si="50"/>
        <v>0.35214310587371817</v>
      </c>
      <c r="AU33" s="561">
        <f t="shared" si="50"/>
        <v>1.9577793634936499E-2</v>
      </c>
      <c r="AV33" s="566">
        <f t="shared" si="50"/>
        <v>1.9577793634936499E-2</v>
      </c>
      <c r="AX33" s="290"/>
      <c r="AY33" s="559" t="s">
        <v>53</v>
      </c>
      <c r="AZ33" s="560">
        <f>H97/1000</f>
        <v>6.8049000000000012E-2</v>
      </c>
      <c r="BA33" s="561">
        <f>AZ33*$AN$23</f>
        <v>6.124410000000001E-2</v>
      </c>
      <c r="BB33" s="562">
        <f t="shared" si="51"/>
        <v>3.4024500000000009E-3</v>
      </c>
      <c r="BC33" s="562">
        <f t="shared" si="52"/>
        <v>3.4024500000000009E-3</v>
      </c>
      <c r="BD33" s="560">
        <f t="shared" si="33"/>
        <v>6.0027683168316831E-2</v>
      </c>
      <c r="BE33" s="561">
        <f t="shared" si="34"/>
        <v>3.3409425742574259E-3</v>
      </c>
      <c r="BF33" s="566">
        <f t="shared" si="35"/>
        <v>3.3409425742574259E-3</v>
      </c>
      <c r="BG33" s="560">
        <f t="shared" si="15"/>
        <v>6.1252737926853908E-2</v>
      </c>
      <c r="BH33" s="561">
        <f t="shared" si="16"/>
        <v>3.4091250757728835E-3</v>
      </c>
      <c r="BI33" s="566">
        <f t="shared" si="17"/>
        <v>3.4091250757728835E-3</v>
      </c>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row>
    <row r="34" spans="3:74" ht="12.75" customHeight="1">
      <c r="C34" s="146" t="str">
        <f ca="1">+IF(OFFSET(Processes!B15,$D$11,0)="*","*",OFFSET(Processes!D15,$D$11,0))</f>
        <v>INDODPHBWSTE1</v>
      </c>
      <c r="D34" s="146" t="str">
        <f ca="1">+OFFSET(Processes!E15,$D$11,0)</f>
        <v>Other comm Heat Medium Temp. Boiler - Waste Existing 1</v>
      </c>
      <c r="E34" s="149" t="str">
        <f>+Processes!O15</f>
        <v>INDWST</v>
      </c>
      <c r="F34" s="172" t="str">
        <f ca="1">+OFFSET(Processes!$M$12,$D$11,0) &amp; Processes!P15</f>
        <v>IODPH</v>
      </c>
      <c r="G34" s="322">
        <f t="shared" si="18"/>
        <v>0.26600000000000001</v>
      </c>
      <c r="H34" s="322">
        <f t="shared" si="19"/>
        <v>1.4999999999999999E-2</v>
      </c>
      <c r="I34" s="322">
        <f t="shared" si="20"/>
        <v>1.4999999999999999E-2</v>
      </c>
      <c r="J34" s="322">
        <f t="shared" si="21"/>
        <v>0</v>
      </c>
      <c r="K34" s="322">
        <f t="shared" si="22"/>
        <v>0</v>
      </c>
      <c r="L34" s="322">
        <f t="shared" si="23"/>
        <v>0</v>
      </c>
      <c r="M34" s="322">
        <f t="shared" si="24"/>
        <v>247.744</v>
      </c>
      <c r="N34" s="322">
        <f t="shared" si="25"/>
        <v>13.763999999999999</v>
      </c>
      <c r="O34" s="322">
        <f t="shared" si="26"/>
        <v>13.763999999999999</v>
      </c>
      <c r="P34" s="322">
        <f t="shared" si="1"/>
        <v>247.744</v>
      </c>
      <c r="Q34" s="322">
        <f t="shared" si="2"/>
        <v>13.763999999999999</v>
      </c>
      <c r="R34" s="322">
        <f t="shared" si="3"/>
        <v>13.763999999999999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4.7544378285516858E-3</v>
      </c>
      <c r="AH34" s="236">
        <f t="shared" si="9"/>
        <v>0</v>
      </c>
      <c r="AI34" s="236">
        <f t="shared" si="10"/>
        <v>4.3852114132573314</v>
      </c>
      <c r="AJ34" s="236"/>
      <c r="AK34" s="290"/>
      <c r="AL34" s="559" t="s">
        <v>102</v>
      </c>
      <c r="AM34" s="560">
        <f>$L77/1000</f>
        <v>5.0000000000000001E-3</v>
      </c>
      <c r="AN34" s="561">
        <f t="shared" si="47"/>
        <v>4.5000000000000005E-3</v>
      </c>
      <c r="AO34" s="562">
        <f t="shared" ref="AO34" si="55">AM34*$AO$23</f>
        <v>2.5000000000000001E-4</v>
      </c>
      <c r="AP34" s="562">
        <f t="shared" si="49"/>
        <v>2.5000000000000001E-4</v>
      </c>
      <c r="AQ34" s="582">
        <f t="shared" si="28"/>
        <v>4.1900979020979027E-3</v>
      </c>
      <c r="AR34" s="562">
        <f t="shared" si="29"/>
        <v>2.3628371628371631E-4</v>
      </c>
      <c r="AS34" s="563">
        <f t="shared" si="30"/>
        <v>2.3628371628371631E-4</v>
      </c>
      <c r="AT34" s="560">
        <f t="shared" si="50"/>
        <v>4.5006422149279305E-3</v>
      </c>
      <c r="AU34" s="561">
        <f t="shared" si="50"/>
        <v>2.5379561362375545E-4</v>
      </c>
      <c r="AV34" s="566">
        <f t="shared" si="50"/>
        <v>2.5379561362375545E-4</v>
      </c>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K34" s="290"/>
      <c r="BL34" s="559" t="s">
        <v>102</v>
      </c>
      <c r="BM34" s="560">
        <f>$L117/1000</f>
        <v>4.6159999999999997</v>
      </c>
      <c r="BN34" s="561">
        <f>BM34*$AN$23</f>
        <v>4.1543999999999999</v>
      </c>
      <c r="BO34" s="562">
        <f t="shared" si="53"/>
        <v>0.23080000000000001</v>
      </c>
      <c r="BP34" s="562">
        <f t="shared" si="54"/>
        <v>0.23080000000000001</v>
      </c>
      <c r="BQ34" s="560">
        <f t="shared" si="38"/>
        <v>3.8677498930693073</v>
      </c>
      <c r="BR34" s="561">
        <f t="shared" si="39"/>
        <v>0.21488193267326733</v>
      </c>
      <c r="BS34" s="566">
        <f t="shared" si="40"/>
        <v>0.21488193267326733</v>
      </c>
      <c r="BT34" s="560">
        <f t="shared" si="41"/>
        <v>4.1544037519541437</v>
      </c>
      <c r="BU34" s="561">
        <f t="shared" si="42"/>
        <v>0.23080766130318725</v>
      </c>
      <c r="BV34" s="566">
        <f t="shared" si="43"/>
        <v>0.23080766130318725</v>
      </c>
    </row>
    <row r="35" spans="3:74" ht="12.75" customHeight="1">
      <c r="C35" s="173" t="str">
        <f ca="1">+IF(OFFSET(Processes!B16,$D$11,0)="*","*",OFFSET(Processes!D16,$D$11,0))</f>
        <v>INDODPHBHETE1</v>
      </c>
      <c r="D35" s="146" t="str">
        <f ca="1">+OFFSET(Processes!E16,$D$11,0)</f>
        <v>Other comm Heat Medium Temp. Boiler - Dist. Heat Existing 1</v>
      </c>
      <c r="E35" s="149" t="str">
        <f>+Processes!O16</f>
        <v>INDHCE</v>
      </c>
      <c r="F35" s="172" t="str">
        <f ca="1">+OFFSET(Processes!$M$12,$D$11,0) &amp; Processes!P16</f>
        <v>IODPH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row>
    <row r="36" spans="3:74" ht="12.75" customHeight="1">
      <c r="C36" s="173" t="str">
        <f ca="1">+IF(OFFSET(Processes!B17,$D$11,0)="*","*",OFFSET(Processes!D17,$D$11,0))</f>
        <v>INDODPHBHETE2</v>
      </c>
      <c r="D36" s="146" t="str">
        <f ca="1">+OFFSET(Processes!E17,$D$11,0)</f>
        <v>Other comm Heat Medium Temp. Boiler - Dist. Heat Existing 2</v>
      </c>
      <c r="E36" s="149" t="str">
        <f>+Processes!O17</f>
        <v>INDHDE</v>
      </c>
      <c r="F36" s="172" t="str">
        <f ca="1">+OFFSET(Processes!$M$12,$D$11,0) &amp; Processes!P17</f>
        <v>IODPH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X36" s="290"/>
      <c r="AY36" s="559" t="s">
        <v>104</v>
      </c>
      <c r="AZ36" s="560"/>
      <c r="BA36" s="613">
        <f>AZ36</f>
        <v>0</v>
      </c>
      <c r="BB36" s="614">
        <v>0</v>
      </c>
      <c r="BC36" s="614">
        <v>0</v>
      </c>
      <c r="BD36" s="560">
        <f t="shared" si="33"/>
        <v>0</v>
      </c>
      <c r="BE36" s="561">
        <f t="shared" si="34"/>
        <v>0</v>
      </c>
      <c r="BF36" s="566">
        <f t="shared" si="35"/>
        <v>0</v>
      </c>
      <c r="BG36" s="560"/>
      <c r="BH36" s="561"/>
      <c r="BI36" s="566"/>
      <c r="BK36" s="290"/>
      <c r="BL36" s="559" t="s">
        <v>104</v>
      </c>
      <c r="BM36" s="560"/>
      <c r="BN36" s="613">
        <f>BM36</f>
        <v>0</v>
      </c>
      <c r="BO36" s="614">
        <v>0</v>
      </c>
      <c r="BP36" s="614">
        <v>0</v>
      </c>
      <c r="BQ36" s="560">
        <f t="shared" si="38"/>
        <v>0</v>
      </c>
      <c r="BR36" s="561">
        <f t="shared" si="39"/>
        <v>0</v>
      </c>
      <c r="BS36" s="566">
        <f t="shared" si="40"/>
        <v>0</v>
      </c>
      <c r="BT36" s="560"/>
      <c r="BU36" s="561"/>
      <c r="BV36" s="566"/>
    </row>
    <row r="37" spans="3:74" ht="12.75" customHeight="1">
      <c r="C37" s="148" t="str">
        <f ca="1">+IF(OFFSET(Processes!B18,$D$11,0)="*","*",OFFSET(Processes!D18,$D$11,0))</f>
        <v>INDODPHBELCE1</v>
      </c>
      <c r="D37" s="148" t="str">
        <f ca="1">+OFFSET(Processes!E18,$D$11,0)</f>
        <v>Other comm Heat Medium Temp. Boiler - Electricity Existing 1</v>
      </c>
      <c r="E37" s="174" t="str">
        <f>+Processes!O18</f>
        <v>INDELC</v>
      </c>
      <c r="F37" s="174" t="str">
        <f ca="1">+OFFSET(Processes!$M$12,$D$11,0) &amp; Processes!P18</f>
        <v>IODPH</v>
      </c>
      <c r="G37" s="324">
        <f t="shared" si="18"/>
        <v>335.13199999999995</v>
      </c>
      <c r="H37" s="324">
        <f t="shared" si="19"/>
        <v>18.619</v>
      </c>
      <c r="I37" s="324">
        <f t="shared" si="20"/>
        <v>18.619</v>
      </c>
      <c r="J37" s="324">
        <f t="shared" si="21"/>
        <v>333.12099999999998</v>
      </c>
      <c r="K37" s="324">
        <f t="shared" si="22"/>
        <v>18.507000000000001</v>
      </c>
      <c r="L37" s="324">
        <f t="shared" si="23"/>
        <v>18.507000000000001</v>
      </c>
      <c r="M37" s="324">
        <f t="shared" si="24"/>
        <v>1.7000000000000001E-2</v>
      </c>
      <c r="N37" s="324">
        <f t="shared" si="25"/>
        <v>1E-3</v>
      </c>
      <c r="O37" s="324">
        <f t="shared" si="26"/>
        <v>1E-3</v>
      </c>
      <c r="P37" s="324">
        <f t="shared" si="1"/>
        <v>1.7000000000000001E-2</v>
      </c>
      <c r="Q37" s="324">
        <f t="shared" si="2"/>
        <v>1E-3</v>
      </c>
      <c r="R37" s="324">
        <f t="shared" si="3"/>
        <v>1E-3</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5.9853634743344735</v>
      </c>
      <c r="AH37" s="236">
        <f t="shared" si="9"/>
        <v>5.8964280971169085</v>
      </c>
      <c r="AI37" s="236">
        <f t="shared" si="10"/>
        <v>3.0184088226223272E-4</v>
      </c>
      <c r="AJ37" s="236"/>
      <c r="AK37" s="352"/>
      <c r="AL37" s="567" t="s">
        <v>61</v>
      </c>
      <c r="AM37" s="568">
        <f>M77/1000</f>
        <v>6.3003600000000004</v>
      </c>
      <c r="AN37" s="561">
        <f t="shared" si="47"/>
        <v>5.6703240000000008</v>
      </c>
      <c r="AO37" s="562">
        <f t="shared" ref="AO37" si="58">AM37*$AO$23</f>
        <v>0.31501800000000002</v>
      </c>
      <c r="AP37" s="562">
        <f t="shared" si="49"/>
        <v>0.31501800000000002</v>
      </c>
      <c r="AQ37" s="582">
        <f t="shared" si="28"/>
        <v>5.2790822937062938</v>
      </c>
      <c r="AR37" s="562">
        <f t="shared" si="29"/>
        <v>0.29329110089910093</v>
      </c>
      <c r="AS37" s="563">
        <f t="shared" si="30"/>
        <v>0.29329110089910093</v>
      </c>
      <c r="AT37" s="568">
        <f t="shared" ref="AT37:AV41" si="59">IFERROR(AQ37/W37,0)</f>
        <v>5.6703354389970935</v>
      </c>
      <c r="AU37" s="569">
        <f t="shared" si="59"/>
        <v>0.31502803533738016</v>
      </c>
      <c r="AV37" s="570">
        <f t="shared" si="59"/>
        <v>0.31502803533738016</v>
      </c>
      <c r="AX37" s="352"/>
      <c r="AY37" s="567" t="s">
        <v>61</v>
      </c>
      <c r="AZ37" s="568">
        <f>M97/1000</f>
        <v>6.2067600000000001</v>
      </c>
      <c r="BA37" s="561">
        <f>AZ37*$AN$23</f>
        <v>5.5860840000000005</v>
      </c>
      <c r="BB37" s="562">
        <f t="shared" ref="BB37:BB62" si="60">AZ37*$BB$23</f>
        <v>0.310338</v>
      </c>
      <c r="BC37" s="562">
        <f t="shared" ref="BC37:BC62" si="61">AZ37*$BC$23</f>
        <v>0.310338</v>
      </c>
      <c r="BD37" s="568">
        <f t="shared" si="33"/>
        <v>5.2006454732673264</v>
      </c>
      <c r="BE37" s="569">
        <f t="shared" si="34"/>
        <v>0.2889290851485149</v>
      </c>
      <c r="BF37" s="570">
        <f>IFERROR(L37*$Z37*AA37/L$21,0)</f>
        <v>0.2889290851485149</v>
      </c>
      <c r="BG37" s="568">
        <f t="shared" ref="BG37:BG56" si="62">IFERROR(BD37/W37,0)</f>
        <v>5.5860853633376228</v>
      </c>
      <c r="BH37" s="569">
        <f t="shared" ref="BH37:BH56" si="63">IFERROR(BE37/X37,0)</f>
        <v>0.31034273377928562</v>
      </c>
      <c r="BI37" s="570">
        <f t="shared" ref="BI37:BI56" si="64">IFERROR(BF37/Y37,0)</f>
        <v>0.31034273377928562</v>
      </c>
      <c r="BK37" s="352"/>
      <c r="BL37" s="567" t="s">
        <v>61</v>
      </c>
      <c r="BM37" s="568">
        <f>M117/1000</f>
        <v>3.0000000000000003E-4</v>
      </c>
      <c r="BN37" s="561">
        <f>BM37*$AN$23</f>
        <v>2.7000000000000006E-4</v>
      </c>
      <c r="BO37" s="562">
        <f t="shared" si="53"/>
        <v>1.5000000000000002E-5</v>
      </c>
      <c r="BP37" s="562">
        <f t="shared" si="54"/>
        <v>1.5000000000000002E-5</v>
      </c>
      <c r="BQ37" s="568">
        <f t="shared" si="38"/>
        <v>2.6540198019801983E-4</v>
      </c>
      <c r="BR37" s="569">
        <f t="shared" si="39"/>
        <v>1.5611881188118815E-5</v>
      </c>
      <c r="BS37" s="570">
        <f t="shared" si="40"/>
        <v>1.5611881188118815E-5</v>
      </c>
      <c r="BT37" s="568">
        <f t="shared" ref="BT37:BT56" si="65">IFERROR(BQ37/W37,0)</f>
        <v>2.8507194435877534E-4</v>
      </c>
      <c r="BU37" s="569">
        <f t="shared" ref="BU37:BU56" si="66">IFERROR(BR37/X37,0)</f>
        <v>1.6768937903457375E-5</v>
      </c>
      <c r="BV37" s="570">
        <f t="shared" ref="BV37:BV56" si="67">IFERROR(BS37/Y37,0)</f>
        <v>1.6768937903457375E-5</v>
      </c>
    </row>
    <row r="38" spans="3:74" ht="12.75" customHeight="1">
      <c r="C38" s="173" t="str">
        <f ca="1">+IF(OFFSET(Processes!B19,$D$11,0)="*","*",OFFSET(Processes!D19,$D$11,0))</f>
        <v>INDODCOBNGAE1</v>
      </c>
      <c r="D38" s="173" t="str">
        <f ca="1">+OFFSET(Processes!E19,$D$11,0)</f>
        <v>Other comm Heat High Temp. Boiler - Nat. Gas Existing 1</v>
      </c>
      <c r="E38" s="172" t="str">
        <f>+Processes!O19</f>
        <v>INDSNG1,INDSNG2,INDNGA</v>
      </c>
      <c r="F38" s="172" t="str">
        <f ca="1">+OFFSET(Processes!$M$12,$D$11,0) &amp; Processes!P19</f>
        <v>IODCO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IODCO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X38" s="530" t="str">
        <f t="shared" ca="1" si="12"/>
        <v>IODCO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K38" s="530" t="str">
        <f ca="1">AK38</f>
        <v>IODCO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row>
    <row r="39" spans="3:74" ht="12.75" customHeight="1">
      <c r="C39" s="173" t="str">
        <f ca="1">+IF(OFFSET(Processes!B20,$D$11,0)="*","*",OFFSET(Processes!D20,$D$11,0))</f>
        <v>INDODCOBCOAE1</v>
      </c>
      <c r="D39" s="173" t="str">
        <f ca="1">+OFFSET(Processes!E20,$D$11,0)</f>
        <v>Other comm Heat High Temp. Boiler - Coal Existing 1</v>
      </c>
      <c r="E39" s="172" t="str">
        <f>+Processes!O20</f>
        <v>INDCOA</v>
      </c>
      <c r="F39" s="172" t="str">
        <f ca="1">+OFFSET(Processes!$M$12,$D$11,0) &amp; Processes!P20</f>
        <v>IODCO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row>
    <row r="40" spans="3:74" ht="12.75" customHeight="1">
      <c r="C40" s="173" t="str">
        <f ca="1">+IF(OFFSET(Processes!B21,$D$11,0)="*","*",OFFSET(Processes!D21,$D$11,0))</f>
        <v>INDODCOBDSLE1</v>
      </c>
      <c r="D40" s="173" t="str">
        <f ca="1">+OFFSET(Processes!E21,$D$11,0)</f>
        <v>Other comm Heat High Temp. Boiler - Diesel Existing 1</v>
      </c>
      <c r="E40" s="172" t="str">
        <f>+Processes!O21</f>
        <v>INDDSB1,INDDSB2,INDDSL</v>
      </c>
      <c r="F40" s="172" t="str">
        <f ca="1">+OFFSET(Processes!$M$12,$D$11,0) &amp; Processes!P21</f>
        <v>IODCO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row>
    <row r="41" spans="3:74" ht="12.75" customHeight="1">
      <c r="C41" s="173" t="str">
        <f ca="1">+IF(OFFSET(Processes!B22,$D$11,0)="*","*",OFFSET(Processes!D22,$D$11,0))</f>
        <v>INDODCOBWPEE1</v>
      </c>
      <c r="D41" s="173" t="str">
        <f ca="1">+OFFSET(Processes!E22,$D$11,0)</f>
        <v>Other comm Heat High Temp. Boiler - Wood Pellets Existing 1</v>
      </c>
      <c r="E41" s="172" t="str">
        <f>+Processes!O22</f>
        <v>INDWPE</v>
      </c>
      <c r="F41" s="172" t="str">
        <f ca="1">+OFFSET(Processes!$M$12,$D$11,0) &amp; Processes!P22</f>
        <v>IODCO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row>
    <row r="42" spans="3:74"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row>
    <row r="43" spans="3:74" ht="12.75" customHeight="1">
      <c r="C43" s="173" t="str">
        <f ca="1">+IF(OFFSET(Processes!B24,$D$11,0)="*","*",OFFSET(Processes!D24,$D$11,0))</f>
        <v>INDODCOBHFOE1</v>
      </c>
      <c r="D43" s="173" t="str">
        <f ca="1">+OFFSET(Processes!E24,$D$11,0)</f>
        <v>Other comm Heat High Temp. Boiler - Heavy Fuel Oil Existing 1</v>
      </c>
      <c r="E43" s="172" t="str">
        <f>+Processes!O24</f>
        <v>INDHFO</v>
      </c>
      <c r="F43" s="172" t="str">
        <f ca="1">+OFFSET(Processes!$M$12,$D$11,0) &amp; Processes!P24</f>
        <v>IODCO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row>
    <row r="44" spans="3:74" ht="12.75" customHeight="1">
      <c r="C44" s="173" t="str">
        <f ca="1">+IF(OFFSET(Processes!B25,$D$11,0)="*","*",OFFSET(Processes!D25,$D$11,0))</f>
        <v>INDODCOBLPGE1</v>
      </c>
      <c r="D44" s="173" t="str">
        <f ca="1">+OFFSET(Processes!E25,$D$11,0)</f>
        <v>Other comm Heat High Temp. Boiler - Liquified Petroleum Gas Existing 1</v>
      </c>
      <c r="E44" s="172" t="str">
        <f>+Processes!O25</f>
        <v>INDLPG</v>
      </c>
      <c r="F44" s="172" t="str">
        <f ca="1">+OFFSET(Processes!$M$12,$D$11,0) &amp; Processes!P25</f>
        <v>IODCO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row>
    <row r="45" spans="3:74" ht="12.75" customHeight="1">
      <c r="C45" s="173" t="str">
        <f ca="1">+IF(OFFSET(Processes!B26,$D$11,0)="*","*",OFFSET(Processes!D26,$D$11,0))</f>
        <v>INDODCOBWSTE1</v>
      </c>
      <c r="D45" s="173" t="str">
        <f ca="1">+OFFSET(Processes!E26,$D$11,0)</f>
        <v>Other comm Heat High Temp. Boiler - Waste Existing 1</v>
      </c>
      <c r="E45" s="172" t="str">
        <f>+Processes!O26</f>
        <v>INDWST</v>
      </c>
      <c r="F45" s="172" t="str">
        <f ca="1">+OFFSET(Processes!$M$12,$D$11,0) &amp; Processes!P26</f>
        <v>IODCO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row>
    <row r="46" spans="3:74" ht="12.75" customHeight="1">
      <c r="C46" s="148" t="str">
        <f ca="1">+IF(OFFSET(Processes!B27,$D$11,0)="*","*",OFFSET(Processes!D27,$D$11,0))</f>
        <v>INDODCOBELCE1</v>
      </c>
      <c r="D46" s="148" t="str">
        <f ca="1">+OFFSET(Processes!E27,$D$11,0)</f>
        <v>Other comm Heat High Temp. Boiler - Electricity Existing 1</v>
      </c>
      <c r="E46" s="174" t="str">
        <f>+Processes!O27</f>
        <v>INDELC</v>
      </c>
      <c r="F46" s="174" t="str">
        <f ca="1">+OFFSET(Processes!$M$12,$D$11,0) &amp; Processes!P27</f>
        <v>IODCO</v>
      </c>
      <c r="G46" s="324">
        <f t="shared" si="18"/>
        <v>328.42899999999997</v>
      </c>
      <c r="H46" s="324">
        <f t="shared" si="19"/>
        <v>36.492999999999995</v>
      </c>
      <c r="I46" s="324">
        <f t="shared" si="20"/>
        <v>0</v>
      </c>
      <c r="J46" s="324">
        <f t="shared" si="21"/>
        <v>326.459</v>
      </c>
      <c r="K46" s="324">
        <f t="shared" si="22"/>
        <v>18.137</v>
      </c>
      <c r="L46" s="324">
        <f t="shared" si="23"/>
        <v>18.137</v>
      </c>
      <c r="M46" s="324">
        <f t="shared" si="24"/>
        <v>1.6E-2</v>
      </c>
      <c r="N46" s="324">
        <f t="shared" si="25"/>
        <v>1E-3</v>
      </c>
      <c r="O46" s="324">
        <f t="shared" si="26"/>
        <v>1E-3</v>
      </c>
      <c r="P46" s="324">
        <f t="shared" si="1"/>
        <v>1.6E-2</v>
      </c>
      <c r="Q46" s="324">
        <f t="shared" si="2"/>
        <v>1E-3</v>
      </c>
      <c r="R46" s="324">
        <f t="shared" si="3"/>
        <v>1E-3</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6.3003811506672172</v>
      </c>
      <c r="AH46" s="236">
        <f t="shared" si="71"/>
        <v>5.8964376793671391</v>
      </c>
      <c r="AI46" s="236">
        <f t="shared" si="72"/>
        <v>2.9088973914160747E-4</v>
      </c>
      <c r="AJ46" s="236"/>
      <c r="AK46" s="355"/>
      <c r="AL46" s="567" t="s">
        <v>61</v>
      </c>
      <c r="AM46" s="568">
        <f>M78/1000</f>
        <v>6.3003600000000004</v>
      </c>
      <c r="AN46" s="576">
        <f t="shared" si="73"/>
        <v>5.6703240000000008</v>
      </c>
      <c r="AO46" s="576">
        <f>AM46*(1-$AN$23)</f>
        <v>0.63003599999999993</v>
      </c>
      <c r="AP46" s="576"/>
      <c r="AQ46" s="586">
        <f t="shared" si="28"/>
        <v>5.1734949770229779</v>
      </c>
      <c r="AR46" s="576">
        <f t="shared" si="29"/>
        <v>0.57484677722277722</v>
      </c>
      <c r="AS46" s="577">
        <f t="shared" si="30"/>
        <v>0</v>
      </c>
      <c r="AT46" s="568">
        <f t="shared" si="74"/>
        <v>5.6703292235943117</v>
      </c>
      <c r="AU46" s="569">
        <f t="shared" si="74"/>
        <v>0.63005192707290514</v>
      </c>
      <c r="AV46" s="570">
        <f t="shared" si="74"/>
        <v>0</v>
      </c>
      <c r="AX46" s="355"/>
      <c r="AY46" s="567" t="s">
        <v>61</v>
      </c>
      <c r="AZ46" s="568">
        <f>M98/1000</f>
        <v>6.2067600000000001</v>
      </c>
      <c r="BA46" s="576">
        <f t="shared" si="75"/>
        <v>5.5860840000000005</v>
      </c>
      <c r="BB46" s="576">
        <f t="shared" si="60"/>
        <v>0.310338</v>
      </c>
      <c r="BC46" s="576">
        <f t="shared" si="61"/>
        <v>0.310338</v>
      </c>
      <c r="BD46" s="568">
        <f t="shared" si="33"/>
        <v>5.0966391207920791</v>
      </c>
      <c r="BE46" s="569">
        <f t="shared" si="34"/>
        <v>0.28315268910891089</v>
      </c>
      <c r="BF46" s="570">
        <f t="shared" si="35"/>
        <v>0.28315268910891089</v>
      </c>
      <c r="BG46" s="568">
        <f t="shared" si="62"/>
        <v>5.5860925500252954</v>
      </c>
      <c r="BH46" s="569">
        <f t="shared" si="63"/>
        <v>0.31034512934184322</v>
      </c>
      <c r="BI46" s="570">
        <f t="shared" si="64"/>
        <v>0.31034512934184322</v>
      </c>
      <c r="BK46" s="355"/>
      <c r="BL46" s="567" t="s">
        <v>61</v>
      </c>
      <c r="BM46" s="568">
        <f>M118/1000</f>
        <v>3.0000000000000003E-4</v>
      </c>
      <c r="BN46" s="576">
        <f t="shared" si="76"/>
        <v>2.7000000000000006E-4</v>
      </c>
      <c r="BO46" s="576">
        <f t="shared" si="53"/>
        <v>1.5000000000000002E-5</v>
      </c>
      <c r="BP46" s="576">
        <f t="shared" si="54"/>
        <v>1.5000000000000002E-5</v>
      </c>
      <c r="BQ46" s="568">
        <f t="shared" si="38"/>
        <v>2.4979009900990103E-4</v>
      </c>
      <c r="BR46" s="569">
        <f t="shared" si="39"/>
        <v>1.5611881188118815E-5</v>
      </c>
      <c r="BS46" s="570">
        <f t="shared" si="40"/>
        <v>1.5611881188118815E-5</v>
      </c>
      <c r="BT46" s="568">
        <f t="shared" si="65"/>
        <v>2.7377857801563061E-4</v>
      </c>
      <c r="BU46" s="569">
        <f t="shared" si="66"/>
        <v>1.7111161125976913E-5</v>
      </c>
      <c r="BV46" s="570">
        <f t="shared" si="67"/>
        <v>1.7111161125976913E-5</v>
      </c>
    </row>
    <row r="47" spans="3:74" ht="12.75" customHeight="1">
      <c r="C47" s="173" t="str">
        <f ca="1">+IF(OFFSET(Processes!B28,$D$11,0)="*","*",OFFSET(Processes!D28,$D$11,0))</f>
        <v>INDODSHBNGAE1</v>
      </c>
      <c r="D47" s="146" t="str">
        <f ca="1">+OFFSET(Processes!E28,$D$11,0)</f>
        <v>Other comm Heat Room Boiler - Nat. Gas Existing 1</v>
      </c>
      <c r="E47" s="149" t="str">
        <f>+Processes!O28</f>
        <v>INDSNG1,INDSNG2,INDNGA</v>
      </c>
      <c r="F47" s="149" t="str">
        <f ca="1">+OFFSET(Processes!$M$12,$D$11,0) &amp; Processes!P28</f>
        <v>IODSH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IODSH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X47" s="530" t="str">
        <f t="shared" ca="1" si="12"/>
        <v>IODSH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K47" s="530" t="str">
        <f ca="1">AK47</f>
        <v>IODSH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row>
    <row r="48" spans="3:74" ht="12.75" customHeight="1">
      <c r="C48" s="173" t="str">
        <f ca="1">+IF(OFFSET(Processes!B29,$D$11,0)="*","*",OFFSET(Processes!D29,$D$11,0))</f>
        <v>INDODSHBCOAE1</v>
      </c>
      <c r="D48" s="146" t="str">
        <f ca="1">+OFFSET(Processes!E29,$D$11,0)</f>
        <v>Other comm Heat Room Boiler - Coal Existing 1</v>
      </c>
      <c r="E48" s="149" t="str">
        <f>+Processes!O29</f>
        <v>INDCOA</v>
      </c>
      <c r="F48" s="149" t="str">
        <f ca="1">+OFFSET(Processes!$M$12,$D$11,0) &amp; Processes!P29</f>
        <v>IODSH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row>
    <row r="49" spans="3:74" ht="12.75" customHeight="1">
      <c r="C49" s="173" t="str">
        <f ca="1">+IF(OFFSET(Processes!B30,$D$11,0)="*","*",OFFSET(Processes!D30,$D$11,0))</f>
        <v>INDODSHBDSLE1</v>
      </c>
      <c r="D49" s="146" t="str">
        <f ca="1">+OFFSET(Processes!E30,$D$11,0)</f>
        <v>Other comm Heat Room Boiler - Diesel Existing 1</v>
      </c>
      <c r="E49" s="149" t="str">
        <f>+Processes!O30</f>
        <v>INDDSB1,INDDSB2,INDDSL</v>
      </c>
      <c r="F49" s="149" t="str">
        <f ca="1">+OFFSET(Processes!$M$12,$D$11,0) &amp; Processes!P30</f>
        <v>IODSH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row>
    <row r="50" spans="3:74" ht="12.75" customHeight="1">
      <c r="C50" s="173" t="str">
        <f ca="1">+IF(OFFSET(Processes!B31,$D$11,0)="*","*",OFFSET(Processes!D31,$D$11,0))</f>
        <v>INDODSHBWPEE1</v>
      </c>
      <c r="D50" s="146" t="str">
        <f ca="1">+OFFSET(Processes!E31,$D$11,0)</f>
        <v>Other comm Heat Room Boiler - Wood Pellets Existing 1</v>
      </c>
      <c r="E50" s="149" t="str">
        <f>+Processes!O31</f>
        <v>INDWPE</v>
      </c>
      <c r="F50" s="149" t="str">
        <f ca="1">+OFFSET(Processes!$M$12,$D$11,0) &amp; Processes!P31</f>
        <v>IODSH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row>
    <row r="51" spans="3:74"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row>
    <row r="52" spans="3:74" ht="12.75" customHeight="1">
      <c r="C52" s="173" t="str">
        <f ca="1">+IF(OFFSET(Processes!B33,$D$11,0)="*","*",OFFSET(Processes!D33,$D$11,0))</f>
        <v>INDODSHBBGAE1</v>
      </c>
      <c r="D52" s="146" t="str">
        <f ca="1">+OFFSET(Processes!E33,$D$11,0)</f>
        <v>Other comm Heat Room Boiler - Biogas Existing 1</v>
      </c>
      <c r="E52" s="149" t="str">
        <f>+Processes!O33</f>
        <v>INDBGA</v>
      </c>
      <c r="F52" s="149" t="str">
        <f ca="1">+OFFSET(Processes!$M$12,$D$11,0) &amp; Processes!P33</f>
        <v>IODSH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row>
    <row r="53" spans="3:74" ht="12.75" customHeight="1">
      <c r="C53" s="173" t="str">
        <f ca="1">+IF(OFFSET(Processes!B34,$D$11,0)="*","*",OFFSET(Processes!D34,$D$11,0))</f>
        <v>INDODSHBHFOE1</v>
      </c>
      <c r="D53" s="146" t="str">
        <f ca="1">+OFFSET(Processes!E34,$D$11,0)</f>
        <v>Other comm Heat Room Boiler - Heavy Fuel Oil Existing 1</v>
      </c>
      <c r="E53" s="149" t="str">
        <f>+Processes!O34</f>
        <v>INDHFO</v>
      </c>
      <c r="F53" s="149" t="str">
        <f ca="1">+OFFSET(Processes!$M$12,$D$11,0) &amp; Processes!P34</f>
        <v>IODSH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row>
    <row r="54" spans="3:74" ht="12.75" customHeight="1">
      <c r="C54" s="173" t="str">
        <f ca="1">+IF(OFFSET(Processes!B35,$D$11,0)="*","*",OFFSET(Processes!D35,$D$11,0))</f>
        <v>INDODSHBLPGE1</v>
      </c>
      <c r="D54" s="146" t="str">
        <f ca="1">+OFFSET(Processes!E35,$D$11,0)</f>
        <v>Other comm Heat Room Boiler - Liquified Petroleum Gas Existing 1</v>
      </c>
      <c r="E54" s="149" t="str">
        <f>+Processes!O35</f>
        <v>INDLPG</v>
      </c>
      <c r="F54" s="149" t="str">
        <f ca="1">+OFFSET(Processes!$M$12,$D$11,0) &amp; Processes!P35</f>
        <v>IODSH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row>
    <row r="55" spans="3:74" ht="12.75" customHeight="1">
      <c r="C55" s="173" t="str">
        <f ca="1">+IF(OFFSET(Processes!B36,$D$11,0)="*","*",OFFSET(Processes!D36,$D$11,0))</f>
        <v>INDODSHBWSTE1</v>
      </c>
      <c r="D55" s="146" t="str">
        <f ca="1">+OFFSET(Processes!E36,$D$11,0)</f>
        <v>Other comm Heat Room Boiler - Waste Existing 1</v>
      </c>
      <c r="E55" s="149" t="str">
        <f>+Processes!O36</f>
        <v>INDWST</v>
      </c>
      <c r="F55" s="149" t="str">
        <f ca="1">+OFFSET(Processes!$M$12,$D$11,0) &amp; Processes!P36</f>
        <v>IODSH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row>
    <row r="56" spans="3:74" ht="12.75" customHeight="1">
      <c r="C56" s="173" t="str">
        <f ca="1">+IF(OFFSET(Processes!B37,$D$11,0)="*","*",OFFSET(Processes!D37,$D$11,0))</f>
        <v>INDODSHBHETE1</v>
      </c>
      <c r="D56" s="146" t="str">
        <f ca="1">+OFFSET(Processes!E37,$D$11,0)</f>
        <v>Other comm Heat Room Boiler - Dist. Heat Existing 1</v>
      </c>
      <c r="E56" s="149" t="str">
        <f>+Processes!O37</f>
        <v>INDHCE</v>
      </c>
      <c r="F56" s="149" t="str">
        <f ca="1">+OFFSET(Processes!$M$12,$D$11,0) &amp; Processes!P37</f>
        <v>IODSH</v>
      </c>
      <c r="G56" s="321">
        <f t="shared" si="18"/>
        <v>392.11199999999997</v>
      </c>
      <c r="H56" s="321">
        <f t="shared" si="19"/>
        <v>0</v>
      </c>
      <c r="I56" s="321">
        <f t="shared" si="20"/>
        <v>0</v>
      </c>
      <c r="J56" s="321">
        <f t="shared" si="21"/>
        <v>408.91999999999996</v>
      </c>
      <c r="K56" s="321">
        <f t="shared" si="22"/>
        <v>0</v>
      </c>
      <c r="L56" s="321">
        <f t="shared" si="23"/>
        <v>0</v>
      </c>
      <c r="M56" s="321">
        <f t="shared" si="24"/>
        <v>3749.12</v>
      </c>
      <c r="N56" s="321">
        <f t="shared" si="25"/>
        <v>0</v>
      </c>
      <c r="O56" s="321">
        <f t="shared" si="26"/>
        <v>0</v>
      </c>
      <c r="P56" s="321">
        <f t="shared" si="1"/>
        <v>3749.12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6.4340055944055949</v>
      </c>
      <c r="AH56" s="236">
        <f t="shared" si="83"/>
        <v>6.6500108910891091</v>
      </c>
      <c r="AI56" s="236">
        <f t="shared" si="84"/>
        <v>60.9696</v>
      </c>
      <c r="AJ56" s="236"/>
      <c r="AK56" s="356"/>
      <c r="AL56" s="559" t="s">
        <v>103</v>
      </c>
      <c r="AM56" s="560">
        <f>N82/1000</f>
        <v>6.4340000000000002</v>
      </c>
      <c r="AN56" s="613">
        <f>AM56</f>
        <v>6.4340000000000002</v>
      </c>
      <c r="AO56" s="614">
        <v>0</v>
      </c>
      <c r="AP56" s="614">
        <v>0</v>
      </c>
      <c r="AQ56" s="582">
        <f t="shared" si="28"/>
        <v>6.1766453706293705</v>
      </c>
      <c r="AR56" s="562">
        <f t="shared" si="29"/>
        <v>0</v>
      </c>
      <c r="AS56" s="563">
        <f t="shared" si="30"/>
        <v>0</v>
      </c>
      <c r="AT56" s="560">
        <f t="shared" si="85"/>
        <v>6.4340055944055941</v>
      </c>
      <c r="AU56" s="561">
        <f t="shared" si="85"/>
        <v>0</v>
      </c>
      <c r="AV56" s="566">
        <f t="shared" si="85"/>
        <v>0</v>
      </c>
      <c r="AX56" s="356"/>
      <c r="AY56" s="559" t="s">
        <v>103</v>
      </c>
      <c r="AZ56" s="560">
        <f>N102/1000</f>
        <v>6.65</v>
      </c>
      <c r="BA56" s="613">
        <f>AZ56</f>
        <v>6.65</v>
      </c>
      <c r="BB56" s="614">
        <v>0</v>
      </c>
      <c r="BC56" s="614">
        <v>0</v>
      </c>
      <c r="BD56" s="560">
        <f t="shared" si="33"/>
        <v>6.3840104554455444</v>
      </c>
      <c r="BE56" s="561">
        <f t="shared" si="34"/>
        <v>0</v>
      </c>
      <c r="BF56" s="566">
        <f t="shared" si="35"/>
        <v>0</v>
      </c>
      <c r="BG56" s="560">
        <f t="shared" si="62"/>
        <v>6.6500108910891091</v>
      </c>
      <c r="BH56" s="561">
        <f t="shared" si="63"/>
        <v>0</v>
      </c>
      <c r="BI56" s="566">
        <f t="shared" si="64"/>
        <v>0</v>
      </c>
      <c r="BK56" s="356"/>
      <c r="BL56" s="559" t="s">
        <v>103</v>
      </c>
      <c r="BM56" s="560">
        <f>N122/1000</f>
        <v>60.9696</v>
      </c>
      <c r="BN56" s="613">
        <f>BM56</f>
        <v>60.9696</v>
      </c>
      <c r="BO56" s="614">
        <v>0</v>
      </c>
      <c r="BP56" s="614">
        <v>0</v>
      </c>
      <c r="BQ56" s="560">
        <f t="shared" si="38"/>
        <v>58.530815999999994</v>
      </c>
      <c r="BR56" s="561">
        <f t="shared" si="39"/>
        <v>0</v>
      </c>
      <c r="BS56" s="566">
        <f t="shared" si="40"/>
        <v>0</v>
      </c>
      <c r="BT56" s="560">
        <f t="shared" si="65"/>
        <v>60.9696</v>
      </c>
      <c r="BU56" s="561">
        <f t="shared" si="66"/>
        <v>0</v>
      </c>
      <c r="BV56" s="566">
        <f t="shared" si="67"/>
        <v>0</v>
      </c>
    </row>
    <row r="57" spans="3:74" ht="12.75" customHeight="1">
      <c r="C57" s="173" t="str">
        <f ca="1">+IF(OFFSET(Processes!B38,$D$11,0)="*","*",OFFSET(Processes!D38,$D$11,0))</f>
        <v>INDODSHBHETE2</v>
      </c>
      <c r="D57" s="146" t="str">
        <f ca="1">+OFFSET(Processes!E38,$D$11,0)</f>
        <v>Other comm Heat Room Boiler - Dist. Heat Existing 2</v>
      </c>
      <c r="E57" s="149" t="str">
        <f>+Processes!O38</f>
        <v>INDHDE</v>
      </c>
      <c r="F57" s="149" t="str">
        <f ca="1">+OFFSET(Processes!$M$12,$D$11,0) &amp; Processes!P38</f>
        <v>IODSH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X57" s="356"/>
      <c r="AY57" s="559" t="s">
        <v>104</v>
      </c>
      <c r="AZ57" s="560"/>
      <c r="BA57" s="613">
        <f>AZ57</f>
        <v>0</v>
      </c>
      <c r="BB57" s="614">
        <v>0</v>
      </c>
      <c r="BC57" s="614">
        <v>0</v>
      </c>
      <c r="BD57" s="560">
        <f t="shared" si="33"/>
        <v>0</v>
      </c>
      <c r="BE57" s="561">
        <f t="shared" si="34"/>
        <v>0</v>
      </c>
      <c r="BF57" s="566">
        <f t="shared" si="35"/>
        <v>0</v>
      </c>
      <c r="BG57" s="560"/>
      <c r="BH57" s="561"/>
      <c r="BI57" s="566"/>
      <c r="BK57" s="356"/>
      <c r="BL57" s="559" t="s">
        <v>104</v>
      </c>
      <c r="BM57" s="560"/>
      <c r="BN57" s="613">
        <f>BM57</f>
        <v>0</v>
      </c>
      <c r="BO57" s="614">
        <v>0</v>
      </c>
      <c r="BP57" s="614">
        <v>0</v>
      </c>
      <c r="BQ57" s="560">
        <f t="shared" si="38"/>
        <v>0</v>
      </c>
      <c r="BR57" s="561">
        <f t="shared" si="39"/>
        <v>0</v>
      </c>
      <c r="BS57" s="566">
        <f t="shared" si="40"/>
        <v>0</v>
      </c>
      <c r="BT57" s="560"/>
      <c r="BU57" s="561"/>
      <c r="BV57" s="566"/>
    </row>
    <row r="58" spans="3:74" ht="12.75" customHeight="1">
      <c r="C58" s="173" t="str">
        <f ca="1">+IF(OFFSET(Processes!B39,$D$11,0)="*","*",OFFSET(Processes!D39,$D$11,0))</f>
        <v>INDODSHBELCE1</v>
      </c>
      <c r="D58" s="148" t="str">
        <f ca="1">+OFFSET(Processes!E39,$D$11,0)</f>
        <v>Other comm Heat Room Boiler - Electricity Existing 1</v>
      </c>
      <c r="E58" s="172" t="str">
        <f>+Processes!O39</f>
        <v>INDELC</v>
      </c>
      <c r="F58" s="174" t="str">
        <f ca="1">+OFFSET(Processes!$M$12,$D$11,0) &amp; Processes!P39</f>
        <v>IODSH</v>
      </c>
      <c r="G58" s="324">
        <f t="shared" si="18"/>
        <v>102.592</v>
      </c>
      <c r="H58" s="324">
        <f t="shared" si="19"/>
        <v>5.7</v>
      </c>
      <c r="I58" s="324">
        <f t="shared" si="20"/>
        <v>5.7</v>
      </c>
      <c r="J58" s="324">
        <f t="shared" si="21"/>
        <v>101.976</v>
      </c>
      <c r="K58" s="324">
        <f t="shared" si="22"/>
        <v>5.6660000000000004</v>
      </c>
      <c r="L58" s="324">
        <f t="shared" si="23"/>
        <v>5.6660000000000004</v>
      </c>
      <c r="M58" s="324">
        <f t="shared" si="24"/>
        <v>5.0000000000000001E-3</v>
      </c>
      <c r="N58" s="324">
        <f t="shared" si="25"/>
        <v>1E-3</v>
      </c>
      <c r="O58" s="324">
        <f t="shared" si="26"/>
        <v>1E-3</v>
      </c>
      <c r="P58" s="324">
        <f t="shared" si="1"/>
        <v>5.0000000000000001E-3</v>
      </c>
      <c r="Q58" s="324">
        <f t="shared" si="2"/>
        <v>1E-3</v>
      </c>
      <c r="R58" s="324">
        <f t="shared" si="3"/>
        <v>1E-3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1.7956235932488569</v>
      </c>
      <c r="AH58" s="236">
        <f t="shared" si="83"/>
        <v>1.7689411735278793</v>
      </c>
      <c r="AI58" s="236">
        <f t="shared" si="84"/>
        <v>9.8601354872329344E-5</v>
      </c>
      <c r="AJ58" s="236"/>
      <c r="AK58" s="355"/>
      <c r="AL58" s="567" t="s">
        <v>61</v>
      </c>
      <c r="AM58" s="560">
        <f>M82/1000</f>
        <v>1.8901079999999999</v>
      </c>
      <c r="AN58" s="561">
        <f t="shared" si="77"/>
        <v>1.7010972</v>
      </c>
      <c r="AO58" s="562">
        <f t="shared" si="78"/>
        <v>9.4505400000000003E-2</v>
      </c>
      <c r="AP58" s="562">
        <f t="shared" si="79"/>
        <v>9.4505400000000003E-2</v>
      </c>
      <c r="AQ58" s="582">
        <f t="shared" si="28"/>
        <v>1.6160546013986017</v>
      </c>
      <c r="AR58" s="562">
        <f t="shared" si="29"/>
        <v>8.9787812187812205E-2</v>
      </c>
      <c r="AS58" s="563">
        <f t="shared" si="30"/>
        <v>8.9787812187812205E-2</v>
      </c>
      <c r="AT58" s="560">
        <f t="shared" ref="AT58:AV62" si="87">IFERROR(AQ58/W58,0)</f>
        <v>1.7011101067353702</v>
      </c>
      <c r="AU58" s="561">
        <f t="shared" si="87"/>
        <v>9.4513486513486539E-2</v>
      </c>
      <c r="AV58" s="566">
        <f t="shared" si="87"/>
        <v>9.4513486513486539E-2</v>
      </c>
      <c r="AX58" s="355"/>
      <c r="AY58" s="567" t="s">
        <v>61</v>
      </c>
      <c r="AZ58" s="560">
        <f>M102/1000</f>
        <v>1.8620279999999998</v>
      </c>
      <c r="BA58" s="561">
        <f>AZ58*$AN$23</f>
        <v>1.6758251999999998</v>
      </c>
      <c r="BB58" s="562">
        <f t="shared" si="60"/>
        <v>9.3101400000000001E-2</v>
      </c>
      <c r="BC58" s="562">
        <f t="shared" si="61"/>
        <v>9.3101400000000001E-2</v>
      </c>
      <c r="BD58" s="560">
        <f t="shared" si="33"/>
        <v>1.592037196039604</v>
      </c>
      <c r="BE58" s="561">
        <f t="shared" si="34"/>
        <v>8.8456918811881197E-2</v>
      </c>
      <c r="BF58" s="566">
        <f t="shared" si="35"/>
        <v>8.8456918811881197E-2</v>
      </c>
      <c r="BG58" s="560">
        <f t="shared" ref="BG58:BI62" si="88">IFERROR(BD58/W58,0)</f>
        <v>1.6758286274101095</v>
      </c>
      <c r="BH58" s="561">
        <f t="shared" si="88"/>
        <v>9.3112546117769687E-2</v>
      </c>
      <c r="BI58" s="566">
        <f t="shared" si="88"/>
        <v>9.3112546117769687E-2</v>
      </c>
      <c r="BK58" s="355"/>
      <c r="BL58" s="567" t="s">
        <v>61</v>
      </c>
      <c r="BM58" s="560">
        <f>M122/1000</f>
        <v>8.9999999999999992E-5</v>
      </c>
      <c r="BN58" s="561">
        <f>BM58*$AN$23</f>
        <v>8.099999999999999E-5</v>
      </c>
      <c r="BO58" s="562">
        <f t="shared" si="53"/>
        <v>4.5000000000000001E-6</v>
      </c>
      <c r="BP58" s="562">
        <f t="shared" si="54"/>
        <v>4.5000000000000001E-6</v>
      </c>
      <c r="BQ58" s="560">
        <f t="shared" si="38"/>
        <v>7.8059405940594066E-5</v>
      </c>
      <c r="BR58" s="561">
        <f t="shared" si="39"/>
        <v>1.5611881188118815E-5</v>
      </c>
      <c r="BS58" s="566">
        <f t="shared" si="40"/>
        <v>1.5611881188118815E-5</v>
      </c>
      <c r="BT58" s="560">
        <f t="shared" ref="BT58:BV62" si="89">IFERROR(BQ58/W58,0)</f>
        <v>8.2167795726941127E-5</v>
      </c>
      <c r="BU58" s="561">
        <f t="shared" si="89"/>
        <v>1.6433559145388227E-5</v>
      </c>
      <c r="BV58" s="566">
        <f t="shared" si="89"/>
        <v>1.6433559145388227E-5</v>
      </c>
    </row>
    <row r="59" spans="3:74" ht="12.75" customHeight="1">
      <c r="C59" s="175" t="str">
        <f ca="1">+IF(OFFSET(Processes!B40,$D$11,0)="*","*",OFFSET(Processes!D40,$D$11,0))</f>
        <v>INDODLAAELCE1</v>
      </c>
      <c r="D59" s="146" t="str">
        <f ca="1">+OFFSET(Processes!E40,$D$11,0)</f>
        <v>Other comm Electricity Light Appliance - Electricity Existing 1</v>
      </c>
      <c r="E59" s="176" t="str">
        <f>+Processes!O40</f>
        <v>INDELC</v>
      </c>
      <c r="F59" s="149" t="str">
        <f ca="1">+OFFSET(Processes!$M$12,$D$11,0) &amp; Processes!P40</f>
        <v>IODLA</v>
      </c>
      <c r="G59" s="323">
        <f t="shared" si="18"/>
        <v>575.95100000000002</v>
      </c>
      <c r="H59" s="323">
        <f t="shared" si="19"/>
        <v>31.998000000000001</v>
      </c>
      <c r="I59" s="323">
        <f t="shared" si="20"/>
        <v>31.998000000000001</v>
      </c>
      <c r="J59" s="323">
        <f t="shared" si="21"/>
        <v>572.49599999999998</v>
      </c>
      <c r="K59" s="323">
        <f t="shared" si="22"/>
        <v>31.806000000000001</v>
      </c>
      <c r="L59" s="323">
        <f t="shared" si="23"/>
        <v>31.806000000000001</v>
      </c>
      <c r="M59" s="323">
        <f t="shared" si="24"/>
        <v>2.8000000000000001E-2</v>
      </c>
      <c r="N59" s="323">
        <f t="shared" si="25"/>
        <v>2E-3</v>
      </c>
      <c r="O59" s="323">
        <f t="shared" si="26"/>
        <v>2E-3</v>
      </c>
      <c r="P59" s="323">
        <f t="shared" si="1"/>
        <v>2.8000000000000001E-2</v>
      </c>
      <c r="Q59" s="323">
        <f t="shared" si="2"/>
        <v>2E-3</v>
      </c>
      <c r="R59" s="323">
        <f t="shared" si="3"/>
        <v>2E-3</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9.5765632687312703</v>
      </c>
      <c r="AH59" s="236">
        <f t="shared" si="83"/>
        <v>9.4342910257425743</v>
      </c>
      <c r="AI59" s="236">
        <f t="shared" si="84"/>
        <v>4.6835643564356431E-4</v>
      </c>
      <c r="AJ59" s="236"/>
      <c r="AK59" s="531" t="str">
        <f ca="1">F59</f>
        <v>IODLA</v>
      </c>
      <c r="AL59" s="578" t="s">
        <v>61</v>
      </c>
      <c r="AM59" s="579">
        <f>M80/1000</f>
        <v>10.080575999999999</v>
      </c>
      <c r="AN59" s="580">
        <f t="shared" si="77"/>
        <v>9.0725183999999999</v>
      </c>
      <c r="AO59" s="583">
        <f t="shared" si="78"/>
        <v>0.50402879999999994</v>
      </c>
      <c r="AP59" s="583">
        <f t="shared" si="79"/>
        <v>0.50402879999999994</v>
      </c>
      <c r="AQ59" s="584">
        <f t="shared" si="28"/>
        <v>9.0725228451548467</v>
      </c>
      <c r="AR59" s="583">
        <f t="shared" si="29"/>
        <v>0.50404042357642376</v>
      </c>
      <c r="AS59" s="585">
        <f t="shared" si="30"/>
        <v>0.50404042357642376</v>
      </c>
      <c r="AT59" s="579">
        <f t="shared" si="87"/>
        <v>9.0725228451548467</v>
      </c>
      <c r="AU59" s="580">
        <f t="shared" si="87"/>
        <v>0.50404042357642376</v>
      </c>
      <c r="AV59" s="581">
        <f t="shared" si="87"/>
        <v>0.50404042357642376</v>
      </c>
      <c r="AX59" s="531" t="str">
        <f t="shared" ca="1" si="12"/>
        <v>IODLA</v>
      </c>
      <c r="AY59" s="578" t="s">
        <v>61</v>
      </c>
      <c r="AZ59" s="579">
        <f>M100/1000</f>
        <v>9.9308160000000001</v>
      </c>
      <c r="BA59" s="580">
        <f>AZ59*$AN$23</f>
        <v>8.9377344000000001</v>
      </c>
      <c r="BB59" s="583">
        <f t="shared" si="60"/>
        <v>0.4965408</v>
      </c>
      <c r="BC59" s="583">
        <f t="shared" si="61"/>
        <v>0.4965408</v>
      </c>
      <c r="BD59" s="579">
        <f t="shared" si="33"/>
        <v>8.9377395326732678</v>
      </c>
      <c r="BE59" s="580">
        <f t="shared" si="34"/>
        <v>0.4965514930693069</v>
      </c>
      <c r="BF59" s="581">
        <f t="shared" si="35"/>
        <v>0.4965514930693069</v>
      </c>
      <c r="BG59" s="579">
        <f t="shared" si="88"/>
        <v>8.9377395326732678</v>
      </c>
      <c r="BH59" s="580">
        <f t="shared" si="88"/>
        <v>0.4965514930693069</v>
      </c>
      <c r="BI59" s="581">
        <f t="shared" si="88"/>
        <v>0.4965514930693069</v>
      </c>
      <c r="BK59" s="531" t="str">
        <f ca="1">AK59</f>
        <v>IODLA</v>
      </c>
      <c r="BL59" s="578" t="s">
        <v>61</v>
      </c>
      <c r="BM59" s="579">
        <f>M120/1000</f>
        <v>4.7999999999999996E-4</v>
      </c>
      <c r="BN59" s="580">
        <f>BM59*$AN$23</f>
        <v>4.3199999999999998E-4</v>
      </c>
      <c r="BO59" s="583">
        <f t="shared" si="53"/>
        <v>2.4000000000000001E-5</v>
      </c>
      <c r="BP59" s="583">
        <f t="shared" si="54"/>
        <v>2.4000000000000001E-5</v>
      </c>
      <c r="BQ59" s="579">
        <f t="shared" si="38"/>
        <v>4.3713267326732672E-4</v>
      </c>
      <c r="BR59" s="580">
        <f t="shared" si="39"/>
        <v>3.1223762376237629E-5</v>
      </c>
      <c r="BS59" s="581">
        <f t="shared" si="40"/>
        <v>3.1223762376237629E-5</v>
      </c>
      <c r="BT59" s="579">
        <f t="shared" si="89"/>
        <v>4.3713267326732672E-4</v>
      </c>
      <c r="BU59" s="580">
        <f t="shared" si="89"/>
        <v>3.1223762376237629E-5</v>
      </c>
      <c r="BV59" s="581">
        <f t="shared" si="89"/>
        <v>3.1223762376237629E-5</v>
      </c>
    </row>
    <row r="60" spans="3:74" ht="12.75" customHeight="1">
      <c r="C60" s="148" t="str">
        <f ca="1">+IF(OFFSET(Processes!B41,$D$11,0)="*","*",OFFSET(Processes!D41,$D$11,0))</f>
        <v>INDODEMMELCE1</v>
      </c>
      <c r="D60" s="148" t="str">
        <f ca="1">+OFFSET(Processes!E41,$D$11,0)</f>
        <v>Other comm Electricity Motors - Electricity Existing 1</v>
      </c>
      <c r="E60" s="174" t="str">
        <f>+Processes!O41</f>
        <v>INDELC</v>
      </c>
      <c r="F60" s="174" t="str">
        <f ca="1">+OFFSET(Processes!$M$12,$D$11,0) &amp; Processes!P41</f>
        <v>IODEM</v>
      </c>
      <c r="G60" s="324">
        <f t="shared" si="18"/>
        <v>2195.8130000000001</v>
      </c>
      <c r="H60" s="324">
        <f t="shared" si="19"/>
        <v>121.99000000000001</v>
      </c>
      <c r="I60" s="324">
        <f t="shared" si="20"/>
        <v>121.99000000000001</v>
      </c>
      <c r="J60" s="324">
        <f t="shared" si="21"/>
        <v>2182.6400000000003</v>
      </c>
      <c r="K60" s="324">
        <f t="shared" si="22"/>
        <v>121.25800000000001</v>
      </c>
      <c r="L60" s="324">
        <f t="shared" si="23"/>
        <v>121.25800000000001</v>
      </c>
      <c r="M60" s="324">
        <f t="shared" si="24"/>
        <v>0.106</v>
      </c>
      <c r="N60" s="324">
        <f t="shared" si="25"/>
        <v>6.0000000000000001E-3</v>
      </c>
      <c r="O60" s="324">
        <f t="shared" si="26"/>
        <v>6.0000000000000001E-3</v>
      </c>
      <c r="P60" s="324">
        <f t="shared" si="1"/>
        <v>0.106</v>
      </c>
      <c r="Q60" s="324">
        <f t="shared" si="2"/>
        <v>6.0000000000000001E-3</v>
      </c>
      <c r="R60" s="324">
        <f t="shared" si="3"/>
        <v>6.0000000000000001E-3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36.510607096903101</v>
      </c>
      <c r="AH60" s="236">
        <f t="shared" si="83"/>
        <v>35.968181845544557</v>
      </c>
      <c r="AI60" s="236">
        <f t="shared" si="84"/>
        <v>1.7485306930693069E-3</v>
      </c>
      <c r="AJ60" s="236"/>
      <c r="AK60" s="536" t="str">
        <f ca="1">F60</f>
        <v>IODEM</v>
      </c>
      <c r="AL60" s="578" t="s">
        <v>61</v>
      </c>
      <c r="AM60" s="579">
        <f>M81/1000</f>
        <v>38.432195999999998</v>
      </c>
      <c r="AN60" s="580">
        <f t="shared" si="77"/>
        <v>34.5889764</v>
      </c>
      <c r="AO60" s="583">
        <f t="shared" si="78"/>
        <v>1.9216097999999999</v>
      </c>
      <c r="AP60" s="583">
        <f t="shared" si="79"/>
        <v>1.9216097999999999</v>
      </c>
      <c r="AQ60" s="584">
        <f t="shared" si="28"/>
        <v>34.588990393606402</v>
      </c>
      <c r="AR60" s="583">
        <f t="shared" si="29"/>
        <v>1.9216167032967038</v>
      </c>
      <c r="AS60" s="585">
        <f t="shared" si="30"/>
        <v>1.9216167032967038</v>
      </c>
      <c r="AT60" s="579">
        <f t="shared" si="87"/>
        <v>34.588990393606402</v>
      </c>
      <c r="AU60" s="580">
        <f t="shared" si="87"/>
        <v>1.9216167032967038</v>
      </c>
      <c r="AV60" s="581">
        <f t="shared" si="87"/>
        <v>1.9216167032967038</v>
      </c>
      <c r="AX60" s="536" t="str">
        <f t="shared" ca="1" si="12"/>
        <v>IODEM</v>
      </c>
      <c r="AY60" s="578" t="s">
        <v>61</v>
      </c>
      <c r="AZ60" s="579">
        <f>M101/1000</f>
        <v>37.861235999999998</v>
      </c>
      <c r="BA60" s="580">
        <f>AZ60*$AN$23</f>
        <v>34.075112400000002</v>
      </c>
      <c r="BB60" s="583">
        <f t="shared" si="60"/>
        <v>1.8930617999999999</v>
      </c>
      <c r="BC60" s="583">
        <f t="shared" si="61"/>
        <v>1.8930617999999999</v>
      </c>
      <c r="BD60" s="579">
        <f t="shared" si="33"/>
        <v>34.07511635643565</v>
      </c>
      <c r="BE60" s="580">
        <f t="shared" si="34"/>
        <v>1.8930654891089111</v>
      </c>
      <c r="BF60" s="581">
        <f t="shared" si="35"/>
        <v>1.8930654891089111</v>
      </c>
      <c r="BG60" s="579">
        <f t="shared" si="88"/>
        <v>34.07511635643565</v>
      </c>
      <c r="BH60" s="580">
        <f t="shared" si="88"/>
        <v>1.8930654891089111</v>
      </c>
      <c r="BI60" s="581">
        <f t="shared" si="88"/>
        <v>1.8930654891089111</v>
      </c>
      <c r="BK60" s="536" t="str">
        <f ca="1">AK60</f>
        <v>IODEM</v>
      </c>
      <c r="BL60" s="578" t="s">
        <v>61</v>
      </c>
      <c r="BM60" s="579">
        <f>M121/1000</f>
        <v>1.83E-3</v>
      </c>
      <c r="BN60" s="580">
        <f>BM60*$AN$23</f>
        <v>1.647E-3</v>
      </c>
      <c r="BO60" s="583">
        <f t="shared" si="53"/>
        <v>9.1500000000000001E-5</v>
      </c>
      <c r="BP60" s="583">
        <f t="shared" si="54"/>
        <v>9.1500000000000001E-5</v>
      </c>
      <c r="BQ60" s="579">
        <f t="shared" si="38"/>
        <v>1.6548594059405941E-3</v>
      </c>
      <c r="BR60" s="580">
        <f t="shared" si="39"/>
        <v>9.3671287128712887E-5</v>
      </c>
      <c r="BS60" s="581">
        <f t="shared" si="40"/>
        <v>9.3671287128712887E-5</v>
      </c>
      <c r="BT60" s="579">
        <f t="shared" si="89"/>
        <v>1.6548594059405941E-3</v>
      </c>
      <c r="BU60" s="580">
        <f t="shared" si="89"/>
        <v>9.3671287128712887E-5</v>
      </c>
      <c r="BV60" s="581">
        <f t="shared" si="89"/>
        <v>9.3671287128712887E-5</v>
      </c>
    </row>
    <row r="61" spans="3:74" ht="12.75" customHeight="1">
      <c r="C61" s="173" t="str">
        <f ca="1">+IF(OFFSET(Processes!B42,$D$11,0)="*","*",OFFSET(Processes!D42,$D$11,0))</f>
        <v>INDODTFTDSLE1</v>
      </c>
      <c r="D61" s="173" t="str">
        <f ca="1">+OFFSET(Processes!E42,$D$11,0)</f>
        <v>Other comm Tractors, Trucks, Fishing boats, Forest machines - Diesel Existing 1</v>
      </c>
      <c r="E61" s="172" t="str">
        <f>+Processes!O42</f>
        <v>INDDSB1,INDDSB2,INDDSL</v>
      </c>
      <c r="F61" s="173" t="str">
        <f ca="1">+OFFSET(Processes!$M$12,$D$11,0) &amp; Processes!P42</f>
        <v>IODTF</v>
      </c>
      <c r="G61" s="323">
        <f t="shared" si="18"/>
        <v>588.19100000000003</v>
      </c>
      <c r="H61" s="323">
        <f t="shared" si="19"/>
        <v>32.677999999999997</v>
      </c>
      <c r="I61" s="323">
        <f t="shared" si="20"/>
        <v>32.677999999999997</v>
      </c>
      <c r="J61" s="323">
        <f t="shared" si="21"/>
        <v>224.60300000000001</v>
      </c>
      <c r="K61" s="323">
        <f t="shared" si="22"/>
        <v>12.478</v>
      </c>
      <c r="L61" s="323">
        <f t="shared" si="23"/>
        <v>12.478</v>
      </c>
      <c r="M61" s="323">
        <f t="shared" si="24"/>
        <v>185.601</v>
      </c>
      <c r="N61" s="323">
        <f t="shared" si="25"/>
        <v>10.311999999999999</v>
      </c>
      <c r="O61" s="323">
        <f t="shared" si="26"/>
        <v>10.311999999999999</v>
      </c>
      <c r="P61" s="323">
        <f t="shared" si="1"/>
        <v>185.601</v>
      </c>
      <c r="Q61" s="323">
        <f t="shared" si="2"/>
        <v>10.311999999999999</v>
      </c>
      <c r="R61" s="323">
        <f t="shared" si="3"/>
        <v>10.311999999999999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9.7800823096903127</v>
      </c>
      <c r="AH61" s="236">
        <f t="shared" si="83"/>
        <v>3.7012804039603964</v>
      </c>
      <c r="AI61" s="236">
        <f t="shared" si="84"/>
        <v>3.0585704792079209</v>
      </c>
      <c r="AJ61" s="236"/>
      <c r="AK61" s="536" t="str">
        <f ca="1">F61</f>
        <v>IODTF</v>
      </c>
      <c r="AL61" s="578" t="s">
        <v>59</v>
      </c>
      <c r="AM61" s="579">
        <f>F79/1000</f>
        <v>10.294799999999999</v>
      </c>
      <c r="AN61" s="580">
        <f t="shared" si="77"/>
        <v>9.2653199999999991</v>
      </c>
      <c r="AO61" s="583">
        <f t="shared" si="78"/>
        <v>0.51473999999999998</v>
      </c>
      <c r="AP61" s="583">
        <f t="shared" si="79"/>
        <v>0.51473999999999998</v>
      </c>
      <c r="AQ61" s="584">
        <f t="shared" si="28"/>
        <v>9.2653303576423607</v>
      </c>
      <c r="AR61" s="583">
        <f t="shared" si="29"/>
        <v>0.5147519520479521</v>
      </c>
      <c r="AS61" s="585">
        <f t="shared" si="30"/>
        <v>0.5147519520479521</v>
      </c>
      <c r="AT61" s="579">
        <f t="shared" si="87"/>
        <v>9.2653303576423607</v>
      </c>
      <c r="AU61" s="580">
        <f t="shared" si="87"/>
        <v>0.5147519520479521</v>
      </c>
      <c r="AV61" s="581">
        <f t="shared" si="87"/>
        <v>0.5147519520479521</v>
      </c>
      <c r="AX61" s="536" t="str">
        <f t="shared" ca="1" si="12"/>
        <v>IODTF</v>
      </c>
      <c r="AY61" s="578" t="s">
        <v>59</v>
      </c>
      <c r="AZ61" s="579">
        <f>F99/1000</f>
        <v>3.896074</v>
      </c>
      <c r="BA61" s="580">
        <f>AZ61*$AN$23</f>
        <v>3.5064666</v>
      </c>
      <c r="BB61" s="583">
        <f t="shared" si="60"/>
        <v>0.19480370000000002</v>
      </c>
      <c r="BC61" s="583">
        <f t="shared" si="61"/>
        <v>0.19480370000000002</v>
      </c>
      <c r="BD61" s="579">
        <f t="shared" si="33"/>
        <v>3.5064753504950499</v>
      </c>
      <c r="BE61" s="580">
        <f t="shared" si="34"/>
        <v>0.19480505346534654</v>
      </c>
      <c r="BF61" s="581">
        <f t="shared" si="35"/>
        <v>0.19480505346534654</v>
      </c>
      <c r="BG61" s="579">
        <f t="shared" si="88"/>
        <v>3.5064753504950499</v>
      </c>
      <c r="BH61" s="580">
        <f t="shared" si="88"/>
        <v>0.19480505346534654</v>
      </c>
      <c r="BI61" s="581">
        <f t="shared" si="88"/>
        <v>0.19480505346534654</v>
      </c>
      <c r="BK61" s="536" t="str">
        <f ca="1">AK61</f>
        <v>IODTF</v>
      </c>
      <c r="BL61" s="578" t="s">
        <v>59</v>
      </c>
      <c r="BM61" s="579">
        <f>F119/1000</f>
        <v>3.219525</v>
      </c>
      <c r="BN61" s="580">
        <f>BM61*$AN$23</f>
        <v>2.8975724999999999</v>
      </c>
      <c r="BO61" s="583">
        <f t="shared" si="53"/>
        <v>0.16097625000000002</v>
      </c>
      <c r="BP61" s="583">
        <f t="shared" si="54"/>
        <v>0.16097625000000002</v>
      </c>
      <c r="BQ61" s="579">
        <f t="shared" si="38"/>
        <v>2.8975807603960395</v>
      </c>
      <c r="BR61" s="580">
        <f t="shared" si="39"/>
        <v>0.16098971881188118</v>
      </c>
      <c r="BS61" s="581">
        <f t="shared" si="40"/>
        <v>0.16098971881188118</v>
      </c>
      <c r="BT61" s="579">
        <f t="shared" si="89"/>
        <v>2.8975807603960395</v>
      </c>
      <c r="BU61" s="580">
        <f t="shared" si="89"/>
        <v>0.16098971881188118</v>
      </c>
      <c r="BV61" s="581">
        <f t="shared" si="89"/>
        <v>0.16098971881188118</v>
      </c>
    </row>
    <row r="62" spans="3:74" ht="12.75" customHeight="1">
      <c r="C62" s="173" t="str">
        <f ca="1">+IF(OFFSET(Processes!B43,$D$11,0)="*","*",OFFSET(Processes!D43,$D$11,0))</f>
        <v>INDODFLTLPGE1</v>
      </c>
      <c r="D62" s="173" t="str">
        <f ca="1">+OFFSET(Processes!E43,$D$11,0)</f>
        <v>Other comm Forklifts - LPG Existing 1</v>
      </c>
      <c r="E62" s="172" t="str">
        <f>+Processes!O43</f>
        <v>INDLPG,INDSNG1,INDSNG2</v>
      </c>
      <c r="F62" s="173" t="str">
        <f ca="1">+OFFSET(Processes!$M$12,$D$11,0) &amp; Processes!P43</f>
        <v>IODFL</v>
      </c>
      <c r="G62" s="323">
        <f t="shared" si="18"/>
        <v>67.329000000000008</v>
      </c>
      <c r="H62" s="323">
        <f t="shared" si="19"/>
        <v>3.7410000000000001</v>
      </c>
      <c r="I62" s="323">
        <f>ROUNDUP(AP62/($Z62*$AA62)*I$21*Y62,3)</f>
        <v>3.7410000000000001</v>
      </c>
      <c r="J62" s="323">
        <f t="shared" si="21"/>
        <v>11.815999999999999</v>
      </c>
      <c r="K62" s="323">
        <f t="shared" si="22"/>
        <v>0.65700000000000003</v>
      </c>
      <c r="L62" s="323">
        <f t="shared" si="23"/>
        <v>0.65700000000000003</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1.1195122477522481</v>
      </c>
      <c r="AH62" s="236">
        <f t="shared" si="83"/>
        <v>0.19472699405940597</v>
      </c>
      <c r="AI62" s="236" t="e">
        <f t="shared" si="84"/>
        <v>#REF!</v>
      </c>
      <c r="AJ62" s="236"/>
      <c r="AK62" s="536" t="str">
        <f ca="1">F62</f>
        <v>IODFL</v>
      </c>
      <c r="AL62" s="532" t="s">
        <v>53</v>
      </c>
      <c r="AM62" s="533">
        <f>H79/1000</f>
        <v>1.1784190147628137</v>
      </c>
      <c r="AN62" s="534">
        <f t="shared" si="77"/>
        <v>1.0605771132865325</v>
      </c>
      <c r="AO62" s="535">
        <f t="shared" si="78"/>
        <v>5.8920950738140687E-2</v>
      </c>
      <c r="AP62" s="535">
        <f t="shared" si="79"/>
        <v>5.8920950738140687E-2</v>
      </c>
      <c r="AQ62" s="545">
        <f t="shared" si="28"/>
        <v>1.0605830889110892</v>
      </c>
      <c r="AR62" s="535">
        <f t="shared" si="29"/>
        <v>5.8929158841158846E-2</v>
      </c>
      <c r="AS62" s="541">
        <f t="shared" si="30"/>
        <v>5.8929158841158846E-2</v>
      </c>
      <c r="AT62" s="546">
        <f t="shared" si="87"/>
        <v>1.0605830889110892</v>
      </c>
      <c r="AU62" s="537">
        <f t="shared" si="87"/>
        <v>5.8929158841158846E-2</v>
      </c>
      <c r="AV62" s="538">
        <f t="shared" si="87"/>
        <v>5.8929158841158846E-2</v>
      </c>
      <c r="AX62" s="536" t="str">
        <f t="shared" ca="1" si="12"/>
        <v>IODFL</v>
      </c>
      <c r="AY62" s="532" t="s">
        <v>53</v>
      </c>
      <c r="AZ62" s="533">
        <f>H99/1000</f>
        <v>0.20495199663550195</v>
      </c>
      <c r="BA62" s="534">
        <f>AZ62*$AN$23</f>
        <v>0.18445679697195178</v>
      </c>
      <c r="BB62" s="535">
        <f t="shared" si="60"/>
        <v>1.0247599831775098E-2</v>
      </c>
      <c r="BC62" s="535">
        <f t="shared" si="61"/>
        <v>1.0247599831775098E-2</v>
      </c>
      <c r="BD62" s="546">
        <f t="shared" si="33"/>
        <v>0.18446998811881188</v>
      </c>
      <c r="BE62" s="537">
        <f t="shared" si="34"/>
        <v>1.0257005940594061E-2</v>
      </c>
      <c r="BF62" s="538">
        <f t="shared" si="35"/>
        <v>1.0257005940594061E-2</v>
      </c>
      <c r="BG62" s="546">
        <f t="shared" si="88"/>
        <v>0.18446998811881188</v>
      </c>
      <c r="BH62" s="537">
        <f t="shared" si="88"/>
        <v>1.0257005940594061E-2</v>
      </c>
      <c r="BI62" s="538">
        <f t="shared" si="88"/>
        <v>1.0257005940594061E-2</v>
      </c>
      <c r="BK62" s="536" t="str">
        <f ca="1">AK62</f>
        <v>IODFL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row>
    <row r="63" spans="3:74" ht="12.75" customHeight="1">
      <c r="F63" s="80"/>
      <c r="G63" s="285"/>
      <c r="H63" s="285"/>
      <c r="I63" s="285"/>
      <c r="J63" s="285"/>
      <c r="L63" s="288"/>
      <c r="M63" s="288"/>
      <c r="R63" s="285"/>
      <c r="S63" s="285"/>
      <c r="V63" s="78"/>
      <c r="W63" s="78"/>
      <c r="X63" s="78"/>
      <c r="Y63" s="78"/>
      <c r="Z63" s="78"/>
      <c r="AA63" s="78"/>
      <c r="AB63" s="78"/>
      <c r="AC63" s="78"/>
      <c r="AD63" s="79"/>
      <c r="AE63" s="79"/>
      <c r="AF63" s="79"/>
      <c r="AG63" s="407"/>
      <c r="AH63" s="407"/>
      <c r="AI63" s="407"/>
      <c r="AJ63" s="407"/>
      <c r="AK63" s="82"/>
      <c r="AL63" s="82"/>
      <c r="AM63" s="82"/>
      <c r="AN63" s="82"/>
      <c r="AO63" s="82"/>
      <c r="AP63" s="82"/>
    </row>
    <row r="64" spans="3:74" ht="12.75" customHeight="1">
      <c r="C64" s="287"/>
      <c r="D64" s="293"/>
      <c r="F64" s="80"/>
      <c r="G64" s="506"/>
      <c r="H64" s="507"/>
      <c r="I64" s="507"/>
      <c r="J64" s="287"/>
      <c r="K64" s="285"/>
      <c r="R64" s="285"/>
      <c r="S64" s="285"/>
      <c r="V64" s="45"/>
      <c r="W64" s="287"/>
      <c r="X64" s="45"/>
      <c r="Y64" s="45"/>
      <c r="Z64" s="79"/>
      <c r="AA64" s="79"/>
      <c r="AB64" s="79"/>
      <c r="AC64" s="79"/>
      <c r="AD64" s="82"/>
      <c r="AE64" s="82"/>
      <c r="AF64" s="82"/>
      <c r="AG64" s="82"/>
      <c r="AH64" s="82"/>
      <c r="AI64" s="82"/>
      <c r="AJ64" s="82"/>
    </row>
    <row r="65" spans="3:40" ht="12.75" customHeight="1">
      <c r="D65" s="293"/>
      <c r="F65" s="80"/>
      <c r="J65" s="80"/>
      <c r="K65" s="285"/>
      <c r="R65" s="285"/>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3"/>
      <c r="V66" s="45"/>
      <c r="X66" s="78"/>
      <c r="Y66" s="78"/>
      <c r="Z66" s="78"/>
      <c r="AA66" s="45"/>
      <c r="AB66" s="78"/>
      <c r="AC66" s="82"/>
      <c r="AD66" s="82"/>
      <c r="AE66" s="82"/>
      <c r="AF66" s="508"/>
      <c r="AG66" s="508"/>
      <c r="AH66" s="508"/>
      <c r="AI66" s="508"/>
      <c r="AJ66" s="508"/>
      <c r="AK66" s="508"/>
      <c r="AL66" s="79"/>
      <c r="AM66" s="45"/>
    </row>
    <row r="67" spans="3:40" ht="12.75" customHeight="1">
      <c r="D67" s="293"/>
      <c r="F67" s="80"/>
      <c r="G67" s="83"/>
      <c r="H67" s="83"/>
      <c r="I67" s="83"/>
      <c r="J67" s="83"/>
      <c r="K67" s="293"/>
      <c r="L67" s="293"/>
      <c r="M67" s="293"/>
      <c r="N67" s="293"/>
      <c r="O67" s="293"/>
      <c r="P67" s="293"/>
      <c r="Q67" s="293"/>
      <c r="R67" s="293"/>
      <c r="S67" s="285"/>
      <c r="U67" s="78"/>
      <c r="V67" s="78"/>
      <c r="W67" s="78"/>
      <c r="X67" s="45"/>
      <c r="Y67" s="79"/>
      <c r="Z67" s="79"/>
      <c r="AA67" s="79"/>
    </row>
    <row r="68" spans="3:40" ht="12.75" customHeight="1">
      <c r="L68" s="288"/>
      <c r="Q68" s="86"/>
      <c r="R68" s="285"/>
      <c r="S68" s="285"/>
      <c r="T68" s="287"/>
      <c r="U68" s="287"/>
    </row>
    <row r="69" spans="3:40" ht="12.75" customHeight="1"/>
    <row r="70" spans="3:40" ht="12.75" customHeight="1">
      <c r="C70" s="259" t="s">
        <v>510</v>
      </c>
      <c r="E70" s="285"/>
      <c r="F70" s="285"/>
      <c r="G70" s="285"/>
      <c r="H70" s="285"/>
      <c r="I70" s="285"/>
      <c r="J70" s="285"/>
      <c r="K70" s="285"/>
      <c r="O70" s="86"/>
    </row>
    <row r="71" spans="3:40" ht="12.75" customHeight="1">
      <c r="O71" s="86"/>
    </row>
    <row r="72" spans="3:40" ht="12.75" customHeight="1">
      <c r="C72" s="127" t="s">
        <v>151</v>
      </c>
      <c r="E72" s="285"/>
      <c r="F72" s="285"/>
      <c r="G72" s="285"/>
      <c r="H72" s="285"/>
      <c r="I72" s="285"/>
      <c r="J72" s="285"/>
      <c r="K72" s="285"/>
    </row>
    <row r="73" spans="3:40" ht="12.75" customHeight="1">
      <c r="D73" s="87" t="s">
        <v>153</v>
      </c>
      <c r="E73" s="88" t="str">
        <f t="array" ref="E73">+IF(AND(UPPER(TRANSPOSE(T78:T88))=UPPER(MID(D76:N76,4,99))),"Ok","ERROR")</f>
        <v>Ok</v>
      </c>
      <c r="F73" s="285"/>
      <c r="G73" s="285"/>
      <c r="H73" s="285"/>
      <c r="I73" s="285"/>
      <c r="J73" s="285"/>
      <c r="K73" s="285"/>
    </row>
    <row r="74" spans="3:40" ht="12.75" customHeight="1">
      <c r="C74" s="285" t="s">
        <v>209</v>
      </c>
      <c r="O74" s="86"/>
      <c r="T74" s="127" t="s">
        <v>513</v>
      </c>
      <c r="U74" s="127"/>
      <c r="W74" s="127"/>
    </row>
    <row r="75" spans="3:40"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291"/>
      <c r="U75" s="291"/>
      <c r="W75" s="291"/>
    </row>
    <row r="76" spans="3:40"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40" ht="12.75" customHeight="1">
      <c r="C77" s="13" t="str">
        <f>$D$150</f>
        <v>Process heat temperature</v>
      </c>
      <c r="D77" s="14">
        <f t="shared" ref="D77:N77" si="93">+INDEX($E150:$O150,1,D$75) * INDEX($V$78:$V$88,D$75,1)</f>
        <v>357.05099999999999</v>
      </c>
      <c r="E77" s="14">
        <f t="shared" si="93"/>
        <v>363.13200000000001</v>
      </c>
      <c r="F77" s="14">
        <f t="shared" si="93"/>
        <v>0</v>
      </c>
      <c r="G77" s="14">
        <f t="shared" si="93"/>
        <v>0</v>
      </c>
      <c r="H77" s="14">
        <f t="shared" si="93"/>
        <v>391.26350000000002</v>
      </c>
      <c r="I77" s="14">
        <f t="shared" si="93"/>
        <v>27508.82</v>
      </c>
      <c r="J77" s="14">
        <f t="shared" si="93"/>
        <v>66</v>
      </c>
      <c r="K77" s="14">
        <f t="shared" si="93"/>
        <v>3985</v>
      </c>
      <c r="L77" s="14">
        <f t="shared" si="93"/>
        <v>5</v>
      </c>
      <c r="M77" s="14">
        <f t="shared" si="93"/>
        <v>6300.3600000000006</v>
      </c>
      <c r="N77" s="14">
        <f t="shared" si="93"/>
        <v>0</v>
      </c>
      <c r="O77" s="86"/>
      <c r="T77" s="48" t="s">
        <v>209</v>
      </c>
      <c r="U77" s="48"/>
      <c r="V77" s="126" t="str">
        <f>+INDEX('Energy matrix'!C4:O4,1,$D$2)</f>
        <v>Non-specified</v>
      </c>
      <c r="W77" s="48"/>
    </row>
    <row r="78" spans="3:40"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6300.3600000000006</v>
      </c>
      <c r="N78" s="14">
        <f t="shared" si="94"/>
        <v>0</v>
      </c>
      <c r="O78" s="86"/>
      <c r="T78" s="117" t="str">
        <f>+'Energy matrix'!B5</f>
        <v>Coal</v>
      </c>
      <c r="U78" s="117"/>
      <c r="V78" s="118">
        <f>+INDEX('Energy matrix'!C5:O5,1,$D$2)</f>
        <v>357.05099999999999</v>
      </c>
      <c r="W78" s="117"/>
    </row>
    <row r="79" spans="3:40" ht="12.75" customHeight="1">
      <c r="C79" s="13" t="str">
        <f>$D$152</f>
        <v>Haullage</v>
      </c>
      <c r="D79" s="19">
        <f t="shared" ref="D79:N79" si="95">+INDEX($E152:$O152,1,D$75) * INDEX($V$78:$V$88,D$75,1)</f>
        <v>0</v>
      </c>
      <c r="E79" s="19">
        <f t="shared" si="95"/>
        <v>0</v>
      </c>
      <c r="F79" s="19">
        <f t="shared" si="95"/>
        <v>10294.799999999999</v>
      </c>
      <c r="G79" s="19">
        <f t="shared" si="95"/>
        <v>0</v>
      </c>
      <c r="H79" s="19">
        <f t="shared" si="95"/>
        <v>1178.4190147628137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matrix'!C6:O6,1,$D$2)</f>
        <v>363.13200000000001</v>
      </c>
      <c r="W79" s="117"/>
    </row>
    <row r="80" spans="3:40"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10080.575999999999</v>
      </c>
      <c r="N80" s="14">
        <f t="shared" si="96"/>
        <v>0</v>
      </c>
      <c r="O80" s="86"/>
      <c r="T80" s="117" t="str">
        <f>+'Energy matrix'!B7</f>
        <v>Diesel</v>
      </c>
      <c r="U80" s="117"/>
      <c r="V80" s="118">
        <f>+INDEX('Energy matrix'!C7:O7,1,$D$2)</f>
        <v>10294.799999999999</v>
      </c>
      <c r="W80" s="117"/>
    </row>
    <row r="81" spans="3:23"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38432.195999999996</v>
      </c>
      <c r="N81" s="14">
        <f t="shared" si="97"/>
        <v>0</v>
      </c>
      <c r="O81" s="86"/>
      <c r="T81" s="117" t="str">
        <f>+'Energy matrix'!B8</f>
        <v>Gasoline</v>
      </c>
      <c r="U81" s="117"/>
      <c r="V81" s="118">
        <f>+INDEX('Energy matrix'!C8:O8,1,$D$2)</f>
        <v>0</v>
      </c>
      <c r="W81" s="117"/>
    </row>
    <row r="82" spans="3:23"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1890.1079999999999</v>
      </c>
      <c r="N82" s="14">
        <f t="shared" si="98"/>
        <v>6434</v>
      </c>
      <c r="O82" s="86"/>
      <c r="T82" s="117" t="str">
        <f>+'Energy matrix'!B9</f>
        <v>LPG</v>
      </c>
      <c r="U82" s="117"/>
      <c r="V82" s="118">
        <f>+INDEX('Energy matrix'!C9:O9,1,$D$2)</f>
        <v>1565.0540000000001</v>
      </c>
      <c r="W82" s="117"/>
    </row>
    <row r="83" spans="3:23" ht="12.75" customHeight="1">
      <c r="C83" s="17" t="s">
        <v>57</v>
      </c>
      <c r="D83" s="18">
        <f t="shared" ref="D83:N83" si="99">SUM(D77:D82)</f>
        <v>357.05099999999999</v>
      </c>
      <c r="E83" s="18">
        <f t="shared" si="99"/>
        <v>363.13200000000001</v>
      </c>
      <c r="F83" s="18">
        <f t="shared" si="99"/>
        <v>10294.799999999999</v>
      </c>
      <c r="G83" s="18">
        <f t="shared" si="99"/>
        <v>0</v>
      </c>
      <c r="H83" s="18">
        <f t="shared" si="99"/>
        <v>1569.6825147628138</v>
      </c>
      <c r="I83" s="18">
        <f t="shared" si="99"/>
        <v>27508.82</v>
      </c>
      <c r="J83" s="18">
        <f t="shared" si="99"/>
        <v>66</v>
      </c>
      <c r="K83" s="18">
        <f t="shared" si="99"/>
        <v>3985</v>
      </c>
      <c r="L83" s="18">
        <f t="shared" si="99"/>
        <v>5</v>
      </c>
      <c r="M83" s="18">
        <f t="shared" si="99"/>
        <v>63003.6</v>
      </c>
      <c r="N83" s="18">
        <f t="shared" si="99"/>
        <v>6434</v>
      </c>
      <c r="O83" s="86"/>
      <c r="T83" s="117" t="str">
        <f>+'Energy matrix'!B11</f>
        <v>Natural gas</v>
      </c>
      <c r="U83" s="117"/>
      <c r="V83" s="118">
        <f>+INDEX('Energy matrix'!C11:O11,1,$D$2)</f>
        <v>27508.82</v>
      </c>
      <c r="W83" s="117"/>
    </row>
    <row r="84" spans="3:23" ht="12.75" customHeight="1">
      <c r="E84" s="285"/>
      <c r="F84" s="285"/>
      <c r="G84" s="285"/>
      <c r="H84" s="285"/>
      <c r="I84" s="285"/>
      <c r="J84" s="285"/>
      <c r="K84" s="285"/>
      <c r="O84" s="86"/>
      <c r="T84" s="117" t="str">
        <f>+'Energy matrix'!B12</f>
        <v>Biogas</v>
      </c>
      <c r="U84" s="117"/>
      <c r="V84" s="118">
        <f>+INDEX('Energy matrix'!C12:O12,1,$D$2)</f>
        <v>66</v>
      </c>
      <c r="W84" s="117"/>
    </row>
    <row r="85" spans="3:23" ht="12.75" customHeight="1">
      <c r="E85" s="285"/>
      <c r="F85" s="285"/>
      <c r="G85" s="285"/>
      <c r="H85" s="285"/>
      <c r="I85" s="285"/>
      <c r="J85" s="285"/>
      <c r="K85" s="285"/>
      <c r="O85" s="86"/>
      <c r="T85" s="117" t="str">
        <f>+'Energy matrix'!B17</f>
        <v>Biomass</v>
      </c>
      <c r="U85" s="117"/>
      <c r="V85" s="118">
        <f>+INDEX('Energy matrix'!C17:O17,1,$D$2)</f>
        <v>3985</v>
      </c>
      <c r="W85" s="117"/>
    </row>
    <row r="86" spans="3:23" ht="12.75" customHeight="1">
      <c r="O86" s="86"/>
      <c r="T86" s="117" t="str">
        <f>+'Energy matrix'!B18</f>
        <v>Waste</v>
      </c>
      <c r="U86" s="117"/>
      <c r="V86" s="118">
        <f>+INDEX('Energy matrix'!C18:O18,1,$D$2)</f>
        <v>5</v>
      </c>
      <c r="W86" s="117"/>
    </row>
    <row r="87" spans="3:23" ht="12.75" customHeight="1">
      <c r="O87" s="86"/>
      <c r="T87" s="117" t="str">
        <f>+'Energy matrix'!B19</f>
        <v>Electricity</v>
      </c>
      <c r="U87" s="117"/>
      <c r="V87" s="118">
        <f>+INDEX('Energy matrix'!C19:O19,1,$D$2)</f>
        <v>63003.6</v>
      </c>
      <c r="W87" s="117"/>
    </row>
    <row r="88" spans="3:23" ht="12.75" customHeight="1">
      <c r="O88" s="86"/>
      <c r="T88" s="122" t="str">
        <f>+'Energy matrix'!B20</f>
        <v>District Heating</v>
      </c>
      <c r="U88" s="122"/>
      <c r="V88" s="123">
        <f>+INDEX('Energy matrix'!C20:O20,1,$D$2)</f>
        <v>6434</v>
      </c>
      <c r="W88" s="122"/>
    </row>
    <row r="89" spans="3:23" ht="12.75" customHeight="1">
      <c r="O89" s="86"/>
      <c r="T89" s="291"/>
      <c r="U89" s="291"/>
      <c r="W89" s="291"/>
    </row>
    <row r="90" spans="3:23" ht="12.75" customHeight="1">
      <c r="C90" s="259" t="s">
        <v>511</v>
      </c>
      <c r="E90" s="285"/>
      <c r="F90" s="285"/>
      <c r="G90" s="285"/>
      <c r="H90" s="285"/>
      <c r="I90" s="285"/>
      <c r="J90" s="285"/>
      <c r="K90" s="285"/>
      <c r="O90" s="86"/>
      <c r="T90" s="117" t="s">
        <v>57</v>
      </c>
      <c r="U90" s="117"/>
      <c r="V90" s="118">
        <f>SUM(V78:V88)</f>
        <v>113582.45699999999</v>
      </c>
      <c r="W90" s="117"/>
    </row>
    <row r="91" spans="3:23" ht="12.75" customHeight="1">
      <c r="O91" s="86"/>
      <c r="T91" s="260"/>
      <c r="U91" s="260"/>
      <c r="V91" s="261"/>
      <c r="W91" s="260"/>
    </row>
    <row r="92" spans="3:23" ht="12.75" customHeight="1">
      <c r="C92" s="127" t="s">
        <v>151</v>
      </c>
      <c r="E92" s="285"/>
      <c r="F92" s="285"/>
      <c r="G92" s="285"/>
      <c r="H92" s="285"/>
      <c r="I92" s="285"/>
      <c r="J92" s="285"/>
      <c r="K92" s="285"/>
      <c r="T92" s="260"/>
      <c r="U92" s="260"/>
      <c r="V92" s="261"/>
      <c r="W92" s="260"/>
    </row>
    <row r="93" spans="3:23" ht="12.75" customHeight="1">
      <c r="D93" s="87" t="s">
        <v>153</v>
      </c>
      <c r="E93" s="88" t="e">
        <f t="array" ref="E93">+IF(AND(UPPER(TRANSPOSE(T98:T108))=UPPER(MID(D96:N96,4,99))),"Ok","ERROR")</f>
        <v>#REF!</v>
      </c>
      <c r="F93" s="285"/>
      <c r="G93" s="285"/>
      <c r="H93" s="285"/>
      <c r="I93" s="285"/>
      <c r="J93" s="285"/>
      <c r="K93" s="285"/>
      <c r="T93" s="260"/>
      <c r="U93" s="260"/>
      <c r="V93" s="261"/>
      <c r="W93" s="260"/>
    </row>
    <row r="94" spans="3:23" ht="12.75" customHeight="1">
      <c r="C94" s="285" t="s">
        <v>209</v>
      </c>
      <c r="O94" s="86"/>
      <c r="T94" s="127" t="s">
        <v>514</v>
      </c>
      <c r="U94" s="127"/>
      <c r="W94" s="127"/>
    </row>
    <row r="95" spans="3:23" ht="12.75" customHeight="1">
      <c r="D95" s="89">
        <v>1</v>
      </c>
      <c r="E95" s="89">
        <f>+D95+1</f>
        <v>2</v>
      </c>
      <c r="F95" s="89">
        <f t="shared" ref="F95:N95" si="100">+E95+1</f>
        <v>3</v>
      </c>
      <c r="G95" s="89">
        <f t="shared" si="100"/>
        <v>4</v>
      </c>
      <c r="H95" s="89">
        <f t="shared" si="100"/>
        <v>5</v>
      </c>
      <c r="I95" s="89">
        <f t="shared" si="100"/>
        <v>6</v>
      </c>
      <c r="J95" s="89">
        <f t="shared" si="100"/>
        <v>7</v>
      </c>
      <c r="K95" s="89">
        <f t="shared" si="100"/>
        <v>8</v>
      </c>
      <c r="L95" s="89">
        <f t="shared" si="100"/>
        <v>9</v>
      </c>
      <c r="M95" s="89">
        <f t="shared" si="100"/>
        <v>10</v>
      </c>
      <c r="N95" s="89">
        <f t="shared" si="100"/>
        <v>11</v>
      </c>
      <c r="O95" s="86"/>
      <c r="T95" s="291"/>
      <c r="U95" s="291"/>
      <c r="W95" s="291"/>
    </row>
    <row r="96" spans="3:23" ht="12.75" customHeight="1">
      <c r="C96" s="10" t="str">
        <f t="shared" ref="C96:N96" si="101">+D149</f>
        <v>Agg End-use</v>
      </c>
      <c r="D96" s="10" t="str">
        <f t="shared" si="101"/>
        <v>01 Coal</v>
      </c>
      <c r="E96" s="10" t="str">
        <f t="shared" si="101"/>
        <v>02 Fuel oil</v>
      </c>
      <c r="F96" s="10" t="str">
        <f t="shared" si="101"/>
        <v>03 Diesel</v>
      </c>
      <c r="G96" s="10" t="str">
        <f t="shared" si="101"/>
        <v>04 Gasoline</v>
      </c>
      <c r="H96" s="10" t="str">
        <f t="shared" si="101"/>
        <v>05 LPG</v>
      </c>
      <c r="I96" s="10" t="str">
        <f t="shared" si="101"/>
        <v>06 Natural gas</v>
      </c>
      <c r="J96" s="10" t="str">
        <f t="shared" si="101"/>
        <v>07 Biogas</v>
      </c>
      <c r="K96" s="10" t="str">
        <f t="shared" si="101"/>
        <v>08 Biomass</v>
      </c>
      <c r="L96" s="10" t="str">
        <f t="shared" si="101"/>
        <v>09 Waste</v>
      </c>
      <c r="M96" s="10" t="str">
        <f t="shared" si="101"/>
        <v>10 Electricity</v>
      </c>
      <c r="N96" s="10" t="str">
        <f t="shared" si="101"/>
        <v>11 District heating</v>
      </c>
      <c r="O96" s="86"/>
      <c r="T96" s="124" t="s">
        <v>152</v>
      </c>
      <c r="V96" s="125">
        <v>2012</v>
      </c>
    </row>
    <row r="97" spans="3:23" ht="12.75" customHeight="1">
      <c r="C97" s="13" t="str">
        <f>$D$150</f>
        <v>Process heat temperature</v>
      </c>
      <c r="D97" s="14">
        <f t="shared" ref="D97:N97" si="102">+INDEX($E150:$O150,1,D$95) * INDEX($V$98:$V$108,D$95,1)</f>
        <v>107.63500000000001</v>
      </c>
      <c r="E97" s="14">
        <f t="shared" si="102"/>
        <v>81.47</v>
      </c>
      <c r="F97" s="14">
        <f t="shared" si="102"/>
        <v>0</v>
      </c>
      <c r="G97" s="14">
        <f t="shared" si="102"/>
        <v>0</v>
      </c>
      <c r="H97" s="14">
        <f t="shared" si="102"/>
        <v>68.049000000000007</v>
      </c>
      <c r="I97" s="14">
        <f t="shared" si="102"/>
        <v>27687.599999999999</v>
      </c>
      <c r="J97" s="14" t="e">
        <f t="shared" si="102"/>
        <v>#REF!</v>
      </c>
      <c r="K97" s="14">
        <f t="shared" si="102"/>
        <v>5415</v>
      </c>
      <c r="L97" s="14">
        <f t="shared" si="102"/>
        <v>0</v>
      </c>
      <c r="M97" s="14">
        <f t="shared" si="102"/>
        <v>6206.76</v>
      </c>
      <c r="N97" s="14">
        <f t="shared" si="102"/>
        <v>0</v>
      </c>
      <c r="O97" s="86"/>
      <c r="T97" s="48" t="s">
        <v>209</v>
      </c>
      <c r="U97" s="48"/>
      <c r="V97" s="126" t="str">
        <f>+INDEX('Energy matrix'!C28:O28,1,$D$2)</f>
        <v>Non-specified</v>
      </c>
      <c r="W97" s="48"/>
    </row>
    <row r="98" spans="3:23" ht="12.75" customHeight="1">
      <c r="C98" s="13" t="str">
        <f>$D$151</f>
        <v>Cooling demand</v>
      </c>
      <c r="D98" s="14">
        <f t="shared" ref="D98:N98" si="103">+INDEX($E151:$O151,1,D$95) * INDEX($V$98:$V$108,D$95,1)</f>
        <v>0</v>
      </c>
      <c r="E98" s="14">
        <f t="shared" si="103"/>
        <v>0</v>
      </c>
      <c r="F98" s="14">
        <f t="shared" si="103"/>
        <v>0</v>
      </c>
      <c r="G98" s="14">
        <f t="shared" si="103"/>
        <v>0</v>
      </c>
      <c r="H98" s="14">
        <f t="shared" si="103"/>
        <v>0</v>
      </c>
      <c r="I98" s="14">
        <f t="shared" si="103"/>
        <v>0</v>
      </c>
      <c r="J98" s="14" t="e">
        <f t="shared" si="103"/>
        <v>#REF!</v>
      </c>
      <c r="K98" s="14">
        <f t="shared" si="103"/>
        <v>0</v>
      </c>
      <c r="L98" s="14">
        <f t="shared" si="103"/>
        <v>0</v>
      </c>
      <c r="M98" s="14">
        <f t="shared" si="103"/>
        <v>6206.76</v>
      </c>
      <c r="N98" s="14">
        <f t="shared" si="103"/>
        <v>0</v>
      </c>
      <c r="O98" s="86"/>
      <c r="T98" s="117" t="str">
        <f>'Energy matrix'!B29</f>
        <v>Coal</v>
      </c>
      <c r="U98" s="117"/>
      <c r="V98" s="118">
        <f>+INDEX('Energy matrix'!C29:O29,1,$D$2)</f>
        <v>107.63500000000001</v>
      </c>
      <c r="W98" s="117"/>
    </row>
    <row r="99" spans="3:23" ht="12.75" customHeight="1">
      <c r="C99" s="13" t="str">
        <f>$D$152</f>
        <v>Haullage</v>
      </c>
      <c r="D99" s="19">
        <f t="shared" ref="D99:N99" si="104">+INDEX($E152:$O152,1,D$95) * INDEX($V$98:$V$108,D$95,1)</f>
        <v>0</v>
      </c>
      <c r="E99" s="19">
        <f t="shared" si="104"/>
        <v>0</v>
      </c>
      <c r="F99" s="19">
        <f t="shared" si="104"/>
        <v>3896.0740000000001</v>
      </c>
      <c r="G99" s="19">
        <f t="shared" si="104"/>
        <v>0</v>
      </c>
      <c r="H99" s="19">
        <f t="shared" si="104"/>
        <v>204.95199663550196</v>
      </c>
      <c r="I99" s="19">
        <f t="shared" si="104"/>
        <v>0</v>
      </c>
      <c r="J99" s="19" t="e">
        <f t="shared" si="104"/>
        <v>#REF!</v>
      </c>
      <c r="K99" s="19">
        <f t="shared" si="104"/>
        <v>0</v>
      </c>
      <c r="L99" s="19">
        <f t="shared" si="104"/>
        <v>0</v>
      </c>
      <c r="M99" s="19">
        <f t="shared" si="104"/>
        <v>0</v>
      </c>
      <c r="N99" s="19">
        <f t="shared" si="104"/>
        <v>0</v>
      </c>
      <c r="O99" s="86"/>
      <c r="T99" s="117" t="str">
        <f>'Energy matrix'!B30</f>
        <v>Fuel Oil</v>
      </c>
      <c r="U99" s="117"/>
      <c r="V99" s="118">
        <f>+INDEX('Energy matrix'!C30:O30,1,$D$2)</f>
        <v>81.47</v>
      </c>
      <c r="W99" s="117"/>
    </row>
    <row r="100" spans="3:23" ht="12.75" customHeight="1">
      <c r="C100" s="13" t="str">
        <f>$D$153</f>
        <v>Light and electronics</v>
      </c>
      <c r="D100" s="14">
        <f t="shared" ref="D100:N100" si="105">+INDEX($E153:$O153,1,D$95) * INDEX($V$98:$V$108,D$95,1)</f>
        <v>0</v>
      </c>
      <c r="E100" s="14">
        <f t="shared" si="105"/>
        <v>0</v>
      </c>
      <c r="F100" s="14">
        <f t="shared" si="105"/>
        <v>0</v>
      </c>
      <c r="G100" s="14">
        <f t="shared" si="105"/>
        <v>0</v>
      </c>
      <c r="H100" s="14">
        <f t="shared" si="105"/>
        <v>0</v>
      </c>
      <c r="I100" s="14">
        <f t="shared" si="105"/>
        <v>0</v>
      </c>
      <c r="J100" s="14" t="e">
        <f t="shared" si="105"/>
        <v>#REF!</v>
      </c>
      <c r="K100" s="14">
        <f t="shared" si="105"/>
        <v>0</v>
      </c>
      <c r="L100" s="14">
        <f t="shared" si="105"/>
        <v>0</v>
      </c>
      <c r="M100" s="14">
        <f t="shared" si="105"/>
        <v>9930.8160000000007</v>
      </c>
      <c r="N100" s="14">
        <f t="shared" si="105"/>
        <v>0</v>
      </c>
      <c r="O100" s="86"/>
      <c r="T100" s="117" t="str">
        <f>'Energy matrix'!B31</f>
        <v>Diesel</v>
      </c>
      <c r="U100" s="117"/>
      <c r="V100" s="118">
        <f>+INDEX('Energy matrix'!C31:O31,1,$D$2)</f>
        <v>3896.0740000000001</v>
      </c>
      <c r="W100" s="117"/>
    </row>
    <row r="101" spans="3:23" ht="12.75" customHeight="1">
      <c r="C101" s="13" t="str">
        <f>$D$154</f>
        <v>Electric motors</v>
      </c>
      <c r="D101" s="14">
        <f t="shared" ref="D101:N101" si="106">+INDEX($E154:$O154,1,D$95) * INDEX($V$98:$V$108,D$95,1)</f>
        <v>0</v>
      </c>
      <c r="E101" s="14">
        <f t="shared" si="106"/>
        <v>0</v>
      </c>
      <c r="F101" s="14">
        <f t="shared" si="106"/>
        <v>0</v>
      </c>
      <c r="G101" s="14">
        <f t="shared" si="106"/>
        <v>0</v>
      </c>
      <c r="H101" s="14">
        <f t="shared" si="106"/>
        <v>0</v>
      </c>
      <c r="I101" s="14">
        <f t="shared" si="106"/>
        <v>0</v>
      </c>
      <c r="J101" s="14" t="e">
        <f t="shared" si="106"/>
        <v>#REF!</v>
      </c>
      <c r="K101" s="14">
        <f t="shared" si="106"/>
        <v>0</v>
      </c>
      <c r="L101" s="14">
        <f t="shared" si="106"/>
        <v>0</v>
      </c>
      <c r="M101" s="14">
        <f t="shared" si="106"/>
        <v>37861.235999999997</v>
      </c>
      <c r="N101" s="14">
        <f t="shared" si="106"/>
        <v>0</v>
      </c>
      <c r="O101" s="86"/>
      <c r="T101" s="117" t="str">
        <f>'Energy matrix'!B32</f>
        <v>Gasoline</v>
      </c>
      <c r="U101" s="117"/>
      <c r="V101" s="118">
        <f>+INDEX('Energy matrix'!C32:O32,1,$D$2)</f>
        <v>0</v>
      </c>
      <c r="W101" s="117"/>
    </row>
    <row r="102" spans="3:23" ht="12.75" customHeight="1">
      <c r="C102" s="13" t="str">
        <f>$D$155</f>
        <v>Spatial heating</v>
      </c>
      <c r="D102" s="14">
        <f t="shared" ref="D102:N102" si="107">+INDEX($E155:$O155,1,D$95) * INDEX($V$98:$V$108,D$95,1)</f>
        <v>0</v>
      </c>
      <c r="E102" s="14">
        <f t="shared" si="107"/>
        <v>0</v>
      </c>
      <c r="F102" s="14">
        <f t="shared" si="107"/>
        <v>0</v>
      </c>
      <c r="G102" s="14">
        <f t="shared" si="107"/>
        <v>0</v>
      </c>
      <c r="H102" s="14">
        <f t="shared" si="107"/>
        <v>0</v>
      </c>
      <c r="I102" s="14">
        <f t="shared" si="107"/>
        <v>0</v>
      </c>
      <c r="J102" s="14" t="e">
        <f t="shared" si="107"/>
        <v>#REF!</v>
      </c>
      <c r="K102" s="14">
        <f t="shared" si="107"/>
        <v>0</v>
      </c>
      <c r="L102" s="14">
        <f t="shared" si="107"/>
        <v>0</v>
      </c>
      <c r="M102" s="14">
        <f t="shared" si="107"/>
        <v>1862.0279999999998</v>
      </c>
      <c r="N102" s="14">
        <f t="shared" si="107"/>
        <v>6650</v>
      </c>
      <c r="O102" s="86"/>
      <c r="T102" s="117" t="str">
        <f>'Energy matrix'!B33</f>
        <v>LPG</v>
      </c>
      <c r="U102" s="117"/>
      <c r="V102" s="118">
        <f>+INDEX('Energy matrix'!C33:O33,1,$D$2)</f>
        <v>272.19600000000003</v>
      </c>
      <c r="W102" s="117"/>
    </row>
    <row r="103" spans="3:23" ht="12.75" customHeight="1">
      <c r="C103" s="17" t="s">
        <v>57</v>
      </c>
      <c r="D103" s="18">
        <f t="shared" ref="D103:N103" si="108">SUM(D97:D102)</f>
        <v>107.63500000000001</v>
      </c>
      <c r="E103" s="18">
        <f t="shared" si="108"/>
        <v>81.47</v>
      </c>
      <c r="F103" s="18">
        <f t="shared" si="108"/>
        <v>3896.0740000000001</v>
      </c>
      <c r="G103" s="18">
        <f t="shared" si="108"/>
        <v>0</v>
      </c>
      <c r="H103" s="18">
        <f t="shared" si="108"/>
        <v>273.00099663550196</v>
      </c>
      <c r="I103" s="18">
        <f t="shared" si="108"/>
        <v>27687.599999999999</v>
      </c>
      <c r="J103" s="18" t="e">
        <f t="shared" si="108"/>
        <v>#REF!</v>
      </c>
      <c r="K103" s="18">
        <f t="shared" si="108"/>
        <v>5415</v>
      </c>
      <c r="L103" s="18">
        <f t="shared" si="108"/>
        <v>0</v>
      </c>
      <c r="M103" s="18">
        <f t="shared" si="108"/>
        <v>62067.6</v>
      </c>
      <c r="N103" s="18">
        <f t="shared" si="108"/>
        <v>6650</v>
      </c>
      <c r="O103" s="86"/>
      <c r="T103" s="117" t="str">
        <f>'Energy matrix'!B35</f>
        <v>Natural gas</v>
      </c>
      <c r="U103" s="117"/>
      <c r="V103" s="118">
        <f>+INDEX('Energy matrix'!C35:O35,1,$D$2)</f>
        <v>27687.599999999999</v>
      </c>
      <c r="W103" s="117"/>
    </row>
    <row r="104" spans="3:23" ht="12.75" customHeight="1">
      <c r="E104" s="285"/>
      <c r="F104" s="285"/>
      <c r="G104" s="285"/>
      <c r="H104" s="285"/>
      <c r="I104" s="285"/>
      <c r="J104" s="285"/>
      <c r="K104" s="285"/>
      <c r="O104" s="86"/>
      <c r="T104" s="117" t="e">
        <f>'Energy matrix'!#REF!</f>
        <v>#REF!</v>
      </c>
      <c r="U104" s="117"/>
      <c r="V104" s="118" t="e">
        <f>+_xlfn.SINGLE(INDEX('Energy matrix'!#REF!,1,$D$2))</f>
        <v>#REF!</v>
      </c>
      <c r="W104" s="117"/>
    </row>
    <row r="105" spans="3:23" ht="12.75" customHeight="1">
      <c r="E105" s="285"/>
      <c r="F105" s="285"/>
      <c r="G105" s="285"/>
      <c r="H105" s="285"/>
      <c r="I105" s="285"/>
      <c r="J105" s="285"/>
      <c r="K105" s="285"/>
      <c r="O105" s="86"/>
      <c r="T105" s="117" t="str">
        <f>'Energy matrix'!B41</f>
        <v>Biomass</v>
      </c>
      <c r="U105" s="117"/>
      <c r="V105" s="118">
        <f>+INDEX('Energy matrix'!C41:O41,1,$D$2)</f>
        <v>5415</v>
      </c>
      <c r="W105" s="117"/>
    </row>
    <row r="106" spans="3:23" ht="12.75" customHeight="1">
      <c r="O106" s="86"/>
      <c r="T106" s="117" t="str">
        <f>'Energy matrix'!B42</f>
        <v>Waste</v>
      </c>
      <c r="U106" s="117"/>
      <c r="V106" s="118">
        <f>+INDEX('Energy matrix'!C42:O42,1,$D$2)</f>
        <v>0</v>
      </c>
      <c r="W106" s="117"/>
    </row>
    <row r="107" spans="3:23" ht="12.75" customHeight="1">
      <c r="O107" s="86"/>
      <c r="T107" s="117" t="str">
        <f>'Energy matrix'!B43</f>
        <v>Electricity</v>
      </c>
      <c r="U107" s="117"/>
      <c r="V107" s="118">
        <f>+INDEX('Energy matrix'!C43:O43,1,$D$2)</f>
        <v>62067.6</v>
      </c>
      <c r="W107" s="117"/>
    </row>
    <row r="108" spans="3:23" ht="12.75" customHeight="1">
      <c r="O108" s="86"/>
      <c r="T108" s="122" t="str">
        <f>'Energy matrix'!B44</f>
        <v>District Heating</v>
      </c>
      <c r="U108" s="122"/>
      <c r="V108" s="123">
        <f>+INDEX('Energy matrix'!C44:O44,1,$D$2)</f>
        <v>6650</v>
      </c>
      <c r="W108" s="122"/>
    </row>
    <row r="109" spans="3:23" ht="12.75" customHeight="1">
      <c r="O109" s="86"/>
      <c r="T109" s="291"/>
      <c r="U109" s="291"/>
      <c r="W109" s="291"/>
    </row>
    <row r="110" spans="3:23" ht="12.75" customHeight="1">
      <c r="C110" s="259" t="s">
        <v>512</v>
      </c>
      <c r="E110" s="285"/>
      <c r="F110" s="285"/>
      <c r="G110" s="285"/>
      <c r="H110" s="285"/>
      <c r="I110" s="285"/>
      <c r="J110" s="285"/>
      <c r="K110" s="285"/>
      <c r="O110" s="86"/>
      <c r="T110" s="117" t="s">
        <v>57</v>
      </c>
      <c r="U110" s="117"/>
      <c r="V110" s="118" t="e">
        <f>SUM(V98:V108)</f>
        <v>#REF!</v>
      </c>
      <c r="W110" s="117"/>
    </row>
    <row r="111" spans="3:23" ht="12.75" customHeight="1">
      <c r="O111" s="86"/>
      <c r="T111" s="287"/>
      <c r="U111" s="287"/>
      <c r="V111" s="287"/>
      <c r="W111" s="287"/>
    </row>
    <row r="112" spans="3:23" ht="12.75" customHeight="1">
      <c r="C112" s="127" t="s">
        <v>151</v>
      </c>
      <c r="E112" s="285"/>
      <c r="F112" s="285"/>
      <c r="G112" s="285"/>
      <c r="H112" s="285"/>
      <c r="I112" s="285"/>
      <c r="J112" s="285"/>
      <c r="K112" s="285"/>
      <c r="T112" s="287"/>
      <c r="U112" s="287"/>
      <c r="V112" s="287"/>
      <c r="W112" s="287"/>
    </row>
    <row r="113" spans="3:31" ht="12.75" customHeight="1">
      <c r="D113" s="87" t="s">
        <v>153</v>
      </c>
      <c r="E113" s="88" t="e">
        <f t="array" ref="E113">+IF(AND(UPPER(TRANSPOSE(T118:T128))=UPPER(MID(D116:N116,4,99))),"Ok","ERROR")</f>
        <v>#REF!</v>
      </c>
      <c r="F113" s="285"/>
      <c r="G113" s="285"/>
      <c r="H113" s="285"/>
      <c r="I113" s="285"/>
      <c r="J113" s="285"/>
      <c r="K113" s="285"/>
      <c r="T113" s="287"/>
      <c r="U113" s="287"/>
      <c r="V113" s="287"/>
      <c r="W113" s="287"/>
    </row>
    <row r="114" spans="3:31" ht="12.75" customHeight="1">
      <c r="C114" s="285" t="s">
        <v>209</v>
      </c>
      <c r="O114" s="86"/>
      <c r="T114" s="127" t="s">
        <v>515</v>
      </c>
      <c r="U114" s="127"/>
      <c r="W114" s="127"/>
    </row>
    <row r="115" spans="3:31" ht="12.75" customHeight="1">
      <c r="D115" s="89">
        <v>1</v>
      </c>
      <c r="E115" s="89">
        <f>+D115+1</f>
        <v>2</v>
      </c>
      <c r="F115" s="89">
        <f t="shared" ref="F115:N115" si="109">+E115+1</f>
        <v>3</v>
      </c>
      <c r="G115" s="89">
        <f t="shared" si="109"/>
        <v>4</v>
      </c>
      <c r="H115" s="89">
        <f t="shared" si="109"/>
        <v>5</v>
      </c>
      <c r="I115" s="89">
        <f t="shared" si="109"/>
        <v>6</v>
      </c>
      <c r="J115" s="89">
        <f t="shared" si="109"/>
        <v>7</v>
      </c>
      <c r="K115" s="89">
        <f t="shared" si="109"/>
        <v>8</v>
      </c>
      <c r="L115" s="89">
        <f t="shared" si="109"/>
        <v>9</v>
      </c>
      <c r="M115" s="89">
        <f t="shared" si="109"/>
        <v>10</v>
      </c>
      <c r="N115" s="89">
        <f t="shared" si="109"/>
        <v>11</v>
      </c>
      <c r="O115" s="86"/>
      <c r="T115" s="291"/>
      <c r="U115" s="291"/>
      <c r="W115" s="291"/>
    </row>
    <row r="116" spans="3:31" ht="12.75" customHeight="1">
      <c r="C116" s="10" t="str">
        <f>+C76</f>
        <v>Agg End-use</v>
      </c>
      <c r="D116" s="10" t="str">
        <f t="shared" ref="D116:N116" si="110">+D76</f>
        <v>01 Coal</v>
      </c>
      <c r="E116" s="10" t="str">
        <f t="shared" si="110"/>
        <v>02 Fuel oil</v>
      </c>
      <c r="F116" s="10" t="str">
        <f t="shared" si="110"/>
        <v>03 Diesel</v>
      </c>
      <c r="G116" s="10" t="str">
        <f t="shared" si="110"/>
        <v>04 Gasoline</v>
      </c>
      <c r="H116" s="10" t="str">
        <f t="shared" si="110"/>
        <v>05 LPG</v>
      </c>
      <c r="I116" s="10" t="str">
        <f t="shared" si="110"/>
        <v>06 Natural gas</v>
      </c>
      <c r="J116" s="10" t="str">
        <f t="shared" si="110"/>
        <v>07 Biogas</v>
      </c>
      <c r="K116" s="10" t="str">
        <f t="shared" si="110"/>
        <v>08 Biomass</v>
      </c>
      <c r="L116" s="10" t="str">
        <f t="shared" si="110"/>
        <v>09 Waste</v>
      </c>
      <c r="M116" s="10" t="str">
        <f t="shared" si="110"/>
        <v>10 Electricity</v>
      </c>
      <c r="N116" s="10" t="str">
        <f t="shared" si="110"/>
        <v>11 District heating</v>
      </c>
      <c r="O116" s="86"/>
      <c r="T116" s="124" t="s">
        <v>152</v>
      </c>
      <c r="V116" s="125">
        <f>+'Energy matrix'!B51</f>
        <v>2019</v>
      </c>
    </row>
    <row r="117" spans="3:31" ht="12.75" customHeight="1">
      <c r="C117" s="13" t="str">
        <f>$D$150</f>
        <v>Process heat temperature</v>
      </c>
      <c r="D117" s="14">
        <f t="shared" ref="D117:N117" si="111">+INDEX($E150:$O150,1,D$115) * INDEX($V$118:$V$128,D$115,1)</f>
        <v>1474.5050000000001</v>
      </c>
      <c r="E117" s="14">
        <f t="shared" si="111"/>
        <v>40.343000000000004</v>
      </c>
      <c r="F117" s="14">
        <f t="shared" si="111"/>
        <v>0</v>
      </c>
      <c r="G117" s="14">
        <f t="shared" si="111"/>
        <v>0</v>
      </c>
      <c r="H117" s="14" t="e">
        <f t="shared" si="111"/>
        <v>#REF!</v>
      </c>
      <c r="I117" s="14">
        <f t="shared" si="111"/>
        <v>13.5</v>
      </c>
      <c r="J117" s="14">
        <f t="shared" si="111"/>
        <v>29694.444</v>
      </c>
      <c r="K117" s="14">
        <f t="shared" si="111"/>
        <v>136</v>
      </c>
      <c r="L117" s="14">
        <f t="shared" si="111"/>
        <v>4616</v>
      </c>
      <c r="M117" s="14">
        <f t="shared" si="111"/>
        <v>0.30000000000000004</v>
      </c>
      <c r="N117" s="14">
        <f t="shared" si="111"/>
        <v>0</v>
      </c>
      <c r="O117" s="86"/>
      <c r="T117" s="48" t="s">
        <v>209</v>
      </c>
      <c r="U117" s="48"/>
      <c r="V117" s="126" t="str">
        <f>+INDEX('Energy matrix'!C52:O52,1,$D$2)</f>
        <v>Non-specified</v>
      </c>
      <c r="W117" s="48"/>
    </row>
    <row r="118" spans="3:31" ht="12.75" customHeight="1">
      <c r="C118" s="13" t="str">
        <f>$D$151</f>
        <v>Cooling demand</v>
      </c>
      <c r="D118" s="14">
        <f t="shared" ref="D118:N118" si="112">+INDEX($E151:$O151,1,D$115) * INDEX($V$118:$V$128,D$115,1)</f>
        <v>0</v>
      </c>
      <c r="E118" s="14">
        <f t="shared" si="112"/>
        <v>0</v>
      </c>
      <c r="F118" s="14">
        <f t="shared" si="112"/>
        <v>0</v>
      </c>
      <c r="G118" s="14">
        <f t="shared" si="112"/>
        <v>0</v>
      </c>
      <c r="H118" s="14" t="e">
        <f t="shared" si="112"/>
        <v>#REF!</v>
      </c>
      <c r="I118" s="14">
        <f t="shared" si="112"/>
        <v>0</v>
      </c>
      <c r="J118" s="14">
        <f t="shared" si="112"/>
        <v>0</v>
      </c>
      <c r="K118" s="14">
        <f t="shared" si="112"/>
        <v>0</v>
      </c>
      <c r="L118" s="14">
        <f t="shared" si="112"/>
        <v>0</v>
      </c>
      <c r="M118" s="14">
        <f t="shared" si="112"/>
        <v>0.30000000000000004</v>
      </c>
      <c r="N118" s="14">
        <f t="shared" si="112"/>
        <v>0</v>
      </c>
      <c r="O118" s="86"/>
      <c r="T118" s="117" t="str">
        <f>'Energy matrix'!B53</f>
        <v>Coal</v>
      </c>
      <c r="U118" s="117"/>
      <c r="V118" s="118">
        <f>+INDEX('Energy matrix'!C53:O53,1,$D$2)</f>
        <v>1474.5050000000001</v>
      </c>
      <c r="W118" s="117"/>
    </row>
    <row r="119" spans="3:31" ht="12.75" customHeight="1">
      <c r="C119" s="13" t="str">
        <f>$D$152</f>
        <v>Haullage</v>
      </c>
      <c r="D119" s="19">
        <f t="shared" ref="D119:N119" si="113">+INDEX($E152:$O152,1,D$115) * INDEX($V$118:$V$128,D$115,1)</f>
        <v>0</v>
      </c>
      <c r="E119" s="19">
        <f t="shared" si="113"/>
        <v>0</v>
      </c>
      <c r="F119" s="19">
        <f t="shared" si="113"/>
        <v>3219.5250000000001</v>
      </c>
      <c r="G119" s="19">
        <f t="shared" si="113"/>
        <v>0</v>
      </c>
      <c r="H119" s="19" t="e">
        <f t="shared" si="113"/>
        <v>#REF!</v>
      </c>
      <c r="I119" s="19">
        <f t="shared" si="113"/>
        <v>0</v>
      </c>
      <c r="J119" s="19">
        <f t="shared" si="113"/>
        <v>0</v>
      </c>
      <c r="K119" s="19">
        <f t="shared" si="113"/>
        <v>0</v>
      </c>
      <c r="L119" s="19">
        <f t="shared" si="113"/>
        <v>0</v>
      </c>
      <c r="M119" s="19">
        <f t="shared" si="113"/>
        <v>0</v>
      </c>
      <c r="N119" s="19">
        <f t="shared" si="113"/>
        <v>0</v>
      </c>
      <c r="O119" s="86"/>
      <c r="T119" s="117" t="str">
        <f>'Energy matrix'!B54</f>
        <v>Fuel Oil</v>
      </c>
      <c r="U119" s="117"/>
      <c r="V119" s="118">
        <f>+INDEX('Energy matrix'!C54:O54,1,$D$2)</f>
        <v>40.343000000000004</v>
      </c>
      <c r="W119" s="117"/>
    </row>
    <row r="120" spans="3:31" ht="12.75" customHeight="1">
      <c r="C120" s="13" t="str">
        <f>$D$153</f>
        <v>Light and electronics</v>
      </c>
      <c r="D120" s="14">
        <f t="shared" ref="D120:N120" si="114">+INDEX($E153:$O153,1,D$115) * INDEX($V$118:$V$128,D$115,1)</f>
        <v>0</v>
      </c>
      <c r="E120" s="14">
        <f t="shared" si="114"/>
        <v>0</v>
      </c>
      <c r="F120" s="14">
        <f t="shared" si="114"/>
        <v>0</v>
      </c>
      <c r="G120" s="14">
        <f t="shared" si="114"/>
        <v>0</v>
      </c>
      <c r="H120" s="14" t="e">
        <f t="shared" si="114"/>
        <v>#REF!</v>
      </c>
      <c r="I120" s="14">
        <f t="shared" si="114"/>
        <v>0</v>
      </c>
      <c r="J120" s="14">
        <f t="shared" si="114"/>
        <v>0</v>
      </c>
      <c r="K120" s="14">
        <f t="shared" si="114"/>
        <v>0</v>
      </c>
      <c r="L120" s="14">
        <f t="shared" si="114"/>
        <v>0</v>
      </c>
      <c r="M120" s="14">
        <f t="shared" si="114"/>
        <v>0.48</v>
      </c>
      <c r="N120" s="14">
        <f t="shared" si="114"/>
        <v>0</v>
      </c>
      <c r="O120" s="86"/>
      <c r="T120" s="117" t="str">
        <f>'Energy matrix'!B55</f>
        <v>Diesel</v>
      </c>
      <c r="U120" s="117"/>
      <c r="V120" s="118">
        <f>+INDEX('Energy matrix'!C55:O55,1,$D$2)</f>
        <v>3219.5250000000001</v>
      </c>
      <c r="W120" s="117"/>
    </row>
    <row r="121" spans="3:31" ht="12.75" customHeight="1">
      <c r="C121" s="13" t="str">
        <f>$D$154</f>
        <v>Electric motors</v>
      </c>
      <c r="D121" s="14">
        <f t="shared" ref="D121:N121" si="115">+INDEX($E154:$O154,1,D$115) * INDEX($V$118:$V$128,D$115,1)</f>
        <v>0</v>
      </c>
      <c r="E121" s="14">
        <f t="shared" si="115"/>
        <v>0</v>
      </c>
      <c r="F121" s="14">
        <f t="shared" si="115"/>
        <v>0</v>
      </c>
      <c r="G121" s="14">
        <f t="shared" si="115"/>
        <v>0</v>
      </c>
      <c r="H121" s="14" t="e">
        <f t="shared" si="115"/>
        <v>#REF!</v>
      </c>
      <c r="I121" s="14">
        <f t="shared" si="115"/>
        <v>0</v>
      </c>
      <c r="J121" s="14">
        <f t="shared" si="115"/>
        <v>0</v>
      </c>
      <c r="K121" s="14">
        <f t="shared" si="115"/>
        <v>0</v>
      </c>
      <c r="L121" s="14">
        <f t="shared" si="115"/>
        <v>0</v>
      </c>
      <c r="M121" s="14">
        <f t="shared" si="115"/>
        <v>1.83</v>
      </c>
      <c r="N121" s="14">
        <f t="shared" si="115"/>
        <v>0</v>
      </c>
      <c r="O121" s="86"/>
      <c r="T121" s="117" t="str">
        <f>'Energy matrix'!B56</f>
        <v>Gasoline</v>
      </c>
      <c r="U121" s="117"/>
      <c r="V121" s="118">
        <f>+INDEX('Energy matrix'!C56:O56,1,$D$2)</f>
        <v>0</v>
      </c>
      <c r="W121" s="117"/>
    </row>
    <row r="122" spans="3:31" ht="12.75" customHeight="1">
      <c r="C122" s="13" t="str">
        <f>$D$155</f>
        <v>Spatial heating</v>
      </c>
      <c r="D122" s="14">
        <f t="shared" ref="D122:N122" si="116">+INDEX($E155:$O155,1,D$115) * INDEX($V$118:$V$128,D$115,1)</f>
        <v>0</v>
      </c>
      <c r="E122" s="14">
        <f t="shared" si="116"/>
        <v>0</v>
      </c>
      <c r="F122" s="14">
        <f t="shared" si="116"/>
        <v>0</v>
      </c>
      <c r="G122" s="14">
        <f t="shared" si="116"/>
        <v>0</v>
      </c>
      <c r="H122" s="14" t="e">
        <f t="shared" si="116"/>
        <v>#REF!</v>
      </c>
      <c r="I122" s="14">
        <f t="shared" si="116"/>
        <v>0</v>
      </c>
      <c r="J122" s="14">
        <f t="shared" si="116"/>
        <v>0</v>
      </c>
      <c r="K122" s="14">
        <f t="shared" si="116"/>
        <v>0</v>
      </c>
      <c r="L122" s="14">
        <f t="shared" si="116"/>
        <v>0</v>
      </c>
      <c r="M122" s="14">
        <f t="shared" si="116"/>
        <v>0.09</v>
      </c>
      <c r="N122" s="14">
        <f t="shared" si="116"/>
        <v>60969.599999999999</v>
      </c>
      <c r="O122" s="86"/>
      <c r="T122" s="117" t="e">
        <f>'Energy matrix'!#REF!</f>
        <v>#REF!</v>
      </c>
      <c r="U122" s="117"/>
      <c r="V122" s="118" t="e">
        <f>+_xlfn.SINGLE(INDEX('Energy matrix'!#REF!,1,$D$2))</f>
        <v>#REF!</v>
      </c>
      <c r="W122" s="117"/>
    </row>
    <row r="123" spans="3:31" ht="12.75" customHeight="1">
      <c r="C123" s="17" t="s">
        <v>57</v>
      </c>
      <c r="D123" s="18">
        <f t="shared" ref="D123:N123" si="117">SUM(D117:D122)</f>
        <v>1474.5050000000001</v>
      </c>
      <c r="E123" s="18">
        <f t="shared" si="117"/>
        <v>40.343000000000004</v>
      </c>
      <c r="F123" s="18">
        <f t="shared" si="117"/>
        <v>3219.5250000000001</v>
      </c>
      <c r="G123" s="18">
        <f t="shared" si="117"/>
        <v>0</v>
      </c>
      <c r="H123" s="18" t="e">
        <f t="shared" si="117"/>
        <v>#REF!</v>
      </c>
      <c r="I123" s="18">
        <f t="shared" si="117"/>
        <v>13.5</v>
      </c>
      <c r="J123" s="18">
        <f t="shared" si="117"/>
        <v>29694.444</v>
      </c>
      <c r="K123" s="18">
        <f t="shared" si="117"/>
        <v>136</v>
      </c>
      <c r="L123" s="18">
        <f t="shared" si="117"/>
        <v>4616</v>
      </c>
      <c r="M123" s="18">
        <f t="shared" si="117"/>
        <v>3</v>
      </c>
      <c r="N123" s="18">
        <f t="shared" si="117"/>
        <v>60969.599999999999</v>
      </c>
      <c r="O123" s="86"/>
      <c r="T123" s="117" t="str">
        <f>'Energy matrix'!B58</f>
        <v>Manufactured Gases</v>
      </c>
      <c r="U123" s="117"/>
      <c r="V123" s="118">
        <f>+INDEX('Energy matrix'!C58:O58,1,$D$2)</f>
        <v>13.5</v>
      </c>
      <c r="W123" s="117"/>
    </row>
    <row r="124" spans="3:31" ht="12.75" customHeight="1">
      <c r="E124" s="285"/>
      <c r="F124" s="285"/>
      <c r="G124" s="285"/>
      <c r="H124" s="285"/>
      <c r="I124" s="285"/>
      <c r="J124" s="285"/>
      <c r="K124" s="285"/>
      <c r="O124" s="86"/>
      <c r="T124" s="117" t="str">
        <f>'Energy matrix'!B59</f>
        <v>Natural gas</v>
      </c>
      <c r="U124" s="117"/>
      <c r="V124" s="118">
        <f>+INDEX('Energy matrix'!C59:O59,1,$D$2)</f>
        <v>29694.444</v>
      </c>
      <c r="W124" s="117"/>
    </row>
    <row r="125" spans="3:31" ht="12.75" customHeight="1">
      <c r="E125" s="285"/>
      <c r="F125" s="285"/>
      <c r="G125" s="285"/>
      <c r="H125" s="285"/>
      <c r="I125" s="285"/>
      <c r="J125" s="285"/>
      <c r="K125" s="285"/>
      <c r="O125" s="86"/>
      <c r="T125" s="117" t="str">
        <f>'Energy matrix'!B60</f>
        <v>Biogas</v>
      </c>
      <c r="U125" s="117"/>
      <c r="V125" s="118">
        <f>+INDEX('Energy matrix'!C60:O60,1,$D$2)</f>
        <v>136</v>
      </c>
      <c r="W125" s="117"/>
    </row>
    <row r="126" spans="3:31" ht="12.75" customHeight="1">
      <c r="O126" s="86"/>
      <c r="T126" s="117" t="str">
        <f>'Energy matrix'!B65</f>
        <v>Biomass</v>
      </c>
      <c r="U126" s="117"/>
      <c r="V126" s="118">
        <f>+INDEX('Energy matrix'!C65:O65,1,$D$2)</f>
        <v>4616</v>
      </c>
      <c r="W126" s="117"/>
    </row>
    <row r="127" spans="3:31" ht="12.75" customHeight="1">
      <c r="O127" s="86"/>
      <c r="T127" s="117" t="str">
        <f>'Energy matrix'!B66</f>
        <v>Waste</v>
      </c>
      <c r="U127" s="117"/>
      <c r="V127" s="118">
        <f>+INDEX('Energy matrix'!C66:O66,1,$D$2)</f>
        <v>3</v>
      </c>
      <c r="W127" s="117"/>
    </row>
    <row r="128" spans="3:31" ht="12.75" customHeight="1">
      <c r="C128" s="285" t="s">
        <v>293</v>
      </c>
      <c r="D128" s="505"/>
      <c r="F128" s="285"/>
      <c r="G128" s="285"/>
      <c r="H128" s="285"/>
      <c r="I128" s="285"/>
      <c r="J128" s="285"/>
      <c r="K128" s="285"/>
      <c r="O128" s="86"/>
      <c r="T128" s="117" t="str">
        <f>'Energy matrix'!B67</f>
        <v>Electricity</v>
      </c>
      <c r="U128" s="122"/>
      <c r="V128" s="118">
        <f>+INDEX('Energy matrix'!C67:O67,1,$D$2)</f>
        <v>60969.599999999999</v>
      </c>
      <c r="W128" s="122"/>
      <c r="AE128" s="287"/>
    </row>
    <row r="129" spans="3:32" ht="12.75" customHeight="1">
      <c r="E129" s="285"/>
      <c r="F129" s="285"/>
      <c r="G129" s="285"/>
      <c r="H129" s="285"/>
      <c r="I129" s="285"/>
      <c r="J129" s="285"/>
      <c r="K129" s="285"/>
      <c r="O129" s="86"/>
      <c r="T129" s="291"/>
      <c r="U129" s="291"/>
      <c r="W129" s="291"/>
      <c r="AF129" s="287"/>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287"/>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18">H136*0.98</f>
        <v>0.98</v>
      </c>
      <c r="I131" s="258">
        <f t="shared" si="118"/>
        <v>0.98</v>
      </c>
      <c r="J131" s="258">
        <f t="shared" si="118"/>
        <v>0.98</v>
      </c>
      <c r="K131" s="258">
        <f t="shared" si="118"/>
        <v>0.83299999999999996</v>
      </c>
      <c r="L131" s="258">
        <f t="shared" si="118"/>
        <v>0.93099999999999994</v>
      </c>
      <c r="M131" s="258">
        <f t="shared" si="118"/>
        <v>0.93099999999999994</v>
      </c>
      <c r="N131" s="258">
        <f t="shared" si="118"/>
        <v>0.94079999999999997</v>
      </c>
      <c r="O131" s="86"/>
      <c r="T131" s="260"/>
      <c r="U131" s="260"/>
      <c r="V131" s="261"/>
      <c r="W131" s="260"/>
      <c r="AF131" s="287"/>
    </row>
    <row r="132" spans="3:32" ht="12.75" customHeight="1">
      <c r="C132" s="13" t="str">
        <f>$D$151</f>
        <v>Cooling demand</v>
      </c>
      <c r="D132" s="258">
        <f>D131*0.98</f>
        <v>0.91237999999999997</v>
      </c>
      <c r="E132" s="258">
        <f>E131*0.98</f>
        <v>0.91237999999999997</v>
      </c>
      <c r="F132" s="258">
        <f>F131*0.98</f>
        <v>0.92198399999999991</v>
      </c>
      <c r="G132" s="91"/>
      <c r="H132" s="258">
        <f t="shared" ref="H132:N132" si="119">H131*0.98</f>
        <v>0.96039999999999992</v>
      </c>
      <c r="I132" s="258">
        <f t="shared" si="119"/>
        <v>0.96039999999999992</v>
      </c>
      <c r="J132" s="258">
        <f t="shared" si="119"/>
        <v>0.96039999999999992</v>
      </c>
      <c r="K132" s="258">
        <f t="shared" si="119"/>
        <v>0.81633999999999995</v>
      </c>
      <c r="L132" s="258">
        <f t="shared" si="119"/>
        <v>0.91237999999999997</v>
      </c>
      <c r="M132" s="258">
        <f t="shared" si="119"/>
        <v>0.91237999999999997</v>
      </c>
      <c r="N132" s="258">
        <f t="shared" si="119"/>
        <v>0.92198399999999991</v>
      </c>
      <c r="O132" s="86"/>
      <c r="T132" s="291"/>
      <c r="U132" s="291"/>
      <c r="W132" s="291"/>
      <c r="AF132" s="287"/>
    </row>
    <row r="133" spans="3:32" ht="12.75" customHeight="1">
      <c r="C133" s="13" t="str">
        <f>$D$152</f>
        <v>Haullage</v>
      </c>
      <c r="D133" s="92"/>
      <c r="E133" s="92"/>
      <c r="F133" s="92"/>
      <c r="G133" s="92"/>
      <c r="H133" s="92"/>
      <c r="I133" s="92"/>
      <c r="J133" s="92"/>
      <c r="K133" s="92"/>
      <c r="L133" s="92"/>
      <c r="M133" s="92"/>
      <c r="N133" s="92"/>
      <c r="O133" s="86"/>
      <c r="V133" s="285">
        <f>1-(V90-V88-V86-V80-V81)/V90</f>
        <v>0.14732732890256106</v>
      </c>
      <c r="AF133" s="287"/>
    </row>
    <row r="134" spans="3:32" ht="12.75" customHeight="1">
      <c r="C134" s="13" t="str">
        <f>$D$153</f>
        <v>Light and electronics</v>
      </c>
      <c r="D134" s="93"/>
      <c r="E134" s="93"/>
      <c r="F134" s="90"/>
      <c r="G134" s="91"/>
      <c r="H134" s="93"/>
      <c r="I134" s="93"/>
      <c r="J134" s="93"/>
      <c r="K134" s="93"/>
      <c r="L134" s="93"/>
      <c r="M134" s="90">
        <v>1</v>
      </c>
      <c r="N134" s="90"/>
      <c r="O134" s="86"/>
      <c r="R134" s="285"/>
      <c r="S134" s="285"/>
      <c r="AF134" s="287"/>
    </row>
    <row r="135" spans="3:32" ht="12.75" customHeight="1">
      <c r="C135" s="13" t="str">
        <f>$D$154</f>
        <v>Electric motors</v>
      </c>
      <c r="D135" s="93"/>
      <c r="E135" s="93"/>
      <c r="F135" s="90"/>
      <c r="G135" s="91"/>
      <c r="H135" s="93"/>
      <c r="I135" s="93"/>
      <c r="J135" s="93"/>
      <c r="K135" s="93"/>
      <c r="L135" s="93"/>
      <c r="M135" s="90">
        <v>1</v>
      </c>
      <c r="N135" s="90"/>
      <c r="O135" s="86"/>
      <c r="R135" s="285"/>
      <c r="S135" s="285"/>
      <c r="AF135" s="287"/>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85"/>
      <c r="S136" s="285"/>
      <c r="AF136" s="287"/>
    </row>
    <row r="137" spans="3:32" ht="12.75" customHeight="1">
      <c r="D137" s="94"/>
      <c r="E137" s="94"/>
      <c r="F137" s="94"/>
      <c r="G137" s="95"/>
      <c r="H137" s="94"/>
      <c r="I137" s="94"/>
      <c r="J137" s="94"/>
      <c r="K137" s="94"/>
      <c r="L137" s="94"/>
      <c r="M137" s="94"/>
      <c r="N137" s="94"/>
      <c r="O137" s="86"/>
      <c r="R137" s="285"/>
      <c r="S137" s="285"/>
      <c r="AF137" s="287"/>
    </row>
    <row r="138" spans="3:32" ht="12.75" customHeight="1">
      <c r="O138" s="86"/>
      <c r="R138" s="285"/>
      <c r="S138" s="285"/>
      <c r="AF138" s="287"/>
    </row>
    <row r="139" spans="3:32" ht="12.75" customHeight="1">
      <c r="C139" s="61"/>
      <c r="D139" s="61"/>
      <c r="O139" s="86"/>
      <c r="R139" s="285"/>
      <c r="S139" s="285"/>
      <c r="AF139" s="287"/>
    </row>
    <row r="140" spans="3:32" ht="12.75" customHeight="1">
      <c r="C140" s="61"/>
      <c r="D140" s="61"/>
      <c r="R140" s="285"/>
      <c r="S140" s="285"/>
      <c r="AF140" s="287"/>
    </row>
    <row r="141" spans="3:32" ht="12.75" customHeight="1">
      <c r="R141" s="285"/>
      <c r="S141" s="285"/>
      <c r="AF141" s="287"/>
    </row>
    <row r="143" spans="3:32" s="444" customFormat="1" ht="15" thickBot="1">
      <c r="E143" s="445"/>
      <c r="F143" s="445"/>
      <c r="G143" s="446"/>
      <c r="H143" s="446"/>
      <c r="I143" s="446"/>
      <c r="J143" s="446"/>
      <c r="K143" s="446"/>
      <c r="R143" s="447"/>
      <c r="S143" s="447"/>
    </row>
    <row r="145" spans="3:20">
      <c r="E145" s="285"/>
      <c r="F145" s="285"/>
      <c r="G145" s="285"/>
      <c r="H145" s="285"/>
      <c r="I145" s="285"/>
      <c r="J145" s="285"/>
      <c r="K145" s="285"/>
      <c r="R145" s="285"/>
      <c r="T145" s="287"/>
    </row>
    <row r="146" spans="3:20" ht="21">
      <c r="C146" s="504" t="s">
        <v>509</v>
      </c>
      <c r="E146" s="285"/>
      <c r="G146" s="63"/>
      <c r="L146" s="288"/>
      <c r="R146" s="285"/>
      <c r="S146" s="285"/>
    </row>
    <row r="147" spans="3:20">
      <c r="D147" s="85"/>
      <c r="E147" s="50"/>
      <c r="F147" s="50"/>
      <c r="G147" s="50"/>
      <c r="H147" s="50"/>
      <c r="I147" s="50"/>
      <c r="J147" s="50"/>
      <c r="K147" s="50"/>
      <c r="L147" s="50"/>
      <c r="M147" s="50"/>
      <c r="N147" s="50"/>
      <c r="O147" s="50"/>
      <c r="P147" s="50"/>
      <c r="Q147" s="50"/>
      <c r="R147" s="50"/>
      <c r="T147" s="287"/>
    </row>
    <row r="148" spans="3:20">
      <c r="E148" s="50"/>
      <c r="F148" s="50"/>
      <c r="G148" s="50"/>
      <c r="H148" s="50"/>
      <c r="I148" s="50"/>
      <c r="J148" s="50"/>
      <c r="K148" s="50"/>
      <c r="L148" s="50"/>
      <c r="M148" s="50"/>
      <c r="N148" s="50"/>
      <c r="O148" s="50"/>
      <c r="P148" s="50"/>
      <c r="Q148" s="50"/>
      <c r="R148" s="50"/>
      <c r="T148" s="287"/>
    </row>
    <row r="149" spans="3:20">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287"/>
      <c r="Q149" s="287"/>
      <c r="R149" s="285"/>
      <c r="S149" s="285"/>
    </row>
    <row r="150" spans="3:20">
      <c r="C150" s="12" t="str">
        <f>D6</f>
        <v>013 Non-specified</v>
      </c>
      <c r="D150" s="13" t="s">
        <v>534</v>
      </c>
      <c r="E150" s="22">
        <v>1</v>
      </c>
      <c r="F150" s="22">
        <v>1</v>
      </c>
      <c r="G150" s="22"/>
      <c r="H150" s="22">
        <v>0</v>
      </c>
      <c r="I150" s="22">
        <v>0.25</v>
      </c>
      <c r="J150" s="22">
        <v>1</v>
      </c>
      <c r="K150" s="22">
        <v>1</v>
      </c>
      <c r="L150" s="22">
        <v>1</v>
      </c>
      <c r="M150" s="22">
        <v>1</v>
      </c>
      <c r="N150" s="22">
        <v>0.1</v>
      </c>
      <c r="O150" s="22"/>
      <c r="P150" s="287"/>
      <c r="Q150" s="287"/>
      <c r="R150" s="285"/>
      <c r="S150" s="285"/>
    </row>
    <row r="151" spans="3:20">
      <c r="C151" s="15"/>
      <c r="D151" s="13" t="s">
        <v>535</v>
      </c>
      <c r="E151" s="22"/>
      <c r="F151" s="22"/>
      <c r="G151" s="22"/>
      <c r="H151" s="22">
        <v>0</v>
      </c>
      <c r="I151" s="22"/>
      <c r="J151" s="22"/>
      <c r="K151" s="22">
        <v>0</v>
      </c>
      <c r="L151" s="610"/>
      <c r="M151" s="22">
        <v>0</v>
      </c>
      <c r="N151" s="22">
        <v>0.1</v>
      </c>
      <c r="O151" s="22">
        <v>0</v>
      </c>
      <c r="P151" s="287"/>
      <c r="Q151" s="287"/>
      <c r="R151" s="285"/>
      <c r="S151" s="285"/>
    </row>
    <row r="152" spans="3:20">
      <c r="C152" s="15"/>
      <c r="D152" s="13" t="s">
        <v>536</v>
      </c>
      <c r="E152" s="22">
        <v>0</v>
      </c>
      <c r="F152" s="22">
        <v>0</v>
      </c>
      <c r="G152" s="22">
        <v>1</v>
      </c>
      <c r="H152" s="611">
        <v>1</v>
      </c>
      <c r="I152" s="22">
        <v>0.7529574153753249</v>
      </c>
      <c r="J152" s="22">
        <v>0</v>
      </c>
      <c r="K152" s="22">
        <v>0</v>
      </c>
      <c r="L152" s="22"/>
      <c r="M152" s="22">
        <v>0</v>
      </c>
      <c r="N152" s="22">
        <v>0</v>
      </c>
      <c r="O152" s="22">
        <v>0</v>
      </c>
      <c r="P152" s="287"/>
      <c r="Q152" s="287"/>
      <c r="R152" s="285"/>
      <c r="S152" s="285"/>
    </row>
    <row r="153" spans="3:20">
      <c r="C153" s="15"/>
      <c r="D153" s="13" t="s">
        <v>537</v>
      </c>
      <c r="E153" s="22">
        <v>0</v>
      </c>
      <c r="F153" s="22">
        <v>0</v>
      </c>
      <c r="G153" s="22">
        <v>0</v>
      </c>
      <c r="H153" s="22">
        <v>0</v>
      </c>
      <c r="I153" s="22">
        <v>0</v>
      </c>
      <c r="J153" s="22">
        <v>0</v>
      </c>
      <c r="K153" s="22">
        <v>0</v>
      </c>
      <c r="L153" s="22">
        <v>0</v>
      </c>
      <c r="M153" s="22">
        <v>0</v>
      </c>
      <c r="N153" s="22">
        <v>0.16</v>
      </c>
      <c r="O153" s="22">
        <v>0</v>
      </c>
      <c r="P153" s="287"/>
      <c r="Q153" s="287"/>
      <c r="R153" s="285"/>
      <c r="S153" s="285"/>
    </row>
    <row r="154" spans="3:20">
      <c r="C154" s="15"/>
      <c r="D154" s="13" t="s">
        <v>538</v>
      </c>
      <c r="E154" s="22">
        <v>0</v>
      </c>
      <c r="F154" s="22">
        <v>0</v>
      </c>
      <c r="G154" s="22">
        <v>0</v>
      </c>
      <c r="H154" s="22">
        <v>0</v>
      </c>
      <c r="I154" s="22">
        <v>0</v>
      </c>
      <c r="J154" s="22">
        <v>0</v>
      </c>
      <c r="K154" s="22">
        <v>0</v>
      </c>
      <c r="L154" s="22">
        <v>0</v>
      </c>
      <c r="M154" s="22">
        <v>0</v>
      </c>
      <c r="N154" s="22">
        <v>0.61</v>
      </c>
      <c r="O154" s="22">
        <v>0</v>
      </c>
      <c r="P154" s="287"/>
      <c r="Q154" s="287"/>
      <c r="R154" s="285"/>
      <c r="S154" s="285"/>
    </row>
    <row r="155" spans="3:20">
      <c r="C155" s="16"/>
      <c r="D155" s="13" t="s">
        <v>539</v>
      </c>
      <c r="E155" s="22"/>
      <c r="F155" s="22"/>
      <c r="G155" s="22"/>
      <c r="H155" s="22"/>
      <c r="I155" s="22"/>
      <c r="J155" s="22"/>
      <c r="K155" s="22"/>
      <c r="L155" s="22"/>
      <c r="M155" s="22"/>
      <c r="N155" s="22">
        <v>0.03</v>
      </c>
      <c r="O155" s="22">
        <v>1</v>
      </c>
      <c r="P155" s="287"/>
      <c r="Q155" s="287"/>
      <c r="R155" s="285"/>
      <c r="S155" s="285"/>
    </row>
    <row r="156" spans="3:20">
      <c r="C156" s="17" t="str">
        <f>C150</f>
        <v>013 Non-specified</v>
      </c>
      <c r="D156" s="17"/>
      <c r="E156" s="23">
        <f>SUM(E150:E155)</f>
        <v>1</v>
      </c>
      <c r="F156" s="23">
        <f t="shared" ref="F156:O156" si="120">SUM(F150:F155)</f>
        <v>1</v>
      </c>
      <c r="G156" s="23">
        <f t="shared" si="120"/>
        <v>1</v>
      </c>
      <c r="H156" s="23">
        <f t="shared" si="120"/>
        <v>1</v>
      </c>
      <c r="I156" s="23">
        <f t="shared" si="120"/>
        <v>1.0029574153753249</v>
      </c>
      <c r="J156" s="23">
        <f t="shared" si="120"/>
        <v>1</v>
      </c>
      <c r="K156" s="23">
        <f t="shared" si="120"/>
        <v>1</v>
      </c>
      <c r="L156" s="23">
        <f t="shared" si="120"/>
        <v>1</v>
      </c>
      <c r="M156" s="23">
        <f t="shared" si="120"/>
        <v>1</v>
      </c>
      <c r="N156" s="23">
        <f t="shared" si="120"/>
        <v>1</v>
      </c>
      <c r="O156" s="23">
        <f t="shared" si="120"/>
        <v>1</v>
      </c>
      <c r="P156" s="287"/>
      <c r="Q156" s="287"/>
      <c r="R156" s="285"/>
      <c r="S156" s="285"/>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zoomScale="80" zoomScaleNormal="80" workbookViewId="0">
      <selection activeCell="G22" sqref="G22"/>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34"/>
    <col min="20" max="16384" width="9.1640625" style="25"/>
  </cols>
  <sheetData>
    <row r="1" spans="1:37">
      <c r="G1" s="32"/>
      <c r="H1" s="33"/>
      <c r="N1" s="25"/>
      <c r="O1" s="25"/>
      <c r="P1" s="25"/>
      <c r="Q1" s="25"/>
      <c r="R1" s="25"/>
      <c r="S1" s="25"/>
    </row>
    <row r="2" spans="1:37">
      <c r="L2" s="87"/>
      <c r="M2" s="87"/>
      <c r="N2" s="87" t="s">
        <v>153</v>
      </c>
      <c r="O2" s="88" t="e">
        <f>+IF(AND(K6:K17=MID(B6:B18,7,99)),"Ok","ERROR")</f>
        <v>#VALUE!</v>
      </c>
      <c r="P2" s="25"/>
      <c r="Q2" s="25"/>
      <c r="R2" s="25"/>
      <c r="S2" s="25"/>
    </row>
    <row r="3" spans="1:37">
      <c r="C3" s="34"/>
      <c r="D3" s="34"/>
      <c r="E3" s="35" t="s">
        <v>8</v>
      </c>
      <c r="F3" s="34"/>
      <c r="N3" s="25"/>
      <c r="O3" s="25"/>
      <c r="P3" s="25"/>
      <c r="Q3" s="25"/>
      <c r="R3" s="25"/>
      <c r="S3" s="25"/>
    </row>
    <row r="4" spans="1:37" ht="15">
      <c r="B4" s="38" t="s">
        <v>2</v>
      </c>
      <c r="C4" s="38" t="s">
        <v>26</v>
      </c>
      <c r="D4" s="38" t="s">
        <v>14</v>
      </c>
      <c r="E4" s="39" t="s">
        <v>15</v>
      </c>
      <c r="F4" s="40" t="s">
        <v>16</v>
      </c>
      <c r="G4" s="40" t="s">
        <v>58</v>
      </c>
      <c r="H4" s="266"/>
      <c r="I4" s="266"/>
      <c r="L4" s="370"/>
      <c r="M4" s="377"/>
      <c r="N4" s="377"/>
      <c r="O4" s="378" t="s">
        <v>424</v>
      </c>
      <c r="P4" s="377"/>
      <c r="Q4" s="377"/>
      <c r="R4" s="377"/>
      <c r="S4" s="377"/>
      <c r="T4" s="377"/>
      <c r="U4" s="377"/>
      <c r="V4" s="377"/>
      <c r="W4" s="377"/>
      <c r="X4" s="377"/>
      <c r="Y4" s="370"/>
      <c r="Z4" s="377"/>
      <c r="AA4" s="377"/>
      <c r="AB4" s="378" t="s">
        <v>425</v>
      </c>
      <c r="AC4" s="377"/>
      <c r="AD4" s="377"/>
      <c r="AE4" s="377"/>
      <c r="AF4" s="377"/>
      <c r="AG4" s="377"/>
      <c r="AH4" s="377"/>
      <c r="AI4" s="377"/>
      <c r="AJ4" s="377"/>
      <c r="AK4" s="379"/>
    </row>
    <row r="5" spans="1:37" ht="15" thickBot="1">
      <c r="B5" s="41" t="s">
        <v>45</v>
      </c>
      <c r="C5" s="42"/>
      <c r="D5" s="42"/>
      <c r="E5" s="43"/>
      <c r="F5" s="44"/>
      <c r="G5" s="44"/>
      <c r="H5" s="267"/>
      <c r="I5" s="267"/>
      <c r="L5" s="380" t="s">
        <v>346</v>
      </c>
      <c r="M5" s="381" t="s">
        <v>239</v>
      </c>
      <c r="N5" s="381" t="s">
        <v>357</v>
      </c>
      <c r="O5" s="381" t="s">
        <v>299</v>
      </c>
      <c r="P5" s="381" t="s">
        <v>485</v>
      </c>
      <c r="Q5" s="381" t="s">
        <v>342</v>
      </c>
      <c r="R5" s="381" t="s">
        <v>359</v>
      </c>
      <c r="S5" s="381" t="s">
        <v>238</v>
      </c>
      <c r="T5" s="381" t="s">
        <v>543</v>
      </c>
      <c r="U5" s="381" t="s">
        <v>355</v>
      </c>
      <c r="V5" s="381" t="s">
        <v>544</v>
      </c>
      <c r="W5" s="381" t="s">
        <v>253</v>
      </c>
      <c r="X5" s="381" t="s">
        <v>240</v>
      </c>
      <c r="Y5" s="380" t="s">
        <v>346</v>
      </c>
      <c r="Z5" s="381" t="s">
        <v>239</v>
      </c>
      <c r="AA5" s="381" t="s">
        <v>357</v>
      </c>
      <c r="AB5" s="381" t="s">
        <v>299</v>
      </c>
      <c r="AC5" s="381" t="s">
        <v>485</v>
      </c>
      <c r="AD5" s="381" t="s">
        <v>342</v>
      </c>
      <c r="AE5" s="381" t="s">
        <v>359</v>
      </c>
      <c r="AF5" s="381" t="s">
        <v>238</v>
      </c>
      <c r="AG5" s="381" t="s">
        <v>543</v>
      </c>
      <c r="AH5" s="381" t="s">
        <v>355</v>
      </c>
      <c r="AI5" s="381" t="s">
        <v>544</v>
      </c>
      <c r="AJ5" s="381" t="s">
        <v>253</v>
      </c>
      <c r="AK5" s="381" t="s">
        <v>240</v>
      </c>
    </row>
    <row r="6" spans="1:37">
      <c r="B6" s="146" t="str">
        <f>Processes!D488</f>
        <v>FT-INDNGA</v>
      </c>
      <c r="C6" s="146" t="str">
        <f>Processes!E488</f>
        <v>FT-INDIND</v>
      </c>
      <c r="D6" s="146" t="s">
        <v>578</v>
      </c>
      <c r="E6" s="146" t="str">
        <f>Commodities!D97</f>
        <v>INDNGA</v>
      </c>
      <c r="F6" s="194">
        <v>1</v>
      </c>
      <c r="G6" s="146">
        <v>50</v>
      </c>
      <c r="H6" s="268"/>
      <c r="I6" s="268"/>
      <c r="K6" s="191" t="str">
        <f>IronSteel!AL26</f>
        <v>NGA</v>
      </c>
      <c r="L6" s="371">
        <f t="shared" ref="L6:X17" ca="1" si="0">+SUMIFS(INDIRECT(L$5&amp;"!AF$31:AF$65"),INDIRECT(L$5&amp;"!$AD$31:$AD$65"),   $K6)</f>
        <v>0</v>
      </c>
      <c r="M6" s="372">
        <f t="shared" ca="1" si="0"/>
        <v>0</v>
      </c>
      <c r="N6" s="372">
        <f t="shared" ca="1" si="0"/>
        <v>0</v>
      </c>
      <c r="O6" s="372">
        <f t="shared" ca="1" si="0"/>
        <v>0</v>
      </c>
      <c r="P6" s="372">
        <f t="shared" ca="1" si="0"/>
        <v>0</v>
      </c>
      <c r="Q6" s="604"/>
      <c r="R6" s="372">
        <f t="shared" ca="1" si="0"/>
        <v>0</v>
      </c>
      <c r="S6" s="372">
        <f ca="1">+SUMIFS(INDIRECT(S$5&amp;"!AF$31:AF$65"),INDIRECT(S$5&amp;"!$AD$31:$AD$65"),   $K6)</f>
        <v>0</v>
      </c>
      <c r="T6" s="372">
        <f t="shared" ca="1" si="0"/>
        <v>0</v>
      </c>
      <c r="U6" s="372">
        <f t="shared" ca="1" si="0"/>
        <v>0</v>
      </c>
      <c r="V6" s="372">
        <f t="shared" ca="1" si="0"/>
        <v>0</v>
      </c>
      <c r="W6" s="372">
        <f t="shared" ca="1" si="0"/>
        <v>0</v>
      </c>
      <c r="X6" s="372">
        <f t="shared" ca="1" si="0"/>
        <v>0</v>
      </c>
      <c r="Y6" s="404">
        <f t="shared" ref="Y6:AK17" ca="1" si="1">+SUMIFS(INDIRECT(Y$5&amp;"!AG$31:AG$65"),INDIRECT(Y$5&amp;"!$AD$31:$AD$65"),   $K6)</f>
        <v>0</v>
      </c>
      <c r="Z6" s="405">
        <f t="shared" ca="1" si="1"/>
        <v>0</v>
      </c>
      <c r="AA6" s="405">
        <f t="shared" ca="1" si="1"/>
        <v>0</v>
      </c>
      <c r="AB6" s="405">
        <f t="shared" ca="1" si="1"/>
        <v>0</v>
      </c>
      <c r="AC6" s="405">
        <f t="shared" ca="1" si="1"/>
        <v>0</v>
      </c>
      <c r="AD6" s="405">
        <f t="shared" ca="1" si="1"/>
        <v>0</v>
      </c>
      <c r="AE6" s="405">
        <f t="shared" ca="1" si="1"/>
        <v>0</v>
      </c>
      <c r="AF6" s="405">
        <f t="shared" ca="1" si="1"/>
        <v>0</v>
      </c>
      <c r="AG6" s="405">
        <f t="shared" ca="1" si="1"/>
        <v>0</v>
      </c>
      <c r="AH6" s="405">
        <f t="shared" ca="1" si="1"/>
        <v>0</v>
      </c>
      <c r="AI6" s="405">
        <f t="shared" ca="1" si="1"/>
        <v>0</v>
      </c>
      <c r="AJ6" s="405">
        <f t="shared" ca="1" si="1"/>
        <v>0</v>
      </c>
      <c r="AK6" s="406">
        <f t="shared" ca="1" si="1"/>
        <v>0</v>
      </c>
    </row>
    <row r="7" spans="1:37">
      <c r="B7" s="146" t="str">
        <f>Processes!D489</f>
        <v>FT-INDCOA</v>
      </c>
      <c r="C7" s="146" t="str">
        <f>Processes!E489</f>
        <v>FT-INDIND</v>
      </c>
      <c r="D7" s="146" t="str">
        <f t="shared" ref="D7:D26" si="2">VLOOKUP(MID(B7,7,99),$K$25:$L$44,2,FALSE)</f>
        <v>COA</v>
      </c>
      <c r="E7" s="146" t="str">
        <f>Commodities!D98</f>
        <v>INDCOA</v>
      </c>
      <c r="F7" s="194">
        <v>1</v>
      </c>
      <c r="G7" s="146">
        <v>50</v>
      </c>
      <c r="H7" s="268"/>
      <c r="I7" s="384"/>
      <c r="K7" s="192" t="str">
        <f>IronSteel!AL27</f>
        <v>COA</v>
      </c>
      <c r="L7" s="371">
        <f t="shared" ca="1" si="0"/>
        <v>0</v>
      </c>
      <c r="M7" s="372">
        <f t="shared" ca="1" si="0"/>
        <v>0</v>
      </c>
      <c r="N7" s="372">
        <f t="shared" ca="1" si="0"/>
        <v>0</v>
      </c>
      <c r="O7" s="372">
        <f t="shared" ca="1" si="0"/>
        <v>0</v>
      </c>
      <c r="P7" s="372">
        <f t="shared" ca="1" si="0"/>
        <v>0</v>
      </c>
      <c r="Q7" s="372">
        <f t="shared" ca="1" si="0"/>
        <v>0</v>
      </c>
      <c r="R7" s="372">
        <f t="shared" ca="1" si="0"/>
        <v>0</v>
      </c>
      <c r="S7" s="372">
        <f t="shared" ca="1" si="0"/>
        <v>0</v>
      </c>
      <c r="T7" s="372">
        <f t="shared" ca="1" si="0"/>
        <v>0</v>
      </c>
      <c r="U7" s="372">
        <f t="shared" ca="1" si="0"/>
        <v>0</v>
      </c>
      <c r="V7" s="372">
        <f t="shared" ca="1" si="0"/>
        <v>0</v>
      </c>
      <c r="W7" s="372">
        <f t="shared" ca="1" si="0"/>
        <v>0</v>
      </c>
      <c r="X7" s="372">
        <f t="shared" ca="1" si="0"/>
        <v>0</v>
      </c>
      <c r="Y7" s="371">
        <f t="shared" ca="1" si="1"/>
        <v>0</v>
      </c>
      <c r="Z7" s="372">
        <f t="shared" ca="1" si="1"/>
        <v>0</v>
      </c>
      <c r="AA7" s="372">
        <f t="shared" ca="1" si="1"/>
        <v>0</v>
      </c>
      <c r="AB7" s="372">
        <f t="shared" ca="1" si="1"/>
        <v>0</v>
      </c>
      <c r="AC7" s="372">
        <f t="shared" ca="1" si="1"/>
        <v>0</v>
      </c>
      <c r="AD7" s="372">
        <f t="shared" ca="1" si="1"/>
        <v>0</v>
      </c>
      <c r="AE7" s="372">
        <f t="shared" ca="1" si="1"/>
        <v>0</v>
      </c>
      <c r="AF7" s="372">
        <f t="shared" ca="1" si="1"/>
        <v>0</v>
      </c>
      <c r="AG7" s="372">
        <f t="shared" ca="1" si="1"/>
        <v>0</v>
      </c>
      <c r="AH7" s="372">
        <f t="shared" ca="1" si="1"/>
        <v>0</v>
      </c>
      <c r="AI7" s="372">
        <f t="shared" ca="1" si="1"/>
        <v>0</v>
      </c>
      <c r="AJ7" s="372">
        <f t="shared" ca="1" si="1"/>
        <v>0</v>
      </c>
      <c r="AK7" s="373">
        <f t="shared" ca="1" si="1"/>
        <v>0</v>
      </c>
    </row>
    <row r="8" spans="1:37">
      <c r="B8" s="146" t="str">
        <f>Processes!D490</f>
        <v>FT-INDDSL</v>
      </c>
      <c r="C8" s="146" t="str">
        <f>Processes!E490</f>
        <v>FT-INDIND</v>
      </c>
      <c r="D8" s="146" t="str">
        <f t="shared" si="2"/>
        <v>DSL</v>
      </c>
      <c r="E8" s="146" t="str">
        <f>Commodities!D99</f>
        <v>INDDSL</v>
      </c>
      <c r="F8" s="194">
        <v>1</v>
      </c>
      <c r="G8" s="146">
        <v>50</v>
      </c>
      <c r="H8" s="268">
        <f ca="1">SUM(L8:X8)</f>
        <v>0</v>
      </c>
      <c r="I8" s="384">
        <f ca="1">SUM(Y8:AK8)</f>
        <v>0</v>
      </c>
      <c r="K8" s="192" t="str">
        <f>IronSteel!AL28</f>
        <v>DSL</v>
      </c>
      <c r="L8" s="371">
        <f t="shared" ca="1" si="0"/>
        <v>0</v>
      </c>
      <c r="M8" s="372">
        <f t="shared" ca="1" si="0"/>
        <v>0</v>
      </c>
      <c r="N8" s="372">
        <f t="shared" ca="1" si="0"/>
        <v>0</v>
      </c>
      <c r="O8" s="372">
        <f t="shared" ca="1" si="0"/>
        <v>0</v>
      </c>
      <c r="P8" s="372">
        <f t="shared" ca="1" si="0"/>
        <v>0</v>
      </c>
      <c r="Q8" s="372">
        <f t="shared" ca="1" si="0"/>
        <v>0</v>
      </c>
      <c r="R8" s="372">
        <f t="shared" ca="1" si="0"/>
        <v>0</v>
      </c>
      <c r="S8" s="372">
        <f t="shared" ca="1" si="0"/>
        <v>0</v>
      </c>
      <c r="T8" s="372">
        <f t="shared" ca="1" si="0"/>
        <v>0</v>
      </c>
      <c r="U8" s="372">
        <f t="shared" ca="1" si="0"/>
        <v>0</v>
      </c>
      <c r="V8" s="372">
        <f t="shared" ca="1" si="0"/>
        <v>0</v>
      </c>
      <c r="W8" s="372">
        <f t="shared" ca="1" si="0"/>
        <v>0</v>
      </c>
      <c r="X8" s="372">
        <f ca="1">+SUMIFS(INDIRECT(X$5&amp;"!AF$31:AF$65"),INDIRECT(X$5&amp;"!$AD$31:$AD$65"),   $K8)</f>
        <v>0</v>
      </c>
      <c r="Y8" s="371">
        <f t="shared" ca="1" si="1"/>
        <v>0</v>
      </c>
      <c r="Z8" s="372">
        <f t="shared" ca="1" si="1"/>
        <v>0</v>
      </c>
      <c r="AA8" s="372">
        <f t="shared" ca="1" si="1"/>
        <v>0</v>
      </c>
      <c r="AB8" s="372">
        <f t="shared" ca="1" si="1"/>
        <v>0</v>
      </c>
      <c r="AC8" s="372">
        <f t="shared" ca="1" si="1"/>
        <v>0</v>
      </c>
      <c r="AD8" s="372">
        <f t="shared" ca="1" si="1"/>
        <v>0</v>
      </c>
      <c r="AE8" s="372">
        <f t="shared" ca="1" si="1"/>
        <v>0</v>
      </c>
      <c r="AF8" s="372">
        <f t="shared" ca="1" si="1"/>
        <v>0</v>
      </c>
      <c r="AG8" s="372">
        <f t="shared" ca="1" si="1"/>
        <v>0</v>
      </c>
      <c r="AH8" s="372">
        <f t="shared" ca="1" si="1"/>
        <v>0</v>
      </c>
      <c r="AI8" s="372">
        <f t="shared" ca="1" si="1"/>
        <v>0</v>
      </c>
      <c r="AJ8" s="372">
        <f t="shared" ca="1" si="1"/>
        <v>0</v>
      </c>
      <c r="AK8" s="373">
        <f t="shared" ca="1" si="1"/>
        <v>0</v>
      </c>
    </row>
    <row r="9" spans="1:37">
      <c r="B9" s="146" t="str">
        <f>Processes!D491</f>
        <v>FT-INDWPE</v>
      </c>
      <c r="C9" s="146" t="str">
        <f>Processes!E491</f>
        <v>FT-INDIND</v>
      </c>
      <c r="D9" s="146" t="str">
        <f t="shared" si="2"/>
        <v>WPE</v>
      </c>
      <c r="E9" s="146" t="str">
        <f>Commodities!D100</f>
        <v>INDWPE</v>
      </c>
      <c r="F9" s="194">
        <v>1</v>
      </c>
      <c r="G9" s="146">
        <v>50</v>
      </c>
      <c r="H9" s="268">
        <f ca="1">SUM(L9:X9)*0.5</f>
        <v>0</v>
      </c>
      <c r="I9" s="384">
        <f ca="1">SUM(Y9:AK9)*0.5</f>
        <v>0</v>
      </c>
      <c r="K9" s="192" t="str">
        <f>IronSteel!AL29</f>
        <v>WPE</v>
      </c>
      <c r="L9" s="371">
        <f t="shared" ca="1" si="0"/>
        <v>0</v>
      </c>
      <c r="M9" s="372">
        <f t="shared" ca="1" si="0"/>
        <v>0</v>
      </c>
      <c r="N9" s="372">
        <f t="shared" ca="1" si="0"/>
        <v>0</v>
      </c>
      <c r="O9" s="372">
        <f t="shared" ca="1" si="0"/>
        <v>0</v>
      </c>
      <c r="P9" s="372">
        <f t="shared" ca="1" si="0"/>
        <v>0</v>
      </c>
      <c r="Q9" s="372">
        <f t="shared" ca="1" si="0"/>
        <v>0</v>
      </c>
      <c r="R9" s="372">
        <f t="shared" ca="1" si="0"/>
        <v>0</v>
      </c>
      <c r="S9" s="372">
        <f t="shared" ca="1" si="0"/>
        <v>0</v>
      </c>
      <c r="T9" s="372">
        <f t="shared" ca="1" si="0"/>
        <v>0</v>
      </c>
      <c r="U9" s="372">
        <f t="shared" ca="1" si="0"/>
        <v>0</v>
      </c>
      <c r="V9" s="372">
        <f t="shared" ca="1" si="0"/>
        <v>0</v>
      </c>
      <c r="W9" s="372">
        <f t="shared" ca="1" si="0"/>
        <v>0</v>
      </c>
      <c r="X9" s="372">
        <f t="shared" ca="1" si="0"/>
        <v>0</v>
      </c>
      <c r="Y9" s="371">
        <f t="shared" ca="1" si="1"/>
        <v>0</v>
      </c>
      <c r="Z9" s="372">
        <f t="shared" ca="1" si="1"/>
        <v>0</v>
      </c>
      <c r="AA9" s="372">
        <f t="shared" ca="1" si="1"/>
        <v>0</v>
      </c>
      <c r="AB9" s="372">
        <f t="shared" ca="1" si="1"/>
        <v>0</v>
      </c>
      <c r="AC9" s="372">
        <f t="shared" ca="1" si="1"/>
        <v>0</v>
      </c>
      <c r="AD9" s="372">
        <f t="shared" ca="1" si="1"/>
        <v>0</v>
      </c>
      <c r="AE9" s="372">
        <f t="shared" ca="1" si="1"/>
        <v>0</v>
      </c>
      <c r="AF9" s="372">
        <f t="shared" ca="1" si="1"/>
        <v>0</v>
      </c>
      <c r="AG9" s="372">
        <f t="shared" ca="1" si="1"/>
        <v>0</v>
      </c>
      <c r="AH9" s="372">
        <f t="shared" ca="1" si="1"/>
        <v>0</v>
      </c>
      <c r="AI9" s="372">
        <f t="shared" ca="1" si="1"/>
        <v>0</v>
      </c>
      <c r="AJ9" s="372">
        <f t="shared" ca="1" si="1"/>
        <v>0</v>
      </c>
      <c r="AK9" s="373">
        <f t="shared" ca="1" si="1"/>
        <v>0</v>
      </c>
    </row>
    <row r="10" spans="1:37">
      <c r="B10" s="146" t="str">
        <f>Processes!D492</f>
        <v>FT-INDWCH</v>
      </c>
      <c r="C10" s="146" t="str">
        <f>Processes!E492</f>
        <v>FT-INDIND</v>
      </c>
      <c r="D10" s="146" t="str">
        <f t="shared" si="2"/>
        <v>WCH</v>
      </c>
      <c r="E10" s="146" t="str">
        <f>Commodities!D101</f>
        <v>INDWCH</v>
      </c>
      <c r="F10" s="194">
        <v>1</v>
      </c>
      <c r="G10" s="146">
        <v>50</v>
      </c>
      <c r="H10" s="268">
        <f ca="1">SUM(L9:X9)*0.5</f>
        <v>0</v>
      </c>
      <c r="I10" s="384">
        <f ca="1">SUM(Y9:AK9)*0.5</f>
        <v>0</v>
      </c>
      <c r="K10" s="192" t="str">
        <f>IronSteel!AL30</f>
        <v>WCH</v>
      </c>
      <c r="L10" s="371">
        <f t="shared" ca="1" si="0"/>
        <v>0</v>
      </c>
      <c r="M10" s="372">
        <f t="shared" ca="1" si="0"/>
        <v>0</v>
      </c>
      <c r="N10" s="372">
        <f t="shared" ca="1" si="0"/>
        <v>0</v>
      </c>
      <c r="O10" s="372">
        <f t="shared" ca="1" si="0"/>
        <v>0</v>
      </c>
      <c r="P10" s="372">
        <f t="shared" ca="1" si="0"/>
        <v>0</v>
      </c>
      <c r="Q10" s="372">
        <f t="shared" ca="1" si="0"/>
        <v>0</v>
      </c>
      <c r="R10" s="372">
        <f t="shared" ca="1" si="0"/>
        <v>0</v>
      </c>
      <c r="S10" s="372">
        <f t="shared" ca="1" si="0"/>
        <v>0</v>
      </c>
      <c r="T10" s="372">
        <f t="shared" ca="1" si="0"/>
        <v>0</v>
      </c>
      <c r="U10" s="372">
        <f t="shared" ca="1" si="0"/>
        <v>0</v>
      </c>
      <c r="V10" s="372">
        <f t="shared" ca="1" si="0"/>
        <v>0</v>
      </c>
      <c r="W10" s="372">
        <f t="shared" ca="1" si="0"/>
        <v>0</v>
      </c>
      <c r="X10" s="372">
        <f t="shared" ca="1" si="0"/>
        <v>0</v>
      </c>
      <c r="Y10" s="371">
        <f t="shared" ca="1" si="1"/>
        <v>0</v>
      </c>
      <c r="Z10" s="372">
        <f t="shared" ca="1" si="1"/>
        <v>0</v>
      </c>
      <c r="AA10" s="372">
        <f t="shared" ca="1" si="1"/>
        <v>0</v>
      </c>
      <c r="AB10" s="372">
        <f t="shared" ca="1" si="1"/>
        <v>0</v>
      </c>
      <c r="AC10" s="372">
        <f t="shared" ca="1" si="1"/>
        <v>0</v>
      </c>
      <c r="AD10" s="372">
        <f t="shared" ca="1" si="1"/>
        <v>0</v>
      </c>
      <c r="AE10" s="372">
        <f t="shared" ca="1" si="1"/>
        <v>0</v>
      </c>
      <c r="AF10" s="372">
        <f t="shared" ca="1" si="1"/>
        <v>0</v>
      </c>
      <c r="AG10" s="372">
        <f t="shared" ca="1" si="1"/>
        <v>0</v>
      </c>
      <c r="AH10" s="372">
        <f t="shared" ca="1" si="1"/>
        <v>0</v>
      </c>
      <c r="AI10" s="372">
        <f t="shared" ca="1" si="1"/>
        <v>0</v>
      </c>
      <c r="AJ10" s="372">
        <f t="shared" ca="1" si="1"/>
        <v>0</v>
      </c>
      <c r="AK10" s="373">
        <f t="shared" ca="1" si="1"/>
        <v>0</v>
      </c>
    </row>
    <row r="11" spans="1:37">
      <c r="B11" s="146" t="str">
        <f>Processes!D493</f>
        <v>FT-INDBGA</v>
      </c>
      <c r="C11" s="146" t="str">
        <f>Processes!E493</f>
        <v>FT-INDIND</v>
      </c>
      <c r="D11" s="146" t="str">
        <f t="shared" si="2"/>
        <v>BGA</v>
      </c>
      <c r="E11" s="146" t="str">
        <f>Commodities!D102</f>
        <v>INDBGA</v>
      </c>
      <c r="F11" s="194">
        <v>1</v>
      </c>
      <c r="G11" s="146">
        <v>50</v>
      </c>
      <c r="H11" s="268">
        <f ca="1">SUM(L11:X11)</f>
        <v>0</v>
      </c>
      <c r="I11" s="384">
        <f ca="1">SUM(Y11:AK11)</f>
        <v>0</v>
      </c>
      <c r="K11" s="192" t="str">
        <f>IronSteel!AL31</f>
        <v>BGA</v>
      </c>
      <c r="L11" s="371">
        <f t="shared" ca="1" si="0"/>
        <v>0</v>
      </c>
      <c r="M11" s="372">
        <f t="shared" ca="1" si="0"/>
        <v>0</v>
      </c>
      <c r="N11" s="372">
        <f t="shared" ca="1" si="0"/>
        <v>0</v>
      </c>
      <c r="O11" s="372">
        <f t="shared" ca="1" si="0"/>
        <v>0</v>
      </c>
      <c r="P11" s="372">
        <f t="shared" ca="1" si="0"/>
        <v>0</v>
      </c>
      <c r="Q11" s="372">
        <f t="shared" ca="1" si="0"/>
        <v>0</v>
      </c>
      <c r="R11" s="372">
        <f t="shared" ca="1" si="0"/>
        <v>0</v>
      </c>
      <c r="S11" s="372">
        <f t="shared" ca="1" si="0"/>
        <v>0</v>
      </c>
      <c r="T11" s="372">
        <f t="shared" ca="1" si="0"/>
        <v>0</v>
      </c>
      <c r="U11" s="372">
        <f t="shared" ca="1" si="0"/>
        <v>0</v>
      </c>
      <c r="V11" s="372">
        <f t="shared" ca="1" si="0"/>
        <v>0</v>
      </c>
      <c r="W11" s="372">
        <f t="shared" ca="1" si="0"/>
        <v>0</v>
      </c>
      <c r="X11" s="372">
        <f t="shared" ca="1" si="0"/>
        <v>0</v>
      </c>
      <c r="Y11" s="371">
        <f t="shared" ca="1" si="1"/>
        <v>0</v>
      </c>
      <c r="Z11" s="372">
        <f t="shared" ca="1" si="1"/>
        <v>0</v>
      </c>
      <c r="AA11" s="372">
        <f t="shared" ca="1" si="1"/>
        <v>0</v>
      </c>
      <c r="AB11" s="372">
        <f t="shared" ca="1" si="1"/>
        <v>0</v>
      </c>
      <c r="AC11" s="372">
        <f t="shared" ca="1" si="1"/>
        <v>0</v>
      </c>
      <c r="AD11" s="372">
        <f t="shared" ca="1" si="1"/>
        <v>0</v>
      </c>
      <c r="AE11" s="372">
        <f t="shared" ca="1" si="1"/>
        <v>0</v>
      </c>
      <c r="AF11" s="372">
        <f t="shared" ca="1" si="1"/>
        <v>0</v>
      </c>
      <c r="AG11" s="372">
        <f t="shared" ca="1" si="1"/>
        <v>0</v>
      </c>
      <c r="AH11" s="372">
        <f t="shared" ca="1" si="1"/>
        <v>0</v>
      </c>
      <c r="AI11" s="372">
        <f t="shared" ca="1" si="1"/>
        <v>0</v>
      </c>
      <c r="AJ11" s="372">
        <f t="shared" ca="1" si="1"/>
        <v>0</v>
      </c>
      <c r="AK11" s="373">
        <f t="shared" ca="1" si="1"/>
        <v>0</v>
      </c>
    </row>
    <row r="12" spans="1:37">
      <c r="B12" s="146" t="str">
        <f>Processes!D494</f>
        <v>FT-INDHFO</v>
      </c>
      <c r="C12" s="146" t="str">
        <f>Processes!E494</f>
        <v>FT-INDIND</v>
      </c>
      <c r="D12" s="146" t="str">
        <f t="shared" si="2"/>
        <v>HFO</v>
      </c>
      <c r="E12" s="146" t="str">
        <f>Commodities!D103</f>
        <v>INDHFO</v>
      </c>
      <c r="F12" s="194">
        <v>1</v>
      </c>
      <c r="G12" s="146">
        <v>50</v>
      </c>
      <c r="H12" s="268">
        <f ca="1">SUM(L12:X12)</f>
        <v>0</v>
      </c>
      <c r="I12" s="384">
        <f ca="1">SUM(Y12:AK12)</f>
        <v>0</v>
      </c>
      <c r="K12" s="192" t="str">
        <f>IronSteel!AL32</f>
        <v>HFO</v>
      </c>
      <c r="L12" s="371">
        <f t="shared" ca="1" si="0"/>
        <v>0</v>
      </c>
      <c r="M12" s="372">
        <f t="shared" ca="1" si="0"/>
        <v>0</v>
      </c>
      <c r="N12" s="372">
        <f t="shared" ca="1" si="0"/>
        <v>0</v>
      </c>
      <c r="O12" s="372">
        <f t="shared" ca="1" si="0"/>
        <v>0</v>
      </c>
      <c r="P12" s="372">
        <f t="shared" ca="1" si="0"/>
        <v>0</v>
      </c>
      <c r="Q12" s="372">
        <f t="shared" ca="1" si="0"/>
        <v>0</v>
      </c>
      <c r="R12" s="372">
        <f t="shared" ca="1" si="0"/>
        <v>0</v>
      </c>
      <c r="S12" s="372">
        <f t="shared" ca="1" si="0"/>
        <v>0</v>
      </c>
      <c r="T12" s="372">
        <f t="shared" ca="1" si="0"/>
        <v>0</v>
      </c>
      <c r="U12" s="372">
        <f t="shared" ca="1" si="0"/>
        <v>0</v>
      </c>
      <c r="V12" s="372">
        <f t="shared" ca="1" si="0"/>
        <v>0</v>
      </c>
      <c r="W12" s="372">
        <f t="shared" ca="1" si="0"/>
        <v>0</v>
      </c>
      <c r="X12" s="372">
        <f t="shared" ca="1" si="0"/>
        <v>0</v>
      </c>
      <c r="Y12" s="371">
        <f t="shared" ca="1" si="1"/>
        <v>0</v>
      </c>
      <c r="Z12" s="372">
        <f t="shared" ca="1" si="1"/>
        <v>0</v>
      </c>
      <c r="AA12" s="372">
        <f t="shared" ca="1" si="1"/>
        <v>0</v>
      </c>
      <c r="AB12" s="372">
        <f t="shared" ca="1" si="1"/>
        <v>0</v>
      </c>
      <c r="AC12" s="372">
        <f t="shared" ca="1" si="1"/>
        <v>0</v>
      </c>
      <c r="AD12" s="372">
        <f t="shared" ca="1" si="1"/>
        <v>0</v>
      </c>
      <c r="AE12" s="372">
        <f t="shared" ca="1" si="1"/>
        <v>0</v>
      </c>
      <c r="AF12" s="372">
        <f t="shared" ca="1" si="1"/>
        <v>0</v>
      </c>
      <c r="AG12" s="372">
        <f t="shared" ca="1" si="1"/>
        <v>0</v>
      </c>
      <c r="AH12" s="372">
        <f t="shared" ca="1" si="1"/>
        <v>0</v>
      </c>
      <c r="AI12" s="372">
        <f t="shared" ca="1" si="1"/>
        <v>0</v>
      </c>
      <c r="AJ12" s="372">
        <f t="shared" ca="1" si="1"/>
        <v>0</v>
      </c>
      <c r="AK12" s="373">
        <f t="shared" ca="1" si="1"/>
        <v>0</v>
      </c>
    </row>
    <row r="13" spans="1:37">
      <c r="B13" s="146" t="str">
        <f>Processes!D495</f>
        <v>FT-INDLPG</v>
      </c>
      <c r="C13" s="146" t="str">
        <f>Processes!E495</f>
        <v>FT-INDIND</v>
      </c>
      <c r="D13" s="146" t="str">
        <f t="shared" si="2"/>
        <v>LPG</v>
      </c>
      <c r="E13" s="146" t="str">
        <f>Commodities!D104</f>
        <v>INDLPG</v>
      </c>
      <c r="F13" s="194">
        <v>1</v>
      </c>
      <c r="G13" s="173">
        <v>50</v>
      </c>
      <c r="H13" s="268">
        <f ca="1">SUM(L13:X13)</f>
        <v>0</v>
      </c>
      <c r="I13" s="384">
        <f ca="1">SUM(Y13:AK13)</f>
        <v>0</v>
      </c>
      <c r="K13" s="192" t="str">
        <f>IronSteel!AL33</f>
        <v>LPG</v>
      </c>
      <c r="L13" s="371">
        <f t="shared" ca="1" si="0"/>
        <v>0</v>
      </c>
      <c r="M13" s="372">
        <f t="shared" ca="1" si="0"/>
        <v>0</v>
      </c>
      <c r="N13" s="372">
        <f t="shared" ca="1" si="0"/>
        <v>0</v>
      </c>
      <c r="O13" s="372">
        <f t="shared" ca="1" si="0"/>
        <v>0</v>
      </c>
      <c r="P13" s="372">
        <f t="shared" ca="1" si="0"/>
        <v>0</v>
      </c>
      <c r="Q13" s="372">
        <f t="shared" ca="1" si="0"/>
        <v>0</v>
      </c>
      <c r="R13" s="372">
        <f t="shared" ca="1" si="0"/>
        <v>0</v>
      </c>
      <c r="S13" s="372">
        <f t="shared" ca="1" si="0"/>
        <v>0</v>
      </c>
      <c r="T13" s="372">
        <f t="shared" ca="1" si="0"/>
        <v>0</v>
      </c>
      <c r="U13" s="372">
        <f t="shared" ca="1" si="0"/>
        <v>0</v>
      </c>
      <c r="V13" s="372">
        <f t="shared" ca="1" si="0"/>
        <v>0</v>
      </c>
      <c r="W13" s="372">
        <f t="shared" ca="1" si="0"/>
        <v>0</v>
      </c>
      <c r="X13" s="372">
        <f t="shared" ca="1" si="0"/>
        <v>0</v>
      </c>
      <c r="Y13" s="371">
        <f t="shared" ca="1" si="1"/>
        <v>0</v>
      </c>
      <c r="Z13" s="372">
        <f t="shared" ca="1" si="1"/>
        <v>0</v>
      </c>
      <c r="AA13" s="372">
        <f t="shared" ca="1" si="1"/>
        <v>0</v>
      </c>
      <c r="AB13" s="372">
        <f t="shared" ca="1" si="1"/>
        <v>0</v>
      </c>
      <c r="AC13" s="372">
        <f t="shared" ca="1" si="1"/>
        <v>0</v>
      </c>
      <c r="AD13" s="372">
        <f t="shared" ca="1" si="1"/>
        <v>0</v>
      </c>
      <c r="AE13" s="372">
        <f t="shared" ca="1" si="1"/>
        <v>0</v>
      </c>
      <c r="AF13" s="372">
        <f t="shared" ca="1" si="1"/>
        <v>0</v>
      </c>
      <c r="AG13" s="372">
        <f t="shared" ca="1" si="1"/>
        <v>0</v>
      </c>
      <c r="AH13" s="372">
        <f t="shared" ca="1" si="1"/>
        <v>0</v>
      </c>
      <c r="AI13" s="372">
        <f t="shared" ca="1" si="1"/>
        <v>0</v>
      </c>
      <c r="AJ13" s="372">
        <f t="shared" ca="1" si="1"/>
        <v>0</v>
      </c>
      <c r="AK13" s="373">
        <f t="shared" ca="1" si="1"/>
        <v>0</v>
      </c>
    </row>
    <row r="14" spans="1:37">
      <c r="B14" s="146" t="str">
        <f>Processes!D496</f>
        <v>FT-INDWST</v>
      </c>
      <c r="C14" s="146" t="str">
        <f>Processes!E496</f>
        <v>FT-INDIND</v>
      </c>
      <c r="D14" s="146" t="str">
        <f t="shared" si="2"/>
        <v>WST</v>
      </c>
      <c r="E14" s="146" t="str">
        <f>Commodities!D105</f>
        <v>INDWST</v>
      </c>
      <c r="F14" s="194">
        <v>1</v>
      </c>
      <c r="G14" s="173">
        <v>50</v>
      </c>
      <c r="H14" s="268">
        <f ca="1">SUM(L14:X14)</f>
        <v>0</v>
      </c>
      <c r="I14" s="384">
        <f ca="1">SUM(Y14:AK14)</f>
        <v>0</v>
      </c>
      <c r="K14" s="192" t="str">
        <f>IronSteel!AL34</f>
        <v>WST</v>
      </c>
      <c r="L14" s="371">
        <f t="shared" ca="1" si="0"/>
        <v>0</v>
      </c>
      <c r="M14" s="372">
        <f t="shared" ca="1" si="0"/>
        <v>0</v>
      </c>
      <c r="N14" s="372">
        <f t="shared" ca="1" si="0"/>
        <v>0</v>
      </c>
      <c r="O14" s="372">
        <f t="shared" ca="1" si="0"/>
        <v>0</v>
      </c>
      <c r="P14" s="372">
        <f t="shared" ca="1" si="0"/>
        <v>0</v>
      </c>
      <c r="Q14" s="372">
        <f t="shared" ca="1" si="0"/>
        <v>0</v>
      </c>
      <c r="R14" s="372">
        <f t="shared" ca="1" si="0"/>
        <v>0</v>
      </c>
      <c r="S14" s="372">
        <f t="shared" ca="1" si="0"/>
        <v>0</v>
      </c>
      <c r="T14" s="372">
        <f t="shared" ca="1" si="0"/>
        <v>0</v>
      </c>
      <c r="U14" s="372">
        <f t="shared" ca="1" si="0"/>
        <v>0</v>
      </c>
      <c r="V14" s="372">
        <f t="shared" ca="1" si="0"/>
        <v>0</v>
      </c>
      <c r="W14" s="372">
        <f t="shared" ca="1" si="0"/>
        <v>0</v>
      </c>
      <c r="X14" s="372">
        <f t="shared" ca="1" si="0"/>
        <v>0</v>
      </c>
      <c r="Y14" s="371">
        <f t="shared" ca="1" si="1"/>
        <v>0</v>
      </c>
      <c r="Z14" s="372">
        <f t="shared" ca="1" si="1"/>
        <v>0</v>
      </c>
      <c r="AA14" s="372">
        <f t="shared" ca="1" si="1"/>
        <v>0</v>
      </c>
      <c r="AB14" s="372">
        <f t="shared" ca="1" si="1"/>
        <v>0</v>
      </c>
      <c r="AC14" s="372">
        <f t="shared" ca="1" si="1"/>
        <v>0</v>
      </c>
      <c r="AD14" s="372">
        <f t="shared" ca="1" si="1"/>
        <v>0</v>
      </c>
      <c r="AE14" s="372">
        <f t="shared" ca="1" si="1"/>
        <v>0</v>
      </c>
      <c r="AF14" s="372">
        <f t="shared" ca="1" si="1"/>
        <v>0</v>
      </c>
      <c r="AG14" s="372">
        <f t="shared" ca="1" si="1"/>
        <v>0</v>
      </c>
      <c r="AH14" s="372">
        <f t="shared" ca="1" si="1"/>
        <v>0</v>
      </c>
      <c r="AI14" s="372">
        <f t="shared" ca="1" si="1"/>
        <v>0</v>
      </c>
      <c r="AJ14" s="372">
        <f t="shared" ca="1" si="1"/>
        <v>0</v>
      </c>
      <c r="AK14" s="373">
        <f t="shared" ca="1" si="1"/>
        <v>0</v>
      </c>
    </row>
    <row r="15" spans="1:37">
      <c r="B15" s="146" t="str">
        <f>Processes!D497</f>
        <v>FT-INDHCE</v>
      </c>
      <c r="C15" s="146" t="str">
        <f>Processes!E497</f>
        <v>FT-INDIND</v>
      </c>
      <c r="D15" s="146" t="s">
        <v>295</v>
      </c>
      <c r="E15" s="146" t="str">
        <f>Commodities!D106</f>
        <v>INDHCE</v>
      </c>
      <c r="F15" s="194">
        <v>1</v>
      </c>
      <c r="G15" s="173">
        <v>50</v>
      </c>
      <c r="H15" s="268">
        <f ca="1">SUM(L15:X15)*0.4</f>
        <v>0</v>
      </c>
      <c r="I15" s="384">
        <f ca="1">SUM(Y15:AK15)*0.4</f>
        <v>0</v>
      </c>
      <c r="K15" s="192" t="str">
        <f>IronSteel!AL35</f>
        <v>HCE</v>
      </c>
      <c r="L15" s="371">
        <f t="shared" ca="1" si="0"/>
        <v>0</v>
      </c>
      <c r="M15" s="372">
        <f t="shared" ca="1" si="0"/>
        <v>0</v>
      </c>
      <c r="N15" s="372">
        <f t="shared" ca="1" si="0"/>
        <v>0</v>
      </c>
      <c r="O15" s="372">
        <f t="shared" ca="1" si="0"/>
        <v>0</v>
      </c>
      <c r="P15" s="372">
        <f t="shared" ca="1" si="0"/>
        <v>0</v>
      </c>
      <c r="Q15" s="372">
        <f t="shared" ca="1" si="0"/>
        <v>0</v>
      </c>
      <c r="R15" s="372">
        <f t="shared" ca="1" si="0"/>
        <v>0</v>
      </c>
      <c r="S15" s="372">
        <f t="shared" ca="1" si="0"/>
        <v>0</v>
      </c>
      <c r="T15" s="372">
        <f t="shared" ca="1" si="0"/>
        <v>0</v>
      </c>
      <c r="U15" s="372">
        <f t="shared" ca="1" si="0"/>
        <v>0</v>
      </c>
      <c r="V15" s="372">
        <f t="shared" ca="1" si="0"/>
        <v>0</v>
      </c>
      <c r="W15" s="372">
        <f t="shared" ca="1" si="0"/>
        <v>0</v>
      </c>
      <c r="X15" s="372">
        <f t="shared" ca="1" si="0"/>
        <v>0</v>
      </c>
      <c r="Y15" s="371">
        <f t="shared" ca="1" si="1"/>
        <v>0</v>
      </c>
      <c r="Z15" s="372">
        <f t="shared" ca="1" si="1"/>
        <v>0</v>
      </c>
      <c r="AA15" s="372">
        <f t="shared" ca="1" si="1"/>
        <v>0</v>
      </c>
      <c r="AB15" s="372">
        <f t="shared" ca="1" si="1"/>
        <v>0</v>
      </c>
      <c r="AC15" s="372">
        <f t="shared" ca="1" si="1"/>
        <v>0</v>
      </c>
      <c r="AD15" s="372">
        <f t="shared" ca="1" si="1"/>
        <v>0</v>
      </c>
      <c r="AE15" s="372">
        <f t="shared" ca="1" si="1"/>
        <v>0</v>
      </c>
      <c r="AF15" s="372">
        <f t="shared" ca="1" si="1"/>
        <v>0</v>
      </c>
      <c r="AG15" s="372">
        <f t="shared" ca="1" si="1"/>
        <v>0</v>
      </c>
      <c r="AH15" s="372">
        <f t="shared" ca="1" si="1"/>
        <v>0</v>
      </c>
      <c r="AI15" s="372">
        <f t="shared" ca="1" si="1"/>
        <v>0</v>
      </c>
      <c r="AJ15" s="372">
        <f t="shared" ca="1" si="1"/>
        <v>0</v>
      </c>
      <c r="AK15" s="373">
        <f t="shared" ca="1" si="1"/>
        <v>0</v>
      </c>
    </row>
    <row r="16" spans="1:37">
      <c r="A16" s="285"/>
      <c r="B16" s="146" t="str">
        <f>Processes!D498</f>
        <v>FT-INDHSE</v>
      </c>
      <c r="C16" s="146" t="str">
        <f>Processes!E498</f>
        <v>FT-INDIND</v>
      </c>
      <c r="D16" s="146" t="s">
        <v>584</v>
      </c>
      <c r="E16" s="146" t="str">
        <f>Commodities!D107</f>
        <v>INDHSE</v>
      </c>
      <c r="F16" s="194">
        <v>1</v>
      </c>
      <c r="G16" s="173">
        <v>50</v>
      </c>
      <c r="H16" s="384">
        <f ca="1">SUM(L16:X16)*0.4</f>
        <v>0</v>
      </c>
      <c r="I16" s="384">
        <f ca="1">SUM(Y16:AK16)*0.4</f>
        <v>0</v>
      </c>
      <c r="K16" s="192" t="str">
        <f>IronSteel!AL36</f>
        <v>HDE</v>
      </c>
      <c r="L16" s="371">
        <f t="shared" ca="1" si="0"/>
        <v>0</v>
      </c>
      <c r="M16" s="372">
        <f t="shared" ca="1" si="0"/>
        <v>0</v>
      </c>
      <c r="N16" s="372">
        <f t="shared" ca="1" si="0"/>
        <v>0</v>
      </c>
      <c r="O16" s="372">
        <f t="shared" ca="1" si="0"/>
        <v>0</v>
      </c>
      <c r="P16" s="372">
        <f t="shared" ca="1" si="0"/>
        <v>0</v>
      </c>
      <c r="Q16" s="372">
        <f t="shared" ca="1" si="0"/>
        <v>0</v>
      </c>
      <c r="R16" s="372">
        <f t="shared" ca="1" si="0"/>
        <v>0</v>
      </c>
      <c r="S16" s="372">
        <f t="shared" ca="1" si="0"/>
        <v>0</v>
      </c>
      <c r="T16" s="372">
        <f t="shared" ca="1" si="0"/>
        <v>0</v>
      </c>
      <c r="U16" s="372">
        <f t="shared" ca="1" si="0"/>
        <v>0</v>
      </c>
      <c r="V16" s="372">
        <f t="shared" ca="1" si="0"/>
        <v>0</v>
      </c>
      <c r="W16" s="372">
        <f t="shared" ca="1" si="0"/>
        <v>0</v>
      </c>
      <c r="X16" s="372">
        <f t="shared" ca="1" si="0"/>
        <v>0</v>
      </c>
      <c r="Y16" s="371">
        <f t="shared" ca="1" si="1"/>
        <v>0</v>
      </c>
      <c r="Z16" s="372">
        <f t="shared" ca="1" si="1"/>
        <v>0</v>
      </c>
      <c r="AA16" s="372">
        <f t="shared" ca="1" si="1"/>
        <v>0</v>
      </c>
      <c r="AB16" s="372">
        <f t="shared" ca="1" si="1"/>
        <v>0</v>
      </c>
      <c r="AC16" s="372">
        <f t="shared" ca="1" si="1"/>
        <v>0</v>
      </c>
      <c r="AD16" s="372">
        <f t="shared" ca="1" si="1"/>
        <v>0</v>
      </c>
      <c r="AE16" s="372">
        <f t="shared" ca="1" si="1"/>
        <v>0</v>
      </c>
      <c r="AF16" s="372">
        <f t="shared" ca="1" si="1"/>
        <v>0</v>
      </c>
      <c r="AG16" s="372">
        <f t="shared" ca="1" si="1"/>
        <v>0</v>
      </c>
      <c r="AH16" s="372">
        <f t="shared" ca="1" si="1"/>
        <v>0</v>
      </c>
      <c r="AI16" s="372">
        <f t="shared" ca="1" si="1"/>
        <v>0</v>
      </c>
      <c r="AJ16" s="372">
        <f t="shared" ca="1" si="1"/>
        <v>0</v>
      </c>
      <c r="AK16" s="373">
        <f t="shared" ca="1" si="1"/>
        <v>0</v>
      </c>
    </row>
    <row r="17" spans="1:37" s="46" customFormat="1">
      <c r="A17" s="25"/>
      <c r="B17" s="173" t="str">
        <f>Processes!D499</f>
        <v>FT-INDHDE</v>
      </c>
      <c r="C17" s="173" t="str">
        <f>Processes!E499</f>
        <v>FT-INDIND</v>
      </c>
      <c r="D17" s="146" t="s">
        <v>296</v>
      </c>
      <c r="E17" s="173" t="str">
        <f>Commodities!D108</f>
        <v>INDHDE</v>
      </c>
      <c r="F17" s="615">
        <v>1</v>
      </c>
      <c r="G17" s="173">
        <v>50</v>
      </c>
      <c r="H17" s="268">
        <f ca="1">SUM(L15:X15)*0.6</f>
        <v>0</v>
      </c>
      <c r="I17" s="384">
        <f ca="1">SUM(Y15:AK15)*0.6</f>
        <v>0</v>
      </c>
      <c r="J17" s="25"/>
      <c r="K17" s="193" t="str">
        <f>IronSteel!AL37</f>
        <v>ELC</v>
      </c>
      <c r="L17" s="374">
        <f t="shared" ca="1" si="0"/>
        <v>0</v>
      </c>
      <c r="M17" s="375">
        <f t="shared" ca="1" si="0"/>
        <v>0</v>
      </c>
      <c r="N17" s="375">
        <f t="shared" ca="1" si="0"/>
        <v>0</v>
      </c>
      <c r="O17" s="375">
        <f t="shared" ca="1" si="0"/>
        <v>0</v>
      </c>
      <c r="P17" s="375">
        <f t="shared" ca="1" si="0"/>
        <v>0</v>
      </c>
      <c r="Q17" s="375">
        <f t="shared" ca="1" si="0"/>
        <v>0</v>
      </c>
      <c r="R17" s="375">
        <f t="shared" ca="1" si="0"/>
        <v>0</v>
      </c>
      <c r="S17" s="375">
        <f t="shared" ca="1" si="0"/>
        <v>0</v>
      </c>
      <c r="T17" s="375">
        <f t="shared" ca="1" si="0"/>
        <v>0</v>
      </c>
      <c r="U17" s="375">
        <f t="shared" ca="1" si="0"/>
        <v>0</v>
      </c>
      <c r="V17" s="375">
        <f t="shared" ca="1" si="0"/>
        <v>0</v>
      </c>
      <c r="W17" s="375">
        <f t="shared" ca="1" si="0"/>
        <v>0</v>
      </c>
      <c r="X17" s="375">
        <f t="shared" ca="1" si="0"/>
        <v>0</v>
      </c>
      <c r="Y17" s="374">
        <f t="shared" ca="1" si="1"/>
        <v>0</v>
      </c>
      <c r="Z17" s="375">
        <f t="shared" ca="1" si="1"/>
        <v>0</v>
      </c>
      <c r="AA17" s="375">
        <f t="shared" ca="1" si="1"/>
        <v>0</v>
      </c>
      <c r="AB17" s="375">
        <f t="shared" ca="1" si="1"/>
        <v>0</v>
      </c>
      <c r="AC17" s="375">
        <f t="shared" ca="1" si="1"/>
        <v>0</v>
      </c>
      <c r="AD17" s="375">
        <f t="shared" ca="1" si="1"/>
        <v>0</v>
      </c>
      <c r="AE17" s="375">
        <f t="shared" ca="1" si="1"/>
        <v>0</v>
      </c>
      <c r="AF17" s="375">
        <f t="shared" ca="1" si="1"/>
        <v>0</v>
      </c>
      <c r="AG17" s="375">
        <f t="shared" ca="1" si="1"/>
        <v>0</v>
      </c>
      <c r="AH17" s="375">
        <f t="shared" ca="1" si="1"/>
        <v>0</v>
      </c>
      <c r="AI17" s="375">
        <f t="shared" ca="1" si="1"/>
        <v>0</v>
      </c>
      <c r="AJ17" s="375">
        <f t="shared" ca="1" si="1"/>
        <v>0</v>
      </c>
      <c r="AK17" s="376">
        <f t="shared" ca="1" si="1"/>
        <v>0</v>
      </c>
    </row>
    <row r="18" spans="1:37">
      <c r="B18" s="146" t="str">
        <f>Processes!D500</f>
        <v>FT-INDELC</v>
      </c>
      <c r="C18" s="146" t="str">
        <f>Processes!E500</f>
        <v>FT-INDIND</v>
      </c>
      <c r="D18" s="146" t="s">
        <v>577</v>
      </c>
      <c r="E18" s="146" t="str">
        <f>Commodities!D109</f>
        <v>INDELC</v>
      </c>
      <c r="F18" s="194">
        <v>1</v>
      </c>
      <c r="G18" s="173">
        <v>50</v>
      </c>
      <c r="H18" s="375">
        <f ca="1">SUM(L17:X17)</f>
        <v>0</v>
      </c>
      <c r="I18" s="375">
        <f ca="1">SUM(Y17:AK17)</f>
        <v>0</v>
      </c>
      <c r="K18" s="34"/>
      <c r="L18" s="184"/>
      <c r="V18" s="184"/>
    </row>
    <row r="19" spans="1:37">
      <c r="B19" s="173" t="str">
        <f>Processes!D501</f>
        <v>FT-INDSOL</v>
      </c>
      <c r="C19" s="173" t="str">
        <f>Processes!E501</f>
        <v>FT-INDIND</v>
      </c>
      <c r="D19" s="146" t="str">
        <f t="shared" si="2"/>
        <v>SOL</v>
      </c>
      <c r="E19" s="173" t="str">
        <f>Commodities!D110</f>
        <v>INDSOL</v>
      </c>
      <c r="F19" s="194">
        <v>1</v>
      </c>
      <c r="G19" s="173">
        <v>50</v>
      </c>
      <c r="H19" s="268"/>
      <c r="I19" s="268"/>
    </row>
    <row r="20" spans="1:37">
      <c r="B20" s="173" t="str">
        <f>Processes!D502</f>
        <v>FT-INDDSB1</v>
      </c>
      <c r="C20" s="173" t="str">
        <f>Processes!E502</f>
        <v>FT-INDIND</v>
      </c>
      <c r="D20" s="146" t="str">
        <f t="shared" si="2"/>
        <v>DSB1</v>
      </c>
      <c r="E20" s="173" t="str">
        <f>Commodities!D111</f>
        <v>INDDSB1</v>
      </c>
      <c r="F20" s="194">
        <v>1</v>
      </c>
      <c r="G20" s="173">
        <v>50</v>
      </c>
      <c r="H20" s="268"/>
      <c r="I20" s="268"/>
    </row>
    <row r="21" spans="1:37">
      <c r="B21" s="173" t="str">
        <f>Processes!D503</f>
        <v>FT-INDDSB2</v>
      </c>
      <c r="C21" s="173" t="str">
        <f>Processes!E503</f>
        <v>FT-INDIND</v>
      </c>
      <c r="D21" s="146" t="str">
        <f t="shared" si="2"/>
        <v>DSB2</v>
      </c>
      <c r="E21" s="173" t="str">
        <f>Commodities!D112</f>
        <v>INDDSB2</v>
      </c>
      <c r="F21" s="194">
        <v>1</v>
      </c>
      <c r="G21" s="173">
        <v>50</v>
      </c>
      <c r="H21" s="268"/>
      <c r="I21" s="268"/>
      <c r="L21" s="25">
        <f ca="1">+SUMIFS(INDIRECT(L$5&amp;"!AF$31:AF$65"),INDIRECT(L$5&amp;"!$AD$31:$AD$65"),   $K9)</f>
        <v>0</v>
      </c>
    </row>
    <row r="22" spans="1:37">
      <c r="B22" s="173" t="str">
        <f>Processes!D504</f>
        <v>FT-INDSNG1</v>
      </c>
      <c r="C22" s="173" t="str">
        <f>Processes!E504</f>
        <v>FT-INDIND</v>
      </c>
      <c r="D22" s="146" t="str">
        <f t="shared" si="2"/>
        <v>SNG1</v>
      </c>
      <c r="E22" s="173" t="str">
        <f>Commodities!D113</f>
        <v>INDSNG1</v>
      </c>
      <c r="F22" s="194">
        <v>1</v>
      </c>
      <c r="G22" s="173">
        <v>50</v>
      </c>
      <c r="H22" s="268"/>
      <c r="I22" s="268"/>
      <c r="X22" s="236"/>
      <c r="Y22" s="236"/>
      <c r="Z22" s="236"/>
      <c r="AA22" s="236"/>
      <c r="AB22" s="236"/>
      <c r="AC22" s="236"/>
      <c r="AD22" s="236"/>
      <c r="AE22" s="236"/>
      <c r="AF22" s="236"/>
      <c r="AG22" s="236"/>
      <c r="AH22" s="236"/>
      <c r="AI22" s="236"/>
    </row>
    <row r="23" spans="1:37">
      <c r="B23" s="173" t="str">
        <f>Processes!D505</f>
        <v>FT-INDSNG2</v>
      </c>
      <c r="C23" s="173" t="str">
        <f>Processes!E505</f>
        <v>FT-INDIND</v>
      </c>
      <c r="D23" s="146" t="str">
        <f t="shared" si="2"/>
        <v>SNG2</v>
      </c>
      <c r="E23" s="173" t="str">
        <f>Commodities!D114</f>
        <v>INDSNG2</v>
      </c>
      <c r="F23" s="194">
        <v>1</v>
      </c>
      <c r="G23" s="173">
        <v>50</v>
      </c>
      <c r="H23" s="268"/>
      <c r="I23" s="268"/>
      <c r="N23" s="25"/>
      <c r="X23" s="236"/>
      <c r="Y23" s="236"/>
      <c r="Z23" s="236"/>
      <c r="AA23" s="236"/>
      <c r="AB23" s="236"/>
      <c r="AC23" s="236"/>
      <c r="AD23" s="236"/>
      <c r="AE23" s="236"/>
      <c r="AF23" s="236"/>
      <c r="AG23" s="236"/>
      <c r="AH23" s="236"/>
      <c r="AI23" s="236"/>
    </row>
    <row r="24" spans="1:37">
      <c r="B24" s="173" t="str">
        <f>Processes!D506</f>
        <v>FT-INDGSL</v>
      </c>
      <c r="C24" s="173" t="str">
        <f>Processes!E506</f>
        <v>FT-INDIND</v>
      </c>
      <c r="D24" s="146" t="str">
        <f>VLOOKUP(MID(B24,7,99),$K$25:$L$44,2,FALSE)</f>
        <v>GSL</v>
      </c>
      <c r="E24" s="173" t="str">
        <f>Commodities!D115</f>
        <v>INDGSL</v>
      </c>
      <c r="F24" s="194">
        <v>1</v>
      </c>
      <c r="G24" s="173">
        <v>50</v>
      </c>
      <c r="H24" s="237"/>
      <c r="I24" s="237"/>
      <c r="K24" s="99" t="s">
        <v>2</v>
      </c>
      <c r="L24" s="99" t="s">
        <v>14</v>
      </c>
      <c r="X24" s="236"/>
      <c r="Y24" s="236"/>
      <c r="Z24" s="236"/>
      <c r="AA24" s="236"/>
      <c r="AB24" s="236"/>
      <c r="AC24" s="236"/>
      <c r="AD24" s="236"/>
      <c r="AE24" s="236"/>
      <c r="AF24" s="236"/>
      <c r="AG24" s="236"/>
      <c r="AH24" s="236"/>
      <c r="AI24" s="236"/>
    </row>
    <row r="25" spans="1:37">
      <c r="B25" s="173" t="str">
        <f>Processes!D507</f>
        <v>FT-INDGSB1</v>
      </c>
      <c r="C25" s="173" t="str">
        <f>Processes!E507</f>
        <v>FT-INDIND</v>
      </c>
      <c r="D25" s="146" t="str">
        <f t="shared" si="2"/>
        <v>GSB1</v>
      </c>
      <c r="E25" s="173" t="str">
        <f>Commodities!D116</f>
        <v>INDGSB1</v>
      </c>
      <c r="F25" s="194">
        <v>1</v>
      </c>
      <c r="G25" s="173">
        <v>50</v>
      </c>
      <c r="H25" s="237"/>
      <c r="I25" s="237"/>
      <c r="K25" s="101" t="s">
        <v>97</v>
      </c>
      <c r="L25" s="101" t="str">
        <f>+K25</f>
        <v>NGA</v>
      </c>
      <c r="X25" s="236"/>
      <c r="Y25" s="236"/>
      <c r="Z25" s="236"/>
      <c r="AA25" s="236"/>
      <c r="AB25" s="236"/>
      <c r="AC25" s="236"/>
      <c r="AD25" s="236"/>
      <c r="AE25" s="236"/>
      <c r="AF25" s="236"/>
      <c r="AG25" s="236"/>
      <c r="AH25" s="236"/>
      <c r="AI25" s="236"/>
    </row>
    <row r="26" spans="1:37">
      <c r="B26" s="148" t="str">
        <f>Processes!D508</f>
        <v>FT-INDGSB2</v>
      </c>
      <c r="C26" s="148" t="str">
        <f>Processes!E508</f>
        <v>FT-INDIND</v>
      </c>
      <c r="D26" s="148" t="str">
        <f t="shared" si="2"/>
        <v>GSB2</v>
      </c>
      <c r="E26" s="148" t="str">
        <f>Commodities!D117</f>
        <v>INDGSB2</v>
      </c>
      <c r="F26" s="229">
        <v>1</v>
      </c>
      <c r="G26" s="148">
        <v>50</v>
      </c>
      <c r="H26" s="237"/>
      <c r="I26" s="237"/>
      <c r="K26" s="101" t="s">
        <v>98</v>
      </c>
      <c r="L26" s="101" t="str">
        <f t="shared" ref="L26:L33" si="3">+K26</f>
        <v>COA</v>
      </c>
      <c r="X26" s="236"/>
      <c r="Y26" s="236"/>
      <c r="Z26" s="236"/>
      <c r="AA26" s="236"/>
      <c r="AB26" s="236"/>
      <c r="AC26" s="236"/>
      <c r="AD26" s="236"/>
      <c r="AE26" s="236"/>
      <c r="AF26" s="236"/>
      <c r="AG26" s="236"/>
      <c r="AH26" s="236"/>
      <c r="AI26" s="236"/>
    </row>
    <row r="27" spans="1:37">
      <c r="B27" s="148" t="str">
        <f>Processes!D509</f>
        <v>FT-INDH2</v>
      </c>
      <c r="C27" s="148" t="str">
        <f>Processes!E509</f>
        <v>FT-INDIND</v>
      </c>
      <c r="D27" s="25" t="s">
        <v>415</v>
      </c>
      <c r="E27" s="148" t="str">
        <f>Commodities!D118</f>
        <v>INDH2</v>
      </c>
      <c r="F27" s="25">
        <f>F26</f>
        <v>1</v>
      </c>
      <c r="G27" s="285">
        <f>G26</f>
        <v>50</v>
      </c>
      <c r="K27" s="101" t="s">
        <v>59</v>
      </c>
      <c r="L27" s="101" t="str">
        <f t="shared" si="3"/>
        <v>DSL</v>
      </c>
      <c r="X27" s="236"/>
      <c r="Y27" s="236"/>
      <c r="Z27" s="236"/>
      <c r="AA27" s="236"/>
      <c r="AB27" s="236"/>
      <c r="AC27" s="236"/>
      <c r="AD27" s="236"/>
      <c r="AE27" s="236"/>
      <c r="AF27" s="236"/>
      <c r="AG27" s="236"/>
      <c r="AH27" s="236"/>
      <c r="AI27" s="236"/>
    </row>
    <row r="28" spans="1:37">
      <c r="B28" s="148" t="str">
        <f>Processes!D510</f>
        <v>FT-INDBLQ</v>
      </c>
      <c r="C28" s="148" t="str">
        <f>Processes!E510</f>
        <v>FT-INDIND</v>
      </c>
      <c r="D28" s="285" t="s">
        <v>576</v>
      </c>
      <c r="E28" s="148" t="str">
        <f>Commodities!D119</f>
        <v>INDBLQ</v>
      </c>
      <c r="F28" s="285">
        <f t="shared" ref="F28:F29" si="4">F27</f>
        <v>1</v>
      </c>
      <c r="G28" s="285">
        <f t="shared" ref="G28:G29" si="5">G27</f>
        <v>50</v>
      </c>
      <c r="K28" s="101" t="s">
        <v>99</v>
      </c>
      <c r="L28" s="101" t="str">
        <f t="shared" si="3"/>
        <v>WPE</v>
      </c>
      <c r="X28" s="236"/>
      <c r="Y28" s="236"/>
      <c r="Z28" s="236"/>
      <c r="AA28" s="236"/>
      <c r="AB28" s="236"/>
      <c r="AC28" s="236"/>
      <c r="AD28" s="236"/>
      <c r="AE28" s="236"/>
      <c r="AF28" s="236"/>
      <c r="AG28" s="236"/>
      <c r="AH28" s="236"/>
      <c r="AI28" s="236"/>
    </row>
    <row r="29" spans="1:37">
      <c r="B29" s="148" t="str">
        <f>Processes!D511</f>
        <v>FT-INDSYN</v>
      </c>
      <c r="C29" s="148" t="str">
        <f>Processes!E511</f>
        <v>FT-INDIND</v>
      </c>
      <c r="D29" s="285" t="s">
        <v>574</v>
      </c>
      <c r="E29" s="148" t="str">
        <f>Commodities!D120</f>
        <v>INDSYN</v>
      </c>
      <c r="F29" s="285">
        <f t="shared" si="4"/>
        <v>1</v>
      </c>
      <c r="G29" s="285">
        <f t="shared" si="5"/>
        <v>50</v>
      </c>
      <c r="H29" s="396"/>
      <c r="K29" s="101" t="s">
        <v>107</v>
      </c>
      <c r="L29" s="101" t="str">
        <f t="shared" si="3"/>
        <v>WCH</v>
      </c>
      <c r="X29" s="236"/>
      <c r="Y29" s="236"/>
      <c r="Z29" s="236"/>
      <c r="AA29" s="236"/>
      <c r="AB29" s="236"/>
      <c r="AC29" s="236"/>
      <c r="AD29" s="236"/>
      <c r="AE29" s="236"/>
      <c r="AF29" s="236"/>
      <c r="AG29" s="236"/>
      <c r="AH29" s="236"/>
      <c r="AI29" s="236"/>
    </row>
    <row r="30" spans="1:37">
      <c r="H30" s="396"/>
      <c r="K30" s="101" t="s">
        <v>100</v>
      </c>
      <c r="L30" s="101" t="str">
        <f t="shared" si="3"/>
        <v>BGA</v>
      </c>
      <c r="X30" s="236"/>
      <c r="Y30" s="236"/>
      <c r="Z30" s="236"/>
      <c r="AA30" s="236"/>
      <c r="AB30" s="236"/>
      <c r="AC30" s="236"/>
      <c r="AD30" s="236"/>
      <c r="AE30" s="236"/>
      <c r="AF30" s="236"/>
      <c r="AG30" s="236"/>
      <c r="AH30" s="236"/>
      <c r="AI30" s="236"/>
    </row>
    <row r="31" spans="1:37">
      <c r="C31" s="183"/>
      <c r="D31" s="183"/>
      <c r="E31" s="183"/>
      <c r="H31" s="396"/>
      <c r="K31" s="101" t="s">
        <v>101</v>
      </c>
      <c r="L31" s="101" t="str">
        <f t="shared" si="3"/>
        <v>HFO</v>
      </c>
      <c r="X31" s="236"/>
      <c r="Y31" s="236"/>
      <c r="Z31" s="236"/>
      <c r="AA31" s="236"/>
      <c r="AB31" s="236"/>
      <c r="AC31" s="236"/>
      <c r="AD31" s="236"/>
      <c r="AE31" s="236"/>
      <c r="AF31" s="236"/>
      <c r="AG31" s="236"/>
      <c r="AH31" s="236"/>
      <c r="AI31" s="236"/>
    </row>
    <row r="32" spans="1:37">
      <c r="H32" s="396"/>
      <c r="K32" s="101" t="s">
        <v>53</v>
      </c>
      <c r="L32" s="101" t="str">
        <f t="shared" si="3"/>
        <v>LPG</v>
      </c>
    </row>
    <row r="33" spans="3:16">
      <c r="C33" s="182"/>
      <c r="D33" s="182"/>
      <c r="E33" s="182"/>
      <c r="H33" s="396"/>
      <c r="K33" s="101" t="s">
        <v>102</v>
      </c>
      <c r="L33" s="101" t="str">
        <f t="shared" si="3"/>
        <v>WST</v>
      </c>
    </row>
    <row r="34" spans="3:16">
      <c r="H34" s="396"/>
      <c r="K34" s="101" t="s">
        <v>103</v>
      </c>
      <c r="L34" s="206" t="s">
        <v>47</v>
      </c>
      <c r="N34" s="34" t="s">
        <v>295</v>
      </c>
      <c r="O34" s="206" t="s">
        <v>47</v>
      </c>
      <c r="P34" s="206" t="s">
        <v>295</v>
      </c>
    </row>
    <row r="35" spans="3:16">
      <c r="H35" s="396"/>
      <c r="K35" s="101" t="s">
        <v>104</v>
      </c>
      <c r="L35" s="206" t="s">
        <v>48</v>
      </c>
      <c r="O35" s="206" t="s">
        <v>48</v>
      </c>
      <c r="P35" s="206" t="s">
        <v>296</v>
      </c>
    </row>
    <row r="36" spans="3:16">
      <c r="H36" s="396"/>
      <c r="K36" s="101" t="s">
        <v>61</v>
      </c>
      <c r="L36" s="206" t="s">
        <v>114</v>
      </c>
    </row>
    <row r="37" spans="3:16">
      <c r="H37" s="396"/>
      <c r="K37" s="101" t="s">
        <v>210</v>
      </c>
      <c r="L37" s="101" t="str">
        <f t="shared" ref="L37:L44" si="6">+K37</f>
        <v>SOL</v>
      </c>
    </row>
    <row r="38" spans="3:16">
      <c r="H38" s="396"/>
      <c r="K38" s="101" t="s">
        <v>211</v>
      </c>
      <c r="L38" s="101" t="str">
        <f t="shared" si="6"/>
        <v>DSB1</v>
      </c>
    </row>
    <row r="39" spans="3:16">
      <c r="H39" s="396"/>
      <c r="K39" s="101" t="s">
        <v>212</v>
      </c>
      <c r="L39" s="101" t="str">
        <f t="shared" si="6"/>
        <v>DSB2</v>
      </c>
    </row>
    <row r="40" spans="3:16">
      <c r="H40" s="396"/>
      <c r="K40" s="101" t="s">
        <v>213</v>
      </c>
      <c r="L40" s="101" t="str">
        <f t="shared" si="6"/>
        <v>SNG1</v>
      </c>
    </row>
    <row r="41" spans="3:16">
      <c r="H41" s="285"/>
      <c r="K41" s="101" t="s">
        <v>214</v>
      </c>
      <c r="L41" s="101" t="str">
        <f t="shared" si="6"/>
        <v>SNG2</v>
      </c>
    </row>
    <row r="42" spans="3:16">
      <c r="H42" s="285"/>
      <c r="K42" s="101" t="s">
        <v>252</v>
      </c>
      <c r="L42" s="101" t="str">
        <f t="shared" si="6"/>
        <v>GSL</v>
      </c>
    </row>
    <row r="43" spans="3:16">
      <c r="K43" s="101" t="s">
        <v>232</v>
      </c>
      <c r="L43" s="101" t="str">
        <f t="shared" si="6"/>
        <v>GSB1</v>
      </c>
    </row>
    <row r="44" spans="3:16">
      <c r="K44" s="101" t="s">
        <v>233</v>
      </c>
      <c r="L44" s="101" t="str">
        <f t="shared" si="6"/>
        <v>GSB2</v>
      </c>
    </row>
    <row r="64" spans="17:22">
      <c r="Q64" s="347">
        <f>M156</f>
        <v>0</v>
      </c>
      <c r="R64" s="348">
        <f>Q64</f>
        <v>0</v>
      </c>
      <c r="S64" s="327">
        <f t="shared" ref="S64:S67" si="7">3.6*8760/1000000</f>
        <v>3.1536000000000002E-2</v>
      </c>
      <c r="T64" s="333">
        <f>$T$31</f>
        <v>0</v>
      </c>
      <c r="U64" s="336">
        <f>T64*(1+$V$28)</f>
        <v>0</v>
      </c>
      <c r="V64" s="332">
        <v>20</v>
      </c>
    </row>
    <row r="65" spans="17:22">
      <c r="Q65" s="345">
        <f>M157</f>
        <v>0</v>
      </c>
      <c r="R65" s="346">
        <f>Q65</f>
        <v>0</v>
      </c>
      <c r="S65" s="320">
        <f t="shared" si="7"/>
        <v>3.1536000000000002E-2</v>
      </c>
      <c r="T65" s="333">
        <f>$T$31</f>
        <v>0</v>
      </c>
      <c r="U65" s="334">
        <f>T65*(1+$V$28)</f>
        <v>0</v>
      </c>
      <c r="V65" s="330">
        <v>20</v>
      </c>
    </row>
    <row r="66" spans="17:22">
      <c r="Q66" s="347">
        <v>1</v>
      </c>
      <c r="R66" s="348">
        <f t="shared" ref="R66:R67" si="8">Q66</f>
        <v>1</v>
      </c>
      <c r="S66" s="327">
        <f t="shared" si="7"/>
        <v>3.1536000000000002E-2</v>
      </c>
      <c r="T66" s="336">
        <v>0.5</v>
      </c>
      <c r="U66" s="336">
        <f>T66*(1+$V$28)</f>
        <v>0.5</v>
      </c>
      <c r="V66" s="332">
        <v>20</v>
      </c>
    </row>
    <row r="67" spans="17:22">
      <c r="Q67" s="343">
        <v>1</v>
      </c>
      <c r="R67" s="344">
        <f t="shared" si="8"/>
        <v>1</v>
      </c>
      <c r="S67" s="326">
        <f t="shared" si="7"/>
        <v>3.1536000000000002E-2</v>
      </c>
      <c r="T67" s="335">
        <f>$T$66</f>
        <v>0.5</v>
      </c>
      <c r="U67" s="335">
        <f>T67*(1+$V$28)</f>
        <v>0.5</v>
      </c>
      <c r="V67" s="331">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6" thickBot="1">
      <c r="B8" s="30" t="s">
        <v>70</v>
      </c>
      <c r="C8" s="31"/>
      <c r="D8" s="31" t="s">
        <v>71</v>
      </c>
      <c r="E8" s="31" t="s">
        <v>71</v>
      </c>
      <c r="F8" s="31" t="s">
        <v>71</v>
      </c>
      <c r="G8" s="31" t="s">
        <v>71</v>
      </c>
      <c r="H8" s="31" t="s">
        <v>71</v>
      </c>
      <c r="I8" s="31" t="s">
        <v>71</v>
      </c>
    </row>
    <row r="10" spans="2:14">
      <c r="B10" s="285"/>
      <c r="C10" s="28" t="s">
        <v>323</v>
      </c>
      <c r="D10" s="285"/>
      <c r="E10" s="285"/>
      <c r="F10" s="285"/>
      <c r="G10" s="285"/>
      <c r="H10" s="285"/>
      <c r="I10" s="285"/>
    </row>
    <row r="11" spans="2:14" ht="15">
      <c r="B11" s="29" t="s">
        <v>2</v>
      </c>
      <c r="C11" s="389" t="s">
        <v>4</v>
      </c>
      <c r="D11" s="185" t="s">
        <v>72</v>
      </c>
      <c r="E11" s="185" t="s">
        <v>94</v>
      </c>
      <c r="F11" s="185" t="s">
        <v>73</v>
      </c>
      <c r="G11" s="185" t="s">
        <v>82</v>
      </c>
      <c r="H11" s="185" t="s">
        <v>83</v>
      </c>
      <c r="I11" s="185" t="s">
        <v>84</v>
      </c>
    </row>
    <row r="12" spans="2:14">
      <c r="B12" s="285" t="s">
        <v>336</v>
      </c>
      <c r="C12" s="285" t="str">
        <f>Commodities!D122</f>
        <v>ISDCO2</v>
      </c>
      <c r="D12" s="204">
        <v>56.97</v>
      </c>
      <c r="E12" s="205">
        <v>94.6</v>
      </c>
      <c r="F12" s="204">
        <v>74</v>
      </c>
      <c r="G12" s="205">
        <v>79.2</v>
      </c>
      <c r="H12" s="203">
        <v>63.1</v>
      </c>
      <c r="I12" s="205">
        <v>37</v>
      </c>
    </row>
    <row r="13" spans="2:14">
      <c r="B13" s="285" t="s">
        <v>337</v>
      </c>
      <c r="C13" s="285" t="str">
        <f>Commodities!D123</f>
        <v>ICDCO2</v>
      </c>
      <c r="D13" s="204">
        <v>56.97</v>
      </c>
      <c r="E13" s="205">
        <v>94.6</v>
      </c>
      <c r="F13" s="204">
        <v>74</v>
      </c>
      <c r="G13" s="205">
        <v>79.2</v>
      </c>
      <c r="H13" s="203">
        <v>63.1</v>
      </c>
      <c r="I13" s="205">
        <v>37</v>
      </c>
      <c r="L13" s="101" t="s">
        <v>190</v>
      </c>
      <c r="M13" s="104" t="s">
        <v>173</v>
      </c>
      <c r="N13" s="101"/>
    </row>
    <row r="14" spans="2:14">
      <c r="B14" s="285" t="s">
        <v>338</v>
      </c>
      <c r="C14" s="285" t="str">
        <f>Commodities!D124</f>
        <v>IADCO2</v>
      </c>
      <c r="D14" s="204">
        <v>56.97</v>
      </c>
      <c r="E14" s="205">
        <v>94.6</v>
      </c>
      <c r="F14" s="204">
        <v>74</v>
      </c>
      <c r="G14" s="205">
        <v>79.2</v>
      </c>
      <c r="H14" s="203">
        <v>63.1</v>
      </c>
      <c r="I14" s="205">
        <v>37</v>
      </c>
      <c r="L14" s="101" t="s">
        <v>326</v>
      </c>
      <c r="M14" s="104" t="s">
        <v>176</v>
      </c>
      <c r="N14" s="101"/>
    </row>
    <row r="15" spans="2:14">
      <c r="B15" s="285" t="s">
        <v>335</v>
      </c>
      <c r="C15" s="285" t="str">
        <f>Commodities!D125</f>
        <v>IGDCO2</v>
      </c>
      <c r="D15" s="204">
        <v>56.97</v>
      </c>
      <c r="E15" s="205">
        <v>94.6</v>
      </c>
      <c r="F15" s="204">
        <v>74</v>
      </c>
      <c r="G15" s="205">
        <v>79.2</v>
      </c>
      <c r="H15" s="203">
        <v>63.1</v>
      </c>
      <c r="I15" s="205">
        <v>37</v>
      </c>
      <c r="L15" s="101" t="s">
        <v>327</v>
      </c>
      <c r="M15" s="104" t="s">
        <v>177</v>
      </c>
      <c r="N15" s="101"/>
    </row>
    <row r="16" spans="2:14">
      <c r="B16" s="285" t="s">
        <v>406</v>
      </c>
      <c r="C16" s="285" t="str">
        <f>Commodities!D126</f>
        <v>ITDCO2</v>
      </c>
      <c r="D16" s="204">
        <v>56.97</v>
      </c>
      <c r="E16" s="205">
        <v>94.6</v>
      </c>
      <c r="F16" s="204">
        <v>74</v>
      </c>
      <c r="G16" s="205">
        <v>79.2</v>
      </c>
      <c r="H16" s="203">
        <v>63.1</v>
      </c>
      <c r="I16" s="205">
        <v>37</v>
      </c>
      <c r="L16" s="101" t="s">
        <v>328</v>
      </c>
      <c r="M16" s="104" t="s">
        <v>250</v>
      </c>
      <c r="N16" s="101"/>
    </row>
    <row r="17" spans="1:14">
      <c r="B17" s="285" t="s">
        <v>340</v>
      </c>
      <c r="C17" s="285" t="str">
        <f>Commodities!D127</f>
        <v>IMDCO2</v>
      </c>
      <c r="D17" s="204">
        <v>56.97</v>
      </c>
      <c r="E17" s="205">
        <v>94.6</v>
      </c>
      <c r="F17" s="204">
        <v>74</v>
      </c>
      <c r="G17" s="205">
        <v>79.2</v>
      </c>
      <c r="H17" s="203">
        <v>63.1</v>
      </c>
      <c r="I17" s="205">
        <v>37</v>
      </c>
      <c r="L17" s="101" t="s">
        <v>226</v>
      </c>
      <c r="M17" s="104" t="s">
        <v>178</v>
      </c>
      <c r="N17" s="101"/>
    </row>
    <row r="18" spans="1:14">
      <c r="B18" s="285" t="s">
        <v>407</v>
      </c>
      <c r="C18" s="285" t="str">
        <f>Commodities!D128</f>
        <v>IIDCO2</v>
      </c>
      <c r="D18" s="204">
        <v>56.97</v>
      </c>
      <c r="E18" s="205">
        <v>94.6</v>
      </c>
      <c r="F18" s="204">
        <v>74</v>
      </c>
      <c r="G18" s="205">
        <v>79.2</v>
      </c>
      <c r="H18" s="203">
        <v>63.1</v>
      </c>
      <c r="I18" s="205">
        <v>37</v>
      </c>
      <c r="L18" s="101" t="s">
        <v>329</v>
      </c>
      <c r="M18" s="104" t="s">
        <v>175</v>
      </c>
      <c r="N18" s="101"/>
    </row>
    <row r="19" spans="1:14">
      <c r="B19" s="285" t="s">
        <v>408</v>
      </c>
      <c r="C19" s="285" t="str">
        <f>Commodities!D129</f>
        <v>IFDCO2</v>
      </c>
      <c r="D19" s="204">
        <v>56.97</v>
      </c>
      <c r="E19" s="205">
        <v>94.6</v>
      </c>
      <c r="F19" s="204">
        <v>74</v>
      </c>
      <c r="G19" s="205">
        <v>79.2</v>
      </c>
      <c r="H19" s="203">
        <v>63.1</v>
      </c>
      <c r="I19" s="205">
        <v>37</v>
      </c>
      <c r="L19" s="101" t="s">
        <v>330</v>
      </c>
      <c r="M19" s="104" t="s">
        <v>174</v>
      </c>
      <c r="N19" s="101"/>
    </row>
    <row r="20" spans="1:14">
      <c r="B20" s="285" t="s">
        <v>339</v>
      </c>
      <c r="C20" s="285" t="str">
        <f>Commodities!D130</f>
        <v>IRDCO2</v>
      </c>
      <c r="D20" s="204">
        <v>56.97</v>
      </c>
      <c r="E20" s="205">
        <v>94.6</v>
      </c>
      <c r="F20" s="204">
        <v>74</v>
      </c>
      <c r="G20" s="205">
        <v>79.2</v>
      </c>
      <c r="H20" s="203">
        <v>63.1</v>
      </c>
      <c r="I20" s="205">
        <v>37</v>
      </c>
      <c r="L20" s="101" t="s">
        <v>191</v>
      </c>
      <c r="M20" s="102" t="s">
        <v>179</v>
      </c>
      <c r="N20" s="101"/>
    </row>
    <row r="21" spans="1:14">
      <c r="B21" s="285" t="s">
        <v>341</v>
      </c>
      <c r="C21" s="285" t="str">
        <f>Commodities!D131</f>
        <v>IWDCO2</v>
      </c>
      <c r="D21" s="204">
        <v>56.97</v>
      </c>
      <c r="E21" s="205">
        <v>94.6</v>
      </c>
      <c r="F21" s="204">
        <v>74</v>
      </c>
      <c r="G21" s="205">
        <v>79.2</v>
      </c>
      <c r="H21" s="203">
        <v>63.1</v>
      </c>
      <c r="I21" s="205">
        <v>37</v>
      </c>
      <c r="L21" s="101" t="s">
        <v>331</v>
      </c>
      <c r="M21" s="104" t="s">
        <v>180</v>
      </c>
      <c r="N21" s="101"/>
    </row>
    <row r="22" spans="1:14">
      <c r="B22" s="285" t="s">
        <v>409</v>
      </c>
      <c r="C22" s="285" t="str">
        <f>Commodities!D132</f>
        <v>ILDCO2</v>
      </c>
      <c r="D22" s="204">
        <v>56.97</v>
      </c>
      <c r="E22" s="205">
        <v>94.6</v>
      </c>
      <c r="F22" s="204">
        <v>74</v>
      </c>
      <c r="G22" s="205">
        <v>79.2</v>
      </c>
      <c r="H22" s="203">
        <v>63.1</v>
      </c>
      <c r="I22" s="205">
        <v>37</v>
      </c>
      <c r="L22" s="101" t="s">
        <v>332</v>
      </c>
      <c r="M22" s="104" t="s">
        <v>227</v>
      </c>
      <c r="N22" s="101"/>
    </row>
    <row r="23" spans="1:14">
      <c r="B23" s="285" t="s">
        <v>410</v>
      </c>
      <c r="C23" s="285" t="str">
        <f>Commodities!D133</f>
        <v>INDCO2</v>
      </c>
      <c r="D23" s="204">
        <v>56.97</v>
      </c>
      <c r="E23" s="205">
        <v>94.6</v>
      </c>
      <c r="F23" s="204">
        <v>74</v>
      </c>
      <c r="G23" s="205">
        <v>79.2</v>
      </c>
      <c r="H23" s="203">
        <v>63.1</v>
      </c>
      <c r="I23" s="205">
        <v>37</v>
      </c>
      <c r="L23" s="101" t="s">
        <v>333</v>
      </c>
      <c r="M23" s="104" t="s">
        <v>253</v>
      </c>
      <c r="N23" s="101"/>
    </row>
    <row r="24" spans="1:14">
      <c r="B24" s="285" t="s">
        <v>411</v>
      </c>
      <c r="C24" s="285" t="str">
        <f>Commodities!D134</f>
        <v>IODCO2</v>
      </c>
      <c r="D24" s="204">
        <v>56.97</v>
      </c>
      <c r="E24" s="205">
        <v>94.6</v>
      </c>
      <c r="F24" s="204">
        <v>74</v>
      </c>
      <c r="G24" s="205">
        <v>79.2</v>
      </c>
      <c r="H24" s="203">
        <v>63.1</v>
      </c>
      <c r="I24" s="205">
        <v>37</v>
      </c>
      <c r="L24" s="101" t="s">
        <v>334</v>
      </c>
      <c r="M24" s="104" t="s">
        <v>254</v>
      </c>
      <c r="N24" s="101"/>
    </row>
    <row r="28" spans="1:14">
      <c r="A28" s="429"/>
      <c r="B28" s="429"/>
      <c r="C28" s="429"/>
      <c r="D28" s="429"/>
      <c r="E28" s="429"/>
      <c r="F28" s="429"/>
      <c r="G28" s="429"/>
      <c r="H28" s="429"/>
      <c r="I28" s="429"/>
      <c r="J28" s="429"/>
      <c r="K28" s="429"/>
    </row>
    <row r="29" spans="1:14">
      <c r="A29" s="429"/>
      <c r="B29" s="429"/>
      <c r="C29" s="429"/>
      <c r="D29" s="430"/>
      <c r="E29" s="431"/>
      <c r="F29" s="430"/>
      <c r="G29" s="431"/>
      <c r="H29" s="432"/>
      <c r="I29" s="431"/>
      <c r="J29" s="429"/>
      <c r="K29" s="429"/>
    </row>
    <row r="30" spans="1:14">
      <c r="A30" s="429"/>
      <c r="B30" s="437" t="s">
        <v>413</v>
      </c>
      <c r="C30" s="438"/>
      <c r="D30" s="438"/>
      <c r="E30" s="388"/>
      <c r="F30" s="388"/>
      <c r="G30" s="388"/>
      <c r="H30" s="388"/>
      <c r="I30" s="429"/>
      <c r="J30" s="429"/>
      <c r="K30" s="429"/>
    </row>
    <row r="31" spans="1:14" ht="15">
      <c r="A31" s="429"/>
      <c r="B31" s="439" t="s">
        <v>4</v>
      </c>
      <c r="C31" s="185" t="s">
        <v>72</v>
      </c>
      <c r="D31" s="185" t="s">
        <v>94</v>
      </c>
      <c r="E31" s="185" t="s">
        <v>73</v>
      </c>
      <c r="F31" s="185" t="s">
        <v>82</v>
      </c>
      <c r="G31" s="185" t="s">
        <v>83</v>
      </c>
      <c r="H31" s="185" t="s">
        <v>84</v>
      </c>
      <c r="I31" s="429"/>
      <c r="J31" s="429"/>
      <c r="K31" s="429"/>
    </row>
    <row r="32" spans="1:14" ht="16" thickBot="1">
      <c r="A32" s="429"/>
      <c r="B32" s="440" t="s">
        <v>70</v>
      </c>
      <c r="C32" s="441" t="s">
        <v>71</v>
      </c>
      <c r="D32" s="441" t="s">
        <v>71</v>
      </c>
      <c r="E32" s="441" t="s">
        <v>71</v>
      </c>
      <c r="F32" s="441" t="s">
        <v>71</v>
      </c>
      <c r="G32" s="441" t="s">
        <v>71</v>
      </c>
      <c r="H32" s="441" t="s">
        <v>71</v>
      </c>
      <c r="I32" s="429"/>
      <c r="J32" s="429"/>
      <c r="K32" s="429"/>
    </row>
    <row r="33" spans="1:11">
      <c r="A33" s="429"/>
      <c r="B33" s="285" t="s">
        <v>259</v>
      </c>
      <c r="C33" s="204">
        <v>56.97</v>
      </c>
      <c r="D33" s="205">
        <v>94.6</v>
      </c>
      <c r="E33" s="204">
        <v>74</v>
      </c>
      <c r="F33" s="205">
        <v>79.2</v>
      </c>
      <c r="G33" s="203">
        <v>63.1</v>
      </c>
      <c r="H33" s="205">
        <v>37</v>
      </c>
      <c r="I33" s="429"/>
      <c r="J33" s="429"/>
      <c r="K33" s="429"/>
    </row>
    <row r="34" spans="1:11">
      <c r="A34" s="429"/>
      <c r="B34" s="429"/>
      <c r="C34" s="429"/>
      <c r="D34" s="429"/>
      <c r="E34" s="429"/>
      <c r="F34" s="429"/>
      <c r="G34" s="429"/>
      <c r="H34" s="429"/>
      <c r="I34" s="429"/>
      <c r="J34" s="429"/>
      <c r="K34" s="429"/>
    </row>
    <row r="35" spans="1:11">
      <c r="A35" s="429"/>
      <c r="B35" s="429"/>
      <c r="C35" s="429"/>
      <c r="D35" s="429"/>
      <c r="E35" s="429"/>
      <c r="F35" s="429"/>
      <c r="G35" s="429"/>
      <c r="H35" s="429"/>
      <c r="I35" s="429"/>
      <c r="J35" s="429"/>
      <c r="K35" s="429"/>
    </row>
    <row r="36" spans="1:11">
      <c r="A36" s="429"/>
      <c r="B36" s="429"/>
      <c r="C36" s="429"/>
      <c r="D36" s="429"/>
      <c r="E36" s="429"/>
      <c r="F36" s="429"/>
      <c r="G36" s="429"/>
      <c r="H36" s="429"/>
      <c r="I36" s="429"/>
      <c r="J36" s="429"/>
      <c r="K36" s="429"/>
    </row>
    <row r="37" spans="1:11">
      <c r="A37" s="429"/>
      <c r="B37" s="429"/>
      <c r="C37" s="429"/>
      <c r="D37" s="429"/>
      <c r="E37" s="429"/>
      <c r="F37" s="429"/>
      <c r="G37" s="429"/>
      <c r="H37" s="429"/>
      <c r="I37" s="429"/>
      <c r="J37" s="429"/>
      <c r="K37" s="429"/>
    </row>
    <row r="38" spans="1:11">
      <c r="A38" s="429"/>
      <c r="B38" s="429"/>
      <c r="C38" s="429"/>
      <c r="D38" s="429"/>
      <c r="E38" s="429"/>
      <c r="F38" s="429"/>
      <c r="G38" s="429"/>
      <c r="H38" s="429"/>
      <c r="I38" s="429"/>
      <c r="J38" s="429"/>
      <c r="K38" s="429"/>
    </row>
    <row r="39" spans="1:11">
      <c r="A39" s="429"/>
      <c r="B39" s="429"/>
      <c r="C39" s="429"/>
      <c r="D39" s="429"/>
      <c r="E39" s="429"/>
      <c r="F39" s="429"/>
      <c r="G39" s="429"/>
      <c r="H39" s="429"/>
      <c r="I39" s="429"/>
      <c r="J39" s="429"/>
      <c r="K39" s="429"/>
    </row>
    <row r="40" spans="1:11">
      <c r="A40" s="429"/>
      <c r="B40" s="429"/>
      <c r="C40" s="429"/>
      <c r="D40" s="429"/>
      <c r="E40" s="429"/>
      <c r="F40" s="429"/>
      <c r="G40" s="429"/>
      <c r="H40" s="429"/>
      <c r="I40" s="429"/>
      <c r="J40" s="429"/>
      <c r="K40" s="429"/>
    </row>
    <row r="41" spans="1:11">
      <c r="A41" s="429"/>
      <c r="B41" s="429"/>
      <c r="C41" s="429"/>
      <c r="D41" s="429"/>
      <c r="E41" s="429"/>
      <c r="F41" s="429"/>
      <c r="G41" s="429"/>
      <c r="H41" s="429"/>
      <c r="I41" s="429"/>
      <c r="J41" s="429"/>
      <c r="K41" s="429"/>
    </row>
    <row r="42" spans="1:11">
      <c r="A42" s="429"/>
      <c r="B42" s="429"/>
      <c r="C42" s="429"/>
      <c r="D42" s="429"/>
      <c r="E42" s="429"/>
      <c r="F42" s="429"/>
      <c r="G42" s="429"/>
      <c r="H42" s="429"/>
      <c r="I42" s="429"/>
      <c r="J42" s="429"/>
      <c r="K42" s="429"/>
    </row>
    <row r="43" spans="1:11">
      <c r="A43" s="429"/>
      <c r="B43" s="429"/>
      <c r="C43" s="429"/>
      <c r="D43" s="429"/>
      <c r="E43" s="429"/>
      <c r="F43" s="429"/>
      <c r="G43" s="429"/>
      <c r="H43" s="429"/>
      <c r="I43" s="429"/>
      <c r="J43" s="429"/>
      <c r="K43" s="429"/>
    </row>
    <row r="44" spans="1:11">
      <c r="A44" s="429"/>
      <c r="B44" s="429"/>
      <c r="C44" s="429"/>
      <c r="D44" s="429"/>
      <c r="E44" s="429"/>
      <c r="F44" s="429"/>
      <c r="G44" s="429"/>
      <c r="H44" s="429"/>
      <c r="I44" s="429"/>
      <c r="J44" s="429"/>
      <c r="K44" s="429"/>
    </row>
    <row r="45" spans="1:11">
      <c r="A45" s="429"/>
      <c r="B45" s="429"/>
      <c r="C45" s="429"/>
      <c r="D45" s="429"/>
      <c r="E45" s="429"/>
      <c r="F45" s="429"/>
      <c r="G45" s="429"/>
      <c r="H45" s="429"/>
      <c r="I45" s="429"/>
      <c r="J45" s="429"/>
      <c r="K45" s="429"/>
    </row>
    <row r="46" spans="1:11">
      <c r="A46" s="429"/>
      <c r="B46" s="429"/>
      <c r="C46" s="429"/>
      <c r="D46" s="429"/>
      <c r="E46" s="429"/>
      <c r="F46" s="429"/>
      <c r="G46" s="429"/>
      <c r="H46" s="429"/>
      <c r="I46" s="429"/>
      <c r="J46" s="429"/>
      <c r="K46" s="429"/>
    </row>
    <row r="47" spans="1:11">
      <c r="A47" s="429"/>
      <c r="B47" s="429"/>
      <c r="C47" s="429"/>
      <c r="D47" s="429"/>
      <c r="E47" s="429"/>
      <c r="F47" s="429"/>
      <c r="G47" s="429"/>
      <c r="H47" s="429"/>
      <c r="I47" s="429"/>
      <c r="J47" s="429"/>
      <c r="K47" s="429"/>
    </row>
    <row r="48" spans="1:11">
      <c r="A48" s="429"/>
      <c r="B48" s="429"/>
      <c r="C48" s="429"/>
      <c r="D48" s="429"/>
      <c r="E48" s="429"/>
      <c r="F48" s="429"/>
      <c r="G48" s="429"/>
      <c r="H48" s="429"/>
      <c r="I48" s="429"/>
      <c r="J48" s="429"/>
      <c r="K48" s="429"/>
    </row>
    <row r="49" spans="1:23">
      <c r="A49" s="429"/>
      <c r="B49" s="429"/>
      <c r="C49" s="429"/>
      <c r="D49" s="429"/>
      <c r="E49" s="429"/>
      <c r="F49" s="429"/>
      <c r="G49" s="429"/>
      <c r="H49" s="429"/>
      <c r="I49" s="429"/>
      <c r="J49" s="429"/>
      <c r="K49" s="429"/>
    </row>
    <row r="62" spans="1:23">
      <c r="Q62" s="285"/>
      <c r="R62" s="285"/>
      <c r="S62" s="285"/>
      <c r="T62" s="285"/>
      <c r="U62" s="285"/>
      <c r="V62" s="285"/>
      <c r="W62" s="285"/>
    </row>
    <row r="63" spans="1:23">
      <c r="P63" s="285"/>
      <c r="Q63" s="285"/>
      <c r="R63" s="285"/>
      <c r="S63" s="285"/>
      <c r="T63" s="285"/>
      <c r="U63" s="285"/>
      <c r="V63" s="285"/>
      <c r="W63" s="285"/>
    </row>
    <row r="64" spans="1:23">
      <c r="P64" s="285"/>
      <c r="Q64" s="285"/>
      <c r="R64" s="285"/>
      <c r="S64" s="285"/>
      <c r="T64" s="285"/>
      <c r="U64" s="285"/>
      <c r="V64" s="285"/>
      <c r="W64" s="285"/>
    </row>
    <row r="65" spans="16:23">
      <c r="P65" s="285"/>
      <c r="Q65" s="285"/>
      <c r="R65" s="285"/>
      <c r="S65" s="285"/>
      <c r="T65" s="285"/>
      <c r="U65" s="285"/>
      <c r="V65" s="285"/>
      <c r="W65" s="285"/>
    </row>
    <row r="66" spans="16:23">
      <c r="P66" s="285"/>
      <c r="Q66" s="285"/>
      <c r="R66" s="285"/>
      <c r="S66" s="285"/>
      <c r="T66" s="285"/>
      <c r="U66" s="285"/>
      <c r="V66" s="285"/>
      <c r="W66" s="285"/>
    </row>
    <row r="67" spans="16:23">
      <c r="P67" s="285"/>
      <c r="Q67" s="285"/>
      <c r="R67" s="285"/>
      <c r="S67" s="285"/>
      <c r="T67" s="285"/>
      <c r="U67" s="285"/>
      <c r="V67" s="285"/>
      <c r="W67" s="285"/>
    </row>
    <row r="68" spans="16:23">
      <c r="P68" s="285"/>
      <c r="Q68" s="285"/>
      <c r="R68" s="285"/>
      <c r="S68" s="285"/>
      <c r="T68" s="285"/>
      <c r="U68" s="285"/>
      <c r="V68" s="285"/>
      <c r="W68" s="28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71"/>
  <sheetViews>
    <sheetView showGridLines="0" zoomScale="115" zoomScaleNormal="130" workbookViewId="0">
      <selection activeCell="B13" sqref="B13"/>
    </sheetView>
  </sheetViews>
  <sheetFormatPr baseColWidth="10" defaultColWidth="9.1640625" defaultRowHeight="12.75" customHeight="1"/>
  <cols>
    <col min="1" max="1" width="7.5" style="128" customWidth="1"/>
    <col min="2" max="2" width="16" style="128" customWidth="1"/>
    <col min="3" max="11" width="10.5" style="128" customWidth="1"/>
    <col min="12" max="12" width="12.1640625" style="128" customWidth="1"/>
    <col min="13" max="13" width="10.5" style="128" customWidth="1"/>
    <col min="14" max="14" width="12.6640625" style="128" customWidth="1"/>
    <col min="15" max="15" width="9.1640625" style="128"/>
    <col min="16" max="16" width="12.33203125" style="128" customWidth="1"/>
    <col min="17" max="16384" width="9.1640625" style="128"/>
  </cols>
  <sheetData>
    <row r="1" spans="2:16" ht="12.75" customHeight="1">
      <c r="B1" s="25" t="s">
        <v>504</v>
      </c>
      <c r="C1" s="25"/>
      <c r="D1" s="25"/>
      <c r="F1" s="25"/>
      <c r="G1" s="25"/>
      <c r="H1" s="502" t="s">
        <v>503</v>
      </c>
      <c r="I1" s="25"/>
      <c r="J1" s="34"/>
      <c r="K1" s="25"/>
      <c r="L1" s="25"/>
      <c r="M1" s="25"/>
      <c r="N1" s="25"/>
      <c r="O1" s="25"/>
    </row>
    <row r="2" spans="2:16" ht="12.75" customHeight="1">
      <c r="B2" s="25" t="s">
        <v>596</v>
      </c>
      <c r="C2" s="25"/>
      <c r="D2" s="25"/>
      <c r="E2" s="25"/>
      <c r="F2" s="25"/>
      <c r="G2" s="25"/>
      <c r="H2" s="25"/>
      <c r="I2" s="116"/>
      <c r="J2" s="116"/>
      <c r="K2" s="116"/>
      <c r="L2" s="116"/>
      <c r="M2" s="116"/>
      <c r="N2" s="116"/>
    </row>
    <row r="3" spans="2:16" ht="12.75" customHeight="1">
      <c r="B3" s="115">
        <v>2010</v>
      </c>
      <c r="E3" s="25"/>
      <c r="F3" s="25"/>
      <c r="G3" s="25"/>
      <c r="I3" s="25"/>
      <c r="J3" s="25"/>
      <c r="L3" s="25"/>
      <c r="M3" s="25"/>
      <c r="N3" s="25"/>
      <c r="P3" s="128" t="s">
        <v>193</v>
      </c>
    </row>
    <row r="4" spans="2:16" ht="12.75" customHeight="1">
      <c r="B4" s="25" t="s">
        <v>505</v>
      </c>
      <c r="C4" s="120" t="s">
        <v>474</v>
      </c>
      <c r="D4" s="120" t="s">
        <v>475</v>
      </c>
      <c r="E4" s="120" t="s">
        <v>476</v>
      </c>
      <c r="F4" s="120" t="s">
        <v>477</v>
      </c>
      <c r="G4" s="120" t="s">
        <v>478</v>
      </c>
      <c r="H4" s="120" t="s">
        <v>342</v>
      </c>
      <c r="I4" s="120" t="s">
        <v>479</v>
      </c>
      <c r="J4" s="120" t="s">
        <v>480</v>
      </c>
      <c r="K4" s="120" t="s">
        <v>481</v>
      </c>
      <c r="L4" s="120" t="s">
        <v>482</v>
      </c>
      <c r="M4" s="120" t="s">
        <v>483</v>
      </c>
      <c r="N4" s="120" t="s">
        <v>253</v>
      </c>
      <c r="O4" s="120" t="s">
        <v>484</v>
      </c>
      <c r="P4" s="121" t="s">
        <v>57</v>
      </c>
    </row>
    <row r="5" spans="2:16" ht="12.75" customHeight="1">
      <c r="B5" s="129" t="s">
        <v>55</v>
      </c>
      <c r="C5" s="118">
        <f>_xlfn.IFNA(INDEX('2010'!$C$6:$AA$55,MATCH(C$4,'2010'!$B$6:$B$55,0),MATCH($B5,'2010'!$C$1:$AA$1,0)),0)</f>
        <v>29540.659</v>
      </c>
      <c r="D5" s="118">
        <f>_xlfn.IFNA(INDEX('2010'!$C$6:$AA$55,MATCH(D$4,'2010'!$B$6:$B$55,0),MATCH($B5,'2010'!$C$1:$AA$1,0)),0)</f>
        <v>21580.32</v>
      </c>
      <c r="E5" s="118">
        <f>_xlfn.IFNA(INDEX('2010'!$C$6:$AA$55,MATCH(E$4,'2010'!$B$6:$B$55,0),MATCH($B5,'2010'!$C$1:$AA$1,0)),0)</f>
        <v>1043.671</v>
      </c>
      <c r="F5" s="118">
        <f>_xlfn.IFNA(INDEX('2010'!$C$6:$AA$55,MATCH(F$4,'2010'!$B$6:$B$55,0),MATCH($B5,'2010'!$C$1:$AA$1,0)),0)</f>
        <v>56552.896000000001</v>
      </c>
      <c r="G5" s="118">
        <f>_xlfn.IFNA(INDEX('2010'!$C$6:$AA$55,MATCH(G$4,'2010'!$B$6:$B$55,0),MATCH($B5,'2010'!$C$1:$AA$1,0)),0)</f>
        <v>687.6</v>
      </c>
      <c r="H5" s="118">
        <f>_xlfn.IFNA(INDEX('2010'!$C$6:$AA$55,MATCH(H$4,'2010'!$B$6:$B$55,0),MATCH($B5,'2010'!$C$1:$AA$1,0)),0)</f>
        <v>720.02099999999996</v>
      </c>
      <c r="I5" s="118">
        <f>_xlfn.IFNA(INDEX('2010'!$C$6:$AA$55,MATCH(I$4,'2010'!$B$6:$B$55,0),MATCH($B5,'2010'!$C$1:$AA$1,0)),0)</f>
        <v>2252.96</v>
      </c>
      <c r="J5" s="118">
        <f>_xlfn.IFNA(INDEX('2010'!$C$6:$AA$55,MATCH(J$4,'2010'!$B$6:$B$55,0),MATCH($B5,'2010'!$C$1:$AA$1,0)),0)</f>
        <v>8542.4750000000004</v>
      </c>
      <c r="K5" s="118">
        <f>_xlfn.IFNA(INDEX('2010'!$C$6:$AA$55,MATCH(K$4,'2010'!$B$6:$B$55,0),MATCH($B5,'2010'!$C$1:$AA$1,0)),0)</f>
        <v>15931.112999999999</v>
      </c>
      <c r="L5" s="118">
        <f>_xlfn.IFNA(INDEX('2010'!$C$6:$AA$55,MATCH(L$4,'2010'!$B$6:$B$55,0),MATCH($B5,'2010'!$C$1:$AA$1,0)),0)</f>
        <v>42.006</v>
      </c>
      <c r="M5" s="118">
        <f>_xlfn.IFNA(INDEX('2010'!$C$6:$AA$55,MATCH(M$4,'2010'!$B$6:$B$55,0),MATCH($B5,'2010'!$C$1:$AA$1,0)),0)</f>
        <v>426.83199999999999</v>
      </c>
      <c r="N5" s="118">
        <f>_xlfn.IFNA(INDEX('2010'!$C$6:$AA$55,MATCH(N$4,'2010'!$B$6:$B$55,0),MATCH($B5,'2010'!$C$1:$AA$1,0)),0)</f>
        <v>0</v>
      </c>
      <c r="O5" s="118">
        <f>_xlfn.IFNA(INDEX('2010'!$C$6:$AA$55,MATCH(O$4,'2010'!$B$6:$B$55,0),MATCH($B5,'2010'!$C$1:$AA$1,0)),0)</f>
        <v>357.05099999999999</v>
      </c>
      <c r="P5" s="118">
        <f>SUM(C5:O5)</f>
        <v>137677.60400000002</v>
      </c>
    </row>
    <row r="6" spans="2:16" ht="12.75" customHeight="1">
      <c r="B6" s="129" t="s">
        <v>54</v>
      </c>
      <c r="C6" s="118">
        <f>_xlfn.IFNA(INDEX('2010'!$C$6:$AA$55,MATCH(C$4,'2010'!$B$6:$B$55,0),MATCH($B6,'2010'!$C$1:$AA$1,0)),0)</f>
        <v>201.74</v>
      </c>
      <c r="D6" s="118">
        <f>_xlfn.IFNA(INDEX('2010'!$C$6:$AA$55,MATCH(D$4,'2010'!$B$6:$B$55,0),MATCH($B6,'2010'!$C$1:$AA$1,0)),0)</f>
        <v>45956.372000000003</v>
      </c>
      <c r="E6" s="118">
        <f>_xlfn.IFNA(INDEX('2010'!$C$6:$AA$55,MATCH(E$4,'2010'!$B$6:$B$55,0),MATCH($B6,'2010'!$C$1:$AA$1,0)),0)</f>
        <v>968.35199999999998</v>
      </c>
      <c r="F6" s="118">
        <f>_xlfn.IFNA(INDEX('2010'!$C$6:$AA$55,MATCH(F$4,'2010'!$B$6:$B$55,0),MATCH($B6,'2010'!$C$1:$AA$1,0)),0)</f>
        <v>7746.8159999999998</v>
      </c>
      <c r="G6" s="118">
        <f>_xlfn.IFNA(INDEX('2010'!$C$6:$AA$55,MATCH(G$4,'2010'!$B$6:$B$55,0),MATCH($B6,'2010'!$C$1:$AA$1,0)),0)</f>
        <v>0</v>
      </c>
      <c r="H6" s="118">
        <f>_xlfn.IFNA(INDEX('2010'!$C$6:$AA$55,MATCH(H$4,'2010'!$B$6:$B$55,0),MATCH($B6,'2010'!$C$1:$AA$1,0)),0)</f>
        <v>121.044</v>
      </c>
      <c r="I6" s="118">
        <f>_xlfn.IFNA(INDEX('2010'!$C$6:$AA$55,MATCH(I$4,'2010'!$B$6:$B$55,0),MATCH($B6,'2010'!$C$1:$AA$1,0)),0)</f>
        <v>80.695999999999998</v>
      </c>
      <c r="J6" s="118">
        <f>_xlfn.IFNA(INDEX('2010'!$C$6:$AA$55,MATCH(J$4,'2010'!$B$6:$B$55,0),MATCH($B6,'2010'!$C$1:$AA$1,0)),0)</f>
        <v>1896.356</v>
      </c>
      <c r="K6" s="118">
        <f>_xlfn.IFNA(INDEX('2010'!$C$6:$AA$55,MATCH(K$4,'2010'!$B$6:$B$55,0),MATCH($B6,'2010'!$C$1:$AA$1,0)),0)</f>
        <v>806.96</v>
      </c>
      <c r="L6" s="118">
        <f>_xlfn.IFNA(INDEX('2010'!$C$6:$AA$55,MATCH(L$4,'2010'!$B$6:$B$55,0),MATCH($B6,'2010'!$C$1:$AA$1,0)),0)</f>
        <v>928.00400000000002</v>
      </c>
      <c r="M6" s="118">
        <f>_xlfn.IFNA(INDEX('2010'!$C$6:$AA$55,MATCH(M$4,'2010'!$B$6:$B$55,0),MATCH($B6,'2010'!$C$1:$AA$1,0)),0)</f>
        <v>363.13200000000001</v>
      </c>
      <c r="N6" s="118">
        <f>_xlfn.IFNA(INDEX('2010'!$C$6:$AA$55,MATCH(N$4,'2010'!$B$6:$B$55,0),MATCH($B6,'2010'!$C$1:$AA$1,0)),0)</f>
        <v>0</v>
      </c>
      <c r="O6" s="118">
        <f>_xlfn.IFNA(INDEX('2010'!$C$6:$AA$55,MATCH(O$4,'2010'!$B$6:$B$55,0),MATCH($B6,'2010'!$C$1:$AA$1,0)),0)</f>
        <v>363.13200000000001</v>
      </c>
      <c r="P6" s="118">
        <f t="shared" ref="P6:P20" si="0">SUM(C6:O6)</f>
        <v>59432.603999999999</v>
      </c>
    </row>
    <row r="7" spans="2:16" ht="12.75" customHeight="1">
      <c r="B7" s="129" t="s">
        <v>68</v>
      </c>
      <c r="C7" s="118">
        <f>_xlfn.IFNA(INDEX('2010'!$C$6:$AA$55,MATCH(C$4,'2010'!$B$6:$B$55,0),MATCH($B7,'2010'!$C$1:$AA$1,0)),0)</f>
        <v>1286.8499999999999</v>
      </c>
      <c r="D7" s="118">
        <f>_xlfn.IFNA(INDEX('2010'!$C$6:$AA$55,MATCH(D$4,'2010'!$B$6:$B$55,0),MATCH($B7,'2010'!$C$1:$AA$1,0)),0)</f>
        <v>2916.86</v>
      </c>
      <c r="E7" s="118">
        <f>_xlfn.IFNA(INDEX('2010'!$C$6:$AA$55,MATCH(E$4,'2010'!$B$6:$B$55,0),MATCH($B7,'2010'!$C$1:$AA$1,0)),0)</f>
        <v>1372.64</v>
      </c>
      <c r="F7" s="118">
        <f>_xlfn.IFNA(INDEX('2010'!$C$6:$AA$55,MATCH(F$4,'2010'!$B$6:$B$55,0),MATCH($B7,'2010'!$C$1:$AA$1,0)),0)</f>
        <v>12396.655000000001</v>
      </c>
      <c r="G7" s="118">
        <f>_xlfn.IFNA(INDEX('2010'!$C$6:$AA$55,MATCH(G$4,'2010'!$B$6:$B$55,0),MATCH($B7,'2010'!$C$1:$AA$1,0)),0)</f>
        <v>3774.76</v>
      </c>
      <c r="H7" s="118">
        <f>_xlfn.IFNA(INDEX('2010'!$C$6:$AA$55,MATCH(H$4,'2010'!$B$6:$B$55,0),MATCH($B7,'2010'!$C$1:$AA$1,0)),0)</f>
        <v>20718.285</v>
      </c>
      <c r="I7" s="118">
        <f>_xlfn.IFNA(INDEX('2010'!$C$6:$AA$55,MATCH(I$4,'2010'!$B$6:$B$55,0),MATCH($B7,'2010'!$C$1:$AA$1,0)),0)</f>
        <v>1072.375</v>
      </c>
      <c r="J7" s="118">
        <f>_xlfn.IFNA(INDEX('2010'!$C$6:$AA$55,MATCH(J$4,'2010'!$B$6:$B$55,0),MATCH($B7,'2010'!$C$1:$AA$1,0)),0)</f>
        <v>12997.184999999999</v>
      </c>
      <c r="K7" s="118">
        <f>_xlfn.IFNA(INDEX('2010'!$C$6:$AA$55,MATCH(K$4,'2010'!$B$6:$B$55,0),MATCH($B7,'2010'!$C$1:$AA$1,0)),0)</f>
        <v>2916.86</v>
      </c>
      <c r="L7" s="118">
        <f>_xlfn.IFNA(INDEX('2010'!$C$6:$AA$55,MATCH(L$4,'2010'!$B$6:$B$55,0),MATCH($B7,'2010'!$C$1:$AA$1,0)),0)</f>
        <v>1758.6949999999999</v>
      </c>
      <c r="M7" s="118">
        <f>_xlfn.IFNA(INDEX('2010'!$C$6:$AA$55,MATCH(M$4,'2010'!$B$6:$B$55,0),MATCH($B7,'2010'!$C$1:$AA$1,0)),0)</f>
        <v>1372.64</v>
      </c>
      <c r="N7" s="118">
        <f>_xlfn.IFNA(INDEX('2010'!$C$6:$AA$55,MATCH(N$4,'2010'!$B$6:$B$55,0),MATCH($B7,'2010'!$C$1:$AA$1,0)),0)</f>
        <v>0</v>
      </c>
      <c r="O7" s="118">
        <f>_xlfn.IFNA(INDEX('2010'!$C$6:$AA$55,MATCH(O$4,'2010'!$B$6:$B$55,0),MATCH($B7,'2010'!$C$1:$AA$1,0)),0)</f>
        <v>10294.799999999999</v>
      </c>
      <c r="P7" s="118">
        <f t="shared" si="0"/>
        <v>72878.604999999996</v>
      </c>
    </row>
    <row r="8" spans="2:16" ht="12.75" customHeight="1">
      <c r="B8" s="129" t="s">
        <v>79</v>
      </c>
      <c r="C8" s="118">
        <f>_xlfn.IFNA(INDEX('2010'!$C$6:$AA$55,MATCH(C$4,'2010'!$B$6:$B$55,0),MATCH($B8,'2010'!$C$1:$AA$1,0)),0)</f>
        <v>0</v>
      </c>
      <c r="D8" s="118">
        <f>_xlfn.IFNA(INDEX('2010'!$C$6:$AA$55,MATCH(D$4,'2010'!$B$6:$B$55,0),MATCH($B8,'2010'!$C$1:$AA$1,0)),0)</f>
        <v>0</v>
      </c>
      <c r="E8" s="118">
        <f>_xlfn.IFNA(INDEX('2010'!$C$6:$AA$55,MATCH(E$4,'2010'!$B$6:$B$55,0),MATCH($B8,'2010'!$C$1:$AA$1,0)),0)</f>
        <v>0</v>
      </c>
      <c r="F8" s="118">
        <f>_xlfn.IFNA(INDEX('2010'!$C$6:$AA$55,MATCH(F$4,'2010'!$B$6:$B$55,0),MATCH($B8,'2010'!$C$1:$AA$1,0)),0)</f>
        <v>0</v>
      </c>
      <c r="G8" s="118">
        <f>_xlfn.IFNA(INDEX('2010'!$C$6:$AA$55,MATCH(G$4,'2010'!$B$6:$B$55,0),MATCH($B8,'2010'!$C$1:$AA$1,0)),0)</f>
        <v>0</v>
      </c>
      <c r="H8" s="118">
        <f>_xlfn.IFNA(INDEX('2010'!$C$6:$AA$55,MATCH(H$4,'2010'!$B$6:$B$55,0),MATCH($B8,'2010'!$C$1:$AA$1,0)),0)</f>
        <v>0</v>
      </c>
      <c r="I8" s="118">
        <f>_xlfn.IFNA(INDEX('2010'!$C$6:$AA$55,MATCH(I$4,'2010'!$B$6:$B$55,0),MATCH($B8,'2010'!$C$1:$AA$1,0)),0)</f>
        <v>0</v>
      </c>
      <c r="J8" s="118">
        <f>_xlfn.IFNA(INDEX('2010'!$C$6:$AA$55,MATCH(J$4,'2010'!$B$6:$B$55,0),MATCH($B8,'2010'!$C$1:$AA$1,0)),0)</f>
        <v>0</v>
      </c>
      <c r="K8" s="118">
        <f>_xlfn.IFNA(INDEX('2010'!$C$6:$AA$55,MATCH(K$4,'2010'!$B$6:$B$55,0),MATCH($B8,'2010'!$C$1:$AA$1,0)),0)</f>
        <v>0</v>
      </c>
      <c r="L8" s="118">
        <f>_xlfn.IFNA(INDEX('2010'!$C$6:$AA$55,MATCH(L$4,'2010'!$B$6:$B$55,0),MATCH($B8,'2010'!$C$1:$AA$1,0)),0)</f>
        <v>0</v>
      </c>
      <c r="M8" s="118">
        <f>_xlfn.IFNA(INDEX('2010'!$C$6:$AA$55,MATCH(M$4,'2010'!$B$6:$B$55,0),MATCH($B8,'2010'!$C$1:$AA$1,0)),0)</f>
        <v>0</v>
      </c>
      <c r="N8" s="118">
        <f>_xlfn.IFNA(INDEX('2010'!$C$6:$AA$55,MATCH(N$4,'2010'!$B$6:$B$55,0),MATCH($B8,'2010'!$C$1:$AA$1,0)),0)</f>
        <v>0</v>
      </c>
      <c r="O8" s="118">
        <f>_xlfn.IFNA(INDEX('2010'!$C$6:$AA$55,MATCH(O$4,'2010'!$B$6:$B$55,0),MATCH($B8,'2010'!$C$1:$AA$1,0)),0)</f>
        <v>0</v>
      </c>
      <c r="P8" s="118">
        <f t="shared" si="0"/>
        <v>0</v>
      </c>
    </row>
    <row r="9" spans="2:16" ht="12.75" customHeight="1">
      <c r="B9" s="129" t="s">
        <v>53</v>
      </c>
      <c r="C9" s="118">
        <f>_xlfn.IFNA(INDEX('2010'!$C$6:$AA$55,MATCH(C$4,'2010'!$B$6:$B$55,0),MATCH($B9,'2010'!$C$1:$AA$1,0)),0)</f>
        <v>2623.7669999999998</v>
      </c>
      <c r="D9" s="118">
        <f>_xlfn.IFNA(INDEX('2010'!$C$6:$AA$55,MATCH(D$4,'2010'!$B$6:$B$55,0),MATCH($B9,'2010'!$C$1:$AA$1,0)),0)</f>
        <v>0</v>
      </c>
      <c r="E9" s="118">
        <f>_xlfn.IFNA(INDEX('2010'!$C$6:$AA$55,MATCH(E$4,'2010'!$B$6:$B$55,0),MATCH($B9,'2010'!$C$1:$AA$1,0)),0)</f>
        <v>184.124</v>
      </c>
      <c r="F9" s="118">
        <f>_xlfn.IFNA(INDEX('2010'!$C$6:$AA$55,MATCH(F$4,'2010'!$B$6:$B$55,0),MATCH($B9,'2010'!$C$1:$AA$1,0)),0)</f>
        <v>1242.837</v>
      </c>
      <c r="G9" s="118">
        <f>_xlfn.IFNA(INDEX('2010'!$C$6:$AA$55,MATCH(G$4,'2010'!$B$6:$B$55,0),MATCH($B9,'2010'!$C$1:$AA$1,0)),0)</f>
        <v>230.155</v>
      </c>
      <c r="H9" s="118">
        <f>_xlfn.IFNA(INDEX('2010'!$C$6:$AA$55,MATCH(H$4,'2010'!$B$6:$B$55,0),MATCH($B9,'2010'!$C$1:$AA$1,0)),0)</f>
        <v>2439.643</v>
      </c>
      <c r="I9" s="118">
        <f>_xlfn.IFNA(INDEX('2010'!$C$6:$AA$55,MATCH(I$4,'2010'!$B$6:$B$55,0),MATCH($B9,'2010'!$C$1:$AA$1,0)),0)</f>
        <v>414.279</v>
      </c>
      <c r="J9" s="118">
        <f>_xlfn.IFNA(INDEX('2010'!$C$6:$AA$55,MATCH(J$4,'2010'!$B$6:$B$55,0),MATCH($B9,'2010'!$C$1:$AA$1,0)),0)</f>
        <v>1795.2090000000001</v>
      </c>
      <c r="K9" s="118">
        <f>_xlfn.IFNA(INDEX('2010'!$C$6:$AA$55,MATCH(K$4,'2010'!$B$6:$B$55,0),MATCH($B9,'2010'!$C$1:$AA$1,0)),0)</f>
        <v>368.24799999999999</v>
      </c>
      <c r="L9" s="118">
        <f>_xlfn.IFNA(INDEX('2010'!$C$6:$AA$55,MATCH(L$4,'2010'!$B$6:$B$55,0),MATCH($B9,'2010'!$C$1:$AA$1,0)),0)</f>
        <v>46.030999999999999</v>
      </c>
      <c r="M9" s="118">
        <f>_xlfn.IFNA(INDEX('2010'!$C$6:$AA$55,MATCH(M$4,'2010'!$B$6:$B$55,0),MATCH($B9,'2010'!$C$1:$AA$1,0)),0)</f>
        <v>46.030999999999999</v>
      </c>
      <c r="N9" s="118">
        <f>_xlfn.IFNA(INDEX('2010'!$C$6:$AA$55,MATCH(N$4,'2010'!$B$6:$B$55,0),MATCH($B9,'2010'!$C$1:$AA$1,0)),0)</f>
        <v>0</v>
      </c>
      <c r="O9" s="118">
        <f>_xlfn.IFNA(INDEX('2010'!$C$6:$AA$55,MATCH(O$4,'2010'!$B$6:$B$55,0),MATCH($B9,'2010'!$C$1:$AA$1,0)),0)</f>
        <v>1565.0540000000001</v>
      </c>
      <c r="P9" s="118">
        <f t="shared" si="0"/>
        <v>10955.378000000002</v>
      </c>
    </row>
    <row r="10" spans="2:16" ht="12.75" customHeight="1">
      <c r="B10" s="129" t="s">
        <v>588</v>
      </c>
      <c r="C10" s="118">
        <f>_xlfn.IFNA(INDEX('2010'!$C$6:$AA$55,MATCH(C$4,'2010'!$B$6:$B$55,0),MATCH($B10,'2010'!$C$1:$AA$1,0)),0)</f>
        <v>98063.7</v>
      </c>
      <c r="D10" s="118">
        <f>_xlfn.IFNA(INDEX('2010'!$C$6:$AA$55,MATCH(D$4,'2010'!$B$6:$B$55,0),MATCH($B10,'2010'!$C$1:$AA$1,0)),0)</f>
        <v>3539.7</v>
      </c>
      <c r="E10" s="118">
        <f>_xlfn.IFNA(INDEX('2010'!$C$6:$AA$55,MATCH(E$4,'2010'!$B$6:$B$55,0),MATCH($B10,'2010'!$C$1:$AA$1,0)),0)</f>
        <v>0</v>
      </c>
      <c r="F10" s="118">
        <f>_xlfn.IFNA(INDEX('2010'!$C$6:$AA$55,MATCH(F$4,'2010'!$B$6:$B$55,0),MATCH($B10,'2010'!$C$1:$AA$1,0)),0)</f>
        <v>107.1</v>
      </c>
      <c r="G10" s="118">
        <f>_xlfn.IFNA(INDEX('2010'!$C$6:$AA$55,MATCH(G$4,'2010'!$B$6:$B$55,0),MATCH($B10,'2010'!$C$1:$AA$1,0)),0)</f>
        <v>350.1</v>
      </c>
      <c r="H10" s="118">
        <f>_xlfn.IFNA(INDEX('2010'!$C$6:$AA$55,MATCH(H$4,'2010'!$B$6:$B$55,0),MATCH($B10,'2010'!$C$1:$AA$1,0)),0)</f>
        <v>0</v>
      </c>
      <c r="I10" s="118">
        <f>_xlfn.IFNA(INDEX('2010'!$C$6:$AA$55,MATCH(I$4,'2010'!$B$6:$B$55,0),MATCH($B10,'2010'!$C$1:$AA$1,0)),0)</f>
        <v>0</v>
      </c>
      <c r="J10" s="118">
        <f>_xlfn.IFNA(INDEX('2010'!$C$6:$AA$55,MATCH(J$4,'2010'!$B$6:$B$55,0),MATCH($B10,'2010'!$C$1:$AA$1,0)),0)</f>
        <v>0</v>
      </c>
      <c r="K10" s="118">
        <f>_xlfn.IFNA(INDEX('2010'!$C$6:$AA$55,MATCH(K$4,'2010'!$B$6:$B$55,0),MATCH($B10,'2010'!$C$1:$AA$1,0)),0)</f>
        <v>0</v>
      </c>
      <c r="L10" s="118">
        <f>_xlfn.IFNA(INDEX('2010'!$C$6:$AA$55,MATCH(L$4,'2010'!$B$6:$B$55,0),MATCH($B10,'2010'!$C$1:$AA$1,0)),0)</f>
        <v>0</v>
      </c>
      <c r="M10" s="118">
        <f>_xlfn.IFNA(INDEX('2010'!$C$6:$AA$55,MATCH(M$4,'2010'!$B$6:$B$55,0),MATCH($B10,'2010'!$C$1:$AA$1,0)),0)</f>
        <v>0</v>
      </c>
      <c r="N10" s="118">
        <f>_xlfn.IFNA(INDEX('2010'!$C$6:$AA$55,MATCH(N$4,'2010'!$B$6:$B$55,0),MATCH($B10,'2010'!$C$1:$AA$1,0)),0)</f>
        <v>0</v>
      </c>
      <c r="O10" s="118">
        <f>_xlfn.IFNA(INDEX('2010'!$C$6:$AA$55,MATCH(O$4,'2010'!$B$6:$B$55,0),MATCH($B10,'2010'!$C$1:$AA$1,0)),0)</f>
        <v>5.4</v>
      </c>
      <c r="P10" s="118">
        <f t="shared" ref="P10" si="1">SUM(C10:O10)</f>
        <v>102066</v>
      </c>
    </row>
    <row r="11" spans="2:16" ht="12.75" customHeight="1">
      <c r="B11" s="129" t="s">
        <v>51</v>
      </c>
      <c r="C11" s="118">
        <f>_xlfn.IFNA(INDEX('2010'!$C$6:$AA$55,MATCH(C$4,'2010'!$B$6:$B$55,0),MATCH($B11,'2010'!$C$1:$AA$1,0)),0)</f>
        <v>99519.558000000005</v>
      </c>
      <c r="D11" s="118">
        <f>_xlfn.IFNA(INDEX('2010'!$C$6:$AA$55,MATCH(D$4,'2010'!$B$6:$B$55,0),MATCH($B11,'2010'!$C$1:$AA$1,0)),0)</f>
        <v>224126.00700000001</v>
      </c>
      <c r="E11" s="118">
        <f>_xlfn.IFNA(INDEX('2010'!$C$6:$AA$55,MATCH(E$4,'2010'!$B$6:$B$55,0),MATCH($B11,'2010'!$C$1:$AA$1,0)),0)</f>
        <v>32190.673999999999</v>
      </c>
      <c r="F11" s="118">
        <f>_xlfn.IFNA(INDEX('2010'!$C$6:$AA$55,MATCH(F$4,'2010'!$B$6:$B$55,0),MATCH($B11,'2010'!$C$1:$AA$1,0)),0)</f>
        <v>102503.992</v>
      </c>
      <c r="G11" s="118">
        <f>_xlfn.IFNA(INDEX('2010'!$C$6:$AA$55,MATCH(G$4,'2010'!$B$6:$B$55,0),MATCH($B11,'2010'!$C$1:$AA$1,0)),0)</f>
        <v>38022.741999999998</v>
      </c>
      <c r="H11" s="118">
        <f>_xlfn.IFNA(INDEX('2010'!$C$6:$AA$55,MATCH(H$4,'2010'!$B$6:$B$55,0),MATCH($B11,'2010'!$C$1:$AA$1,0)),0)</f>
        <v>74901.570999999996</v>
      </c>
      <c r="I11" s="118">
        <f>_xlfn.IFNA(INDEX('2010'!$C$6:$AA$55,MATCH(I$4,'2010'!$B$6:$B$55,0),MATCH($B11,'2010'!$C$1:$AA$1,0)),0)</f>
        <v>6125.4709999999995</v>
      </c>
      <c r="J11" s="118">
        <f>_xlfn.IFNA(INDEX('2010'!$C$6:$AA$55,MATCH(J$4,'2010'!$B$6:$B$55,0),MATCH($B11,'2010'!$C$1:$AA$1,0)),0)</f>
        <v>105401.126</v>
      </c>
      <c r="K11" s="118">
        <f>_xlfn.IFNA(INDEX('2010'!$C$6:$AA$55,MATCH(K$4,'2010'!$B$6:$B$55,0),MATCH($B11,'2010'!$C$1:$AA$1,0)),0)</f>
        <v>94414.698000000004</v>
      </c>
      <c r="L11" s="118">
        <f>_xlfn.IFNA(INDEX('2010'!$C$6:$AA$55,MATCH(L$4,'2010'!$B$6:$B$55,0),MATCH($B11,'2010'!$C$1:$AA$1,0)),0)</f>
        <v>6317.1729999999998</v>
      </c>
      <c r="M11" s="118">
        <f>_xlfn.IFNA(INDEX('2010'!$C$6:$AA$55,MATCH(M$4,'2010'!$B$6:$B$55,0),MATCH($B11,'2010'!$C$1:$AA$1,0)),0)</f>
        <v>10936.927</v>
      </c>
      <c r="N11" s="118">
        <f>_xlfn.IFNA(INDEX('2010'!$C$6:$AA$55,MATCH(N$4,'2010'!$B$6:$B$55,0),MATCH($B11,'2010'!$C$1:$AA$1,0)),0)</f>
        <v>21828.853999999999</v>
      </c>
      <c r="O11" s="118">
        <f>_xlfn.IFNA(INDEX('2010'!$C$6:$AA$55,MATCH(O$4,'2010'!$B$6:$B$55,0),MATCH($B11,'2010'!$C$1:$AA$1,0)),0)</f>
        <v>27508.82</v>
      </c>
      <c r="P11" s="118">
        <f t="shared" si="0"/>
        <v>843797.61300000001</v>
      </c>
    </row>
    <row r="12" spans="2:16" ht="12.75" customHeight="1">
      <c r="B12" s="129" t="s">
        <v>77</v>
      </c>
      <c r="C12" s="118">
        <f>_xlfn.IFNA(INDEX('2010'!$C$6:$AA$55,MATCH(C$4,'2010'!$B$6:$B$55,0),MATCH($B12,'2010'!$C$1:$AA$1,0)),0)</f>
        <v>0</v>
      </c>
      <c r="D12" s="118">
        <f>_xlfn.IFNA(INDEX('2010'!$C$6:$AA$55,MATCH(D$4,'2010'!$B$6:$B$55,0),MATCH($B12,'2010'!$C$1:$AA$1,0)),0)</f>
        <v>4839</v>
      </c>
      <c r="E12" s="118">
        <f>_xlfn.IFNA(INDEX('2010'!$C$6:$AA$55,MATCH(E$4,'2010'!$B$6:$B$55,0),MATCH($B12,'2010'!$C$1:$AA$1,0)),0)</f>
        <v>17</v>
      </c>
      <c r="F12" s="118">
        <f>_xlfn.IFNA(INDEX('2010'!$C$6:$AA$55,MATCH(F$4,'2010'!$B$6:$B$55,0),MATCH($B12,'2010'!$C$1:$AA$1,0)),0)</f>
        <v>17</v>
      </c>
      <c r="G12" s="118">
        <f>_xlfn.IFNA(INDEX('2010'!$C$6:$AA$55,MATCH(G$4,'2010'!$B$6:$B$55,0),MATCH($B12,'2010'!$C$1:$AA$1,0)),0)</f>
        <v>0</v>
      </c>
      <c r="H12" s="118">
        <f>_xlfn.IFNA(INDEX('2010'!$C$6:$AA$55,MATCH(H$4,'2010'!$B$6:$B$55,0),MATCH($B12,'2010'!$C$1:$AA$1,0)),0)</f>
        <v>33</v>
      </c>
      <c r="I12" s="118">
        <f>_xlfn.IFNA(INDEX('2010'!$C$6:$AA$55,MATCH(I$4,'2010'!$B$6:$B$55,0),MATCH($B12,'2010'!$C$1:$AA$1,0)),0)</f>
        <v>0</v>
      </c>
      <c r="J12" s="118">
        <f>_xlfn.IFNA(INDEX('2010'!$C$6:$AA$55,MATCH(J$4,'2010'!$B$6:$B$55,0),MATCH($B12,'2010'!$C$1:$AA$1,0)),0)</f>
        <v>583</v>
      </c>
      <c r="K12" s="118">
        <f>_xlfn.IFNA(INDEX('2010'!$C$6:$AA$55,MATCH(K$4,'2010'!$B$6:$B$55,0),MATCH($B12,'2010'!$C$1:$AA$1,0)),0)</f>
        <v>943</v>
      </c>
      <c r="L12" s="118">
        <f>_xlfn.IFNA(INDEX('2010'!$C$6:$AA$55,MATCH(L$4,'2010'!$B$6:$B$55,0),MATCH($B12,'2010'!$C$1:$AA$1,0)),0)</f>
        <v>0</v>
      </c>
      <c r="M12" s="118">
        <f>_xlfn.IFNA(INDEX('2010'!$C$6:$AA$55,MATCH(M$4,'2010'!$B$6:$B$55,0),MATCH($B12,'2010'!$C$1:$AA$1,0)),0)</f>
        <v>15</v>
      </c>
      <c r="N12" s="118">
        <f>_xlfn.IFNA(INDEX('2010'!$C$6:$AA$55,MATCH(N$4,'2010'!$B$6:$B$55,0),MATCH($B12,'2010'!$C$1:$AA$1,0)),0)</f>
        <v>0</v>
      </c>
      <c r="O12" s="118">
        <f>_xlfn.IFNA(INDEX('2010'!$C$6:$AA$55,MATCH(O$4,'2010'!$B$6:$B$55,0),MATCH($B12,'2010'!$C$1:$AA$1,0)),0)</f>
        <v>66</v>
      </c>
      <c r="P12" s="118">
        <f t="shared" si="0"/>
        <v>6513</v>
      </c>
    </row>
    <row r="13" spans="2:16" ht="12.75" customHeight="1">
      <c r="B13" s="631" t="s">
        <v>589</v>
      </c>
      <c r="C13" s="118">
        <f>_xlfn.IFNA(INDEX('2010'!$C$6:$AA$55,MATCH(C$4,'2010'!$B$6:$B$55,0),MATCH($B13,'2010'!$C$1:$AA$1,0)),0)</f>
        <v>0</v>
      </c>
      <c r="D13" s="118">
        <f>_xlfn.IFNA(INDEX('2010'!$C$6:$AA$55,MATCH(D$4,'2010'!$B$6:$B$55,0),MATCH($B13,'2010'!$C$1:$AA$1,0)),0)</f>
        <v>0</v>
      </c>
      <c r="E13" s="118">
        <f>_xlfn.IFNA(INDEX('2010'!$C$6:$AA$55,MATCH(E$4,'2010'!$B$6:$B$55,0),MATCH($B13,'2010'!$C$1:$AA$1,0)),0)</f>
        <v>0</v>
      </c>
      <c r="F13" s="118">
        <f>_xlfn.IFNA(INDEX('2010'!$C$6:$AA$55,MATCH(F$4,'2010'!$B$6:$B$55,0),MATCH($B13,'2010'!$C$1:$AA$1,0)),0)</f>
        <v>0</v>
      </c>
      <c r="G13" s="118">
        <f>_xlfn.IFNA(INDEX('2010'!$C$6:$AA$55,MATCH(G$4,'2010'!$B$6:$B$55,0),MATCH($B13,'2010'!$C$1:$AA$1,0)),0)</f>
        <v>0</v>
      </c>
      <c r="H13" s="118">
        <f>_xlfn.IFNA(INDEX('2010'!$C$6:$AA$55,MATCH(H$4,'2010'!$B$6:$B$55,0),MATCH($B13,'2010'!$C$1:$AA$1,0)),0)</f>
        <v>0</v>
      </c>
      <c r="I13" s="118">
        <f>_xlfn.IFNA(INDEX('2010'!$C$6:$AA$55,MATCH(I$4,'2010'!$B$6:$B$55,0),MATCH($B13,'2010'!$C$1:$AA$1,0)),0)</f>
        <v>0</v>
      </c>
      <c r="J13" s="118">
        <f>_xlfn.IFNA(INDEX('2010'!$C$6:$AA$55,MATCH(J$4,'2010'!$B$6:$B$55,0),MATCH($B13,'2010'!$C$1:$AA$1,0)),0)</f>
        <v>0</v>
      </c>
      <c r="K13" s="118">
        <f>_xlfn.IFNA(INDEX('2010'!$C$6:$AA$55,MATCH(K$4,'2010'!$B$6:$B$55,0),MATCH($B13,'2010'!$C$1:$AA$1,0)),0)</f>
        <v>0</v>
      </c>
      <c r="L13" s="118">
        <f>_xlfn.IFNA(INDEX('2010'!$C$6:$AA$55,MATCH(L$4,'2010'!$B$6:$B$55,0),MATCH($B13,'2010'!$C$1:$AA$1,0)),0)</f>
        <v>0</v>
      </c>
      <c r="M13" s="118">
        <f>_xlfn.IFNA(INDEX('2010'!$C$6:$AA$55,MATCH(M$4,'2010'!$B$6:$B$55,0),MATCH($B13,'2010'!$C$1:$AA$1,0)),0)</f>
        <v>0</v>
      </c>
      <c r="N13" s="118">
        <f>_xlfn.IFNA(INDEX('2010'!$C$6:$AA$55,MATCH(N$4,'2010'!$B$6:$B$55,0),MATCH($B13,'2010'!$C$1:$AA$1,0)),0)</f>
        <v>0</v>
      </c>
      <c r="O13" s="118">
        <f>_xlfn.IFNA(INDEX('2010'!$C$6:$AA$55,MATCH(O$4,'2010'!$B$6:$B$55,0),MATCH($B13,'2010'!$C$1:$AA$1,0)),0)</f>
        <v>0</v>
      </c>
      <c r="P13" s="118">
        <f t="shared" si="0"/>
        <v>0</v>
      </c>
    </row>
    <row r="14" spans="2:16" ht="12.75" customHeight="1">
      <c r="B14" s="631" t="s">
        <v>590</v>
      </c>
      <c r="C14" s="118">
        <f>_xlfn.IFNA(INDEX('2010'!$C$6:$AA$55,MATCH(C$4,'2010'!$B$6:$B$55,0),MATCH($B14,'2010'!$C$1:$AA$1,0)),0)</f>
        <v>0</v>
      </c>
      <c r="D14" s="118">
        <f>_xlfn.IFNA(INDEX('2010'!$C$6:$AA$55,MATCH(D$4,'2010'!$B$6:$B$55,0),MATCH($B14,'2010'!$C$1:$AA$1,0)),0)</f>
        <v>0</v>
      </c>
      <c r="E14" s="118">
        <f>_xlfn.IFNA(INDEX('2010'!$C$6:$AA$55,MATCH(E$4,'2010'!$B$6:$B$55,0),MATCH($B14,'2010'!$C$1:$AA$1,0)),0)</f>
        <v>0</v>
      </c>
      <c r="F14" s="118">
        <f>_xlfn.IFNA(INDEX('2010'!$C$6:$AA$55,MATCH(F$4,'2010'!$B$6:$B$55,0),MATCH($B14,'2010'!$C$1:$AA$1,0)),0)</f>
        <v>0</v>
      </c>
      <c r="G14" s="118">
        <f>_xlfn.IFNA(INDEX('2010'!$C$6:$AA$55,MATCH(G$4,'2010'!$B$6:$B$55,0),MATCH($B14,'2010'!$C$1:$AA$1,0)),0)</f>
        <v>0</v>
      </c>
      <c r="H14" s="118">
        <f>_xlfn.IFNA(INDEX('2010'!$C$6:$AA$55,MATCH(H$4,'2010'!$B$6:$B$55,0),MATCH($B14,'2010'!$C$1:$AA$1,0)),0)</f>
        <v>0</v>
      </c>
      <c r="I14" s="118">
        <f>_xlfn.IFNA(INDEX('2010'!$C$6:$AA$55,MATCH(I$4,'2010'!$B$6:$B$55,0),MATCH($B14,'2010'!$C$1:$AA$1,0)),0)</f>
        <v>0</v>
      </c>
      <c r="J14" s="118">
        <f>_xlfn.IFNA(INDEX('2010'!$C$6:$AA$55,MATCH(J$4,'2010'!$B$6:$B$55,0),MATCH($B14,'2010'!$C$1:$AA$1,0)),0)</f>
        <v>0</v>
      </c>
      <c r="K14" s="118">
        <f>_xlfn.IFNA(INDEX('2010'!$C$6:$AA$55,MATCH(K$4,'2010'!$B$6:$B$55,0),MATCH($B14,'2010'!$C$1:$AA$1,0)),0)</f>
        <v>0</v>
      </c>
      <c r="L14" s="118">
        <f>_xlfn.IFNA(INDEX('2010'!$C$6:$AA$55,MATCH(L$4,'2010'!$B$6:$B$55,0),MATCH($B14,'2010'!$C$1:$AA$1,0)),0)</f>
        <v>0</v>
      </c>
      <c r="M14" s="118">
        <f>_xlfn.IFNA(INDEX('2010'!$C$6:$AA$55,MATCH(M$4,'2010'!$B$6:$B$55,0),MATCH($B14,'2010'!$C$1:$AA$1,0)),0)</f>
        <v>0</v>
      </c>
      <c r="N14" s="118">
        <f>_xlfn.IFNA(INDEX('2010'!$C$6:$AA$55,MATCH(N$4,'2010'!$B$6:$B$55,0),MATCH($B14,'2010'!$C$1:$AA$1,0)),0)</f>
        <v>0</v>
      </c>
      <c r="O14" s="118">
        <f>_xlfn.IFNA(INDEX('2010'!$C$6:$AA$55,MATCH(O$4,'2010'!$B$6:$B$55,0),MATCH($B14,'2010'!$C$1:$AA$1,0)),0)</f>
        <v>0</v>
      </c>
      <c r="P14" s="118">
        <f t="shared" si="0"/>
        <v>0</v>
      </c>
    </row>
    <row r="15" spans="2:16" ht="12.75" customHeight="1">
      <c r="B15" s="631" t="s">
        <v>597</v>
      </c>
      <c r="C15" s="118">
        <f>_xlfn.IFNA(INDEX('2010'!$C$6:$AA$55,MATCH(C$4,'2010'!$B$6:$B$55,0),MATCH($B15,'2010'!$C$1:$AA$1,0)),0)</f>
        <v>0</v>
      </c>
      <c r="D15" s="118">
        <f>_xlfn.IFNA(INDEX('2010'!$C$6:$AA$55,MATCH(D$4,'2010'!$B$6:$B$55,0),MATCH($B15,'2010'!$C$1:$AA$1,0)),0)</f>
        <v>0</v>
      </c>
      <c r="E15" s="118">
        <f>_xlfn.IFNA(INDEX('2010'!$C$6:$AA$55,MATCH(E$4,'2010'!$B$6:$B$55,0),MATCH($B15,'2010'!$C$1:$AA$1,0)),0)</f>
        <v>0</v>
      </c>
      <c r="F15" s="118">
        <f>_xlfn.IFNA(INDEX('2010'!$C$6:$AA$55,MATCH(F$4,'2010'!$B$6:$B$55,0),MATCH($B15,'2010'!$C$1:$AA$1,0)),0)</f>
        <v>0</v>
      </c>
      <c r="G15" s="118">
        <f>_xlfn.IFNA(INDEX('2010'!$C$6:$AA$55,MATCH(G$4,'2010'!$B$6:$B$55,0),MATCH($B15,'2010'!$C$1:$AA$1,0)),0)</f>
        <v>0</v>
      </c>
      <c r="H15" s="118">
        <f>_xlfn.IFNA(INDEX('2010'!$C$6:$AA$55,MATCH(H$4,'2010'!$B$6:$B$55,0),MATCH($B15,'2010'!$C$1:$AA$1,0)),0)</f>
        <v>0</v>
      </c>
      <c r="I15" s="118">
        <f>_xlfn.IFNA(INDEX('2010'!$C$6:$AA$55,MATCH(I$4,'2010'!$B$6:$B$55,0),MATCH($B15,'2010'!$C$1:$AA$1,0)),0)</f>
        <v>0</v>
      </c>
      <c r="J15" s="118">
        <f>_xlfn.IFNA(INDEX('2010'!$C$6:$AA$55,MATCH(J$4,'2010'!$B$6:$B$55,0),MATCH($B15,'2010'!$C$1:$AA$1,0)),0)</f>
        <v>0</v>
      </c>
      <c r="K15" s="118">
        <f>_xlfn.IFNA(INDEX('2010'!$C$6:$AA$55,MATCH(K$4,'2010'!$B$6:$B$55,0),MATCH($B15,'2010'!$C$1:$AA$1,0)),0)</f>
        <v>0</v>
      </c>
      <c r="L15" s="118">
        <f>_xlfn.IFNA(INDEX('2010'!$C$6:$AA$55,MATCH(L$4,'2010'!$B$6:$B$55,0),MATCH($B15,'2010'!$C$1:$AA$1,0)),0)</f>
        <v>0</v>
      </c>
      <c r="M15" s="118">
        <f>_xlfn.IFNA(INDEX('2010'!$C$6:$AA$55,MATCH(M$4,'2010'!$B$6:$B$55,0),MATCH($B15,'2010'!$C$1:$AA$1,0)),0)</f>
        <v>0</v>
      </c>
      <c r="N15" s="118">
        <f>_xlfn.IFNA(INDEX('2010'!$C$6:$AA$55,MATCH(N$4,'2010'!$B$6:$B$55,0),MATCH($B15,'2010'!$C$1:$AA$1,0)),0)</f>
        <v>0</v>
      </c>
      <c r="O15" s="118">
        <f>_xlfn.IFNA(INDEX('2010'!$C$6:$AA$55,MATCH(O$4,'2010'!$B$6:$B$55,0),MATCH($B15,'2010'!$C$1:$AA$1,0)),0)</f>
        <v>0</v>
      </c>
      <c r="P15" s="118">
        <f t="shared" si="0"/>
        <v>0</v>
      </c>
    </row>
    <row r="16" spans="2:16" ht="12.75" customHeight="1">
      <c r="B16" s="631" t="s">
        <v>591</v>
      </c>
      <c r="C16" s="118">
        <f>_xlfn.IFNA(INDEX('2010'!$C$6:$AA$55,MATCH(C$4,'2010'!$B$6:$B$55,0),MATCH($B16,'2010'!$C$1:$AA$1,0)),0)</f>
        <v>134.768</v>
      </c>
      <c r="D16" s="118">
        <f>_xlfn.IFNA(INDEX('2010'!$C$6:$AA$55,MATCH(D$4,'2010'!$B$6:$B$55,0),MATCH($B16,'2010'!$C$1:$AA$1,0)),0)</f>
        <v>168.46</v>
      </c>
      <c r="E16" s="118">
        <f>_xlfn.IFNA(INDEX('2010'!$C$6:$AA$55,MATCH(E$4,'2010'!$B$6:$B$55,0),MATCH($B16,'2010'!$C$1:$AA$1,0)),0)</f>
        <v>0</v>
      </c>
      <c r="F16" s="118">
        <f>_xlfn.IFNA(INDEX('2010'!$C$6:$AA$55,MATCH(F$4,'2010'!$B$6:$B$55,0),MATCH($B16,'2010'!$C$1:$AA$1,0)),0)</f>
        <v>1111.836</v>
      </c>
      <c r="G16" s="118">
        <f>_xlfn.IFNA(INDEX('2010'!$C$6:$AA$55,MATCH(G$4,'2010'!$B$6:$B$55,0),MATCH($B16,'2010'!$C$1:$AA$1,0)),0)</f>
        <v>101.07599999999999</v>
      </c>
      <c r="H16" s="118">
        <f>_xlfn.IFNA(INDEX('2010'!$C$6:$AA$55,MATCH(H$4,'2010'!$B$6:$B$55,0),MATCH($B16,'2010'!$C$1:$AA$1,0)),0)</f>
        <v>168.46</v>
      </c>
      <c r="I16" s="118">
        <f>_xlfn.IFNA(INDEX('2010'!$C$6:$AA$55,MATCH(I$4,'2010'!$B$6:$B$55,0),MATCH($B16,'2010'!$C$1:$AA$1,0)),0)</f>
        <v>67.384</v>
      </c>
      <c r="J16" s="118">
        <f>_xlfn.IFNA(INDEX('2010'!$C$6:$AA$55,MATCH(J$4,'2010'!$B$6:$B$55,0),MATCH($B16,'2010'!$C$1:$AA$1,0)),0)</f>
        <v>235.84399999999999</v>
      </c>
      <c r="K16" s="118">
        <f>_xlfn.IFNA(INDEX('2010'!$C$6:$AA$55,MATCH(K$4,'2010'!$B$6:$B$55,0),MATCH($B16,'2010'!$C$1:$AA$1,0)),0)</f>
        <v>0</v>
      </c>
      <c r="L16" s="118">
        <f>_xlfn.IFNA(INDEX('2010'!$C$6:$AA$55,MATCH(L$4,'2010'!$B$6:$B$55,0),MATCH($B16,'2010'!$C$1:$AA$1,0)),0)</f>
        <v>0</v>
      </c>
      <c r="M16" s="118">
        <f>_xlfn.IFNA(INDEX('2010'!$C$6:$AA$55,MATCH(M$4,'2010'!$B$6:$B$55,0),MATCH($B16,'2010'!$C$1:$AA$1,0)),0)</f>
        <v>0</v>
      </c>
      <c r="N16" s="118">
        <f>_xlfn.IFNA(INDEX('2010'!$C$6:$AA$55,MATCH(N$4,'2010'!$B$6:$B$55,0),MATCH($B16,'2010'!$C$1:$AA$1,0)),0)</f>
        <v>0</v>
      </c>
      <c r="O16" s="118">
        <f>_xlfn.IFNA(INDEX('2010'!$C$6:$AA$55,MATCH(O$4,'2010'!$B$6:$B$55,0),MATCH($B16,'2010'!$C$1:$AA$1,0)),0)</f>
        <v>33.692</v>
      </c>
      <c r="P16" s="118">
        <f t="shared" si="0"/>
        <v>2021.5200000000002</v>
      </c>
    </row>
    <row r="17" spans="2:19" ht="12.75" customHeight="1">
      <c r="B17" s="129" t="s">
        <v>78</v>
      </c>
      <c r="C17" s="118">
        <f>_xlfn.IFNA(INDEX('2010'!$C$6:$AA$55,MATCH(C$4,'2010'!$B$6:$B$55,0),MATCH($B17,'2010'!$C$1:$AA$1,0)),0)</f>
        <v>0</v>
      </c>
      <c r="D17" s="118">
        <f>_xlfn.IFNA(INDEX('2010'!$C$6:$AA$55,MATCH(D$4,'2010'!$B$6:$B$55,0),MATCH($B17,'2010'!$C$1:$AA$1,0)),0)</f>
        <v>1701</v>
      </c>
      <c r="E17" s="118">
        <f>_xlfn.IFNA(INDEX('2010'!$C$6:$AA$55,MATCH(E$4,'2010'!$B$6:$B$55,0),MATCH($B17,'2010'!$C$1:$AA$1,0)),0)</f>
        <v>0</v>
      </c>
      <c r="F17" s="118">
        <f>_xlfn.IFNA(INDEX('2010'!$C$6:$AA$55,MATCH(F$4,'2010'!$B$6:$B$55,0),MATCH($B17,'2010'!$C$1:$AA$1,0)),0)</f>
        <v>6041</v>
      </c>
      <c r="G17" s="118">
        <f>_xlfn.IFNA(INDEX('2010'!$C$6:$AA$55,MATCH(G$4,'2010'!$B$6:$B$55,0),MATCH($B17,'2010'!$C$1:$AA$1,0)),0)</f>
        <v>239</v>
      </c>
      <c r="H17" s="118">
        <f>_xlfn.IFNA(INDEX('2010'!$C$6:$AA$55,MATCH(H$4,'2010'!$B$6:$B$55,0),MATCH($B17,'2010'!$C$1:$AA$1,0)),0)</f>
        <v>1648</v>
      </c>
      <c r="I17" s="118">
        <f>_xlfn.IFNA(INDEX('2010'!$C$6:$AA$55,MATCH(I$4,'2010'!$B$6:$B$55,0),MATCH($B17,'2010'!$C$1:$AA$1,0)),0)</f>
        <v>571</v>
      </c>
      <c r="J17" s="118">
        <f>_xlfn.IFNA(INDEX('2010'!$C$6:$AA$55,MATCH(J$4,'2010'!$B$6:$B$55,0),MATCH($B17,'2010'!$C$1:$AA$1,0)),0)</f>
        <v>1184</v>
      </c>
      <c r="K17" s="118">
        <f>_xlfn.IFNA(INDEX('2010'!$C$6:$AA$55,MATCH(K$4,'2010'!$B$6:$B$55,0),MATCH($B17,'2010'!$C$1:$AA$1,0)),0)</f>
        <v>39709</v>
      </c>
      <c r="L17" s="118">
        <f>_xlfn.IFNA(INDEX('2010'!$C$6:$AA$55,MATCH(L$4,'2010'!$B$6:$B$55,0),MATCH($B17,'2010'!$C$1:$AA$1,0)),0)</f>
        <v>45952</v>
      </c>
      <c r="M17" s="118">
        <f>_xlfn.IFNA(INDEX('2010'!$C$6:$AA$55,MATCH(M$4,'2010'!$B$6:$B$55,0),MATCH($B17,'2010'!$C$1:$AA$1,0)),0)</f>
        <v>88</v>
      </c>
      <c r="N17" s="118">
        <f>_xlfn.IFNA(INDEX('2010'!$C$6:$AA$55,MATCH(N$4,'2010'!$B$6:$B$55,0),MATCH($B17,'2010'!$C$1:$AA$1,0)),0)</f>
        <v>0</v>
      </c>
      <c r="O17" s="118">
        <f>_xlfn.IFNA(INDEX('2010'!$C$6:$AA$55,MATCH(O$4,'2010'!$B$6:$B$55,0),MATCH($B17,'2010'!$C$1:$AA$1,0)),0)</f>
        <v>3985</v>
      </c>
      <c r="P17" s="118">
        <f>SUM(C17:O17)</f>
        <v>101118</v>
      </c>
      <c r="R17" s="128">
        <v>0.2</v>
      </c>
      <c r="S17" s="128" t="s">
        <v>507</v>
      </c>
    </row>
    <row r="18" spans="2:19" ht="12.75" customHeight="1">
      <c r="B18" s="129" t="s">
        <v>80</v>
      </c>
      <c r="C18" s="118">
        <f>_xlfn.IFNA(INDEX('2010'!$C$6:$AA$55,MATCH(C$4,'2010'!$B$6:$B$55,0),MATCH($B18,'2010'!$C$1:$AA$1,0)),0)</f>
        <v>0</v>
      </c>
      <c r="D18" s="118">
        <f>_xlfn.IFNA(INDEX('2010'!$C$6:$AA$55,MATCH(D$4,'2010'!$B$6:$B$55,0),MATCH($B18,'2010'!$C$1:$AA$1,0)),0)</f>
        <v>6545</v>
      </c>
      <c r="E18" s="118">
        <f>_xlfn.IFNA(INDEX('2010'!$C$6:$AA$55,MATCH(E$4,'2010'!$B$6:$B$55,0),MATCH($B18,'2010'!$C$1:$AA$1,0)),0)</f>
        <v>312</v>
      </c>
      <c r="F18" s="118">
        <f>_xlfn.IFNA(INDEX('2010'!$C$6:$AA$55,MATCH(F$4,'2010'!$B$6:$B$55,0),MATCH($B18,'2010'!$C$1:$AA$1,0)),0)</f>
        <v>33264</v>
      </c>
      <c r="G18" s="118">
        <f>_xlfn.IFNA(INDEX('2010'!$C$6:$AA$55,MATCH(G$4,'2010'!$B$6:$B$55,0),MATCH($B18,'2010'!$C$1:$AA$1,0)),0)</f>
        <v>0</v>
      </c>
      <c r="H18" s="118">
        <f>_xlfn.IFNA(INDEX('2010'!$C$6:$AA$55,MATCH(H$4,'2010'!$B$6:$B$55,0),MATCH($B18,'2010'!$C$1:$AA$1,0)),0)</f>
        <v>8</v>
      </c>
      <c r="I18" s="118">
        <f>_xlfn.IFNA(INDEX('2010'!$C$6:$AA$55,MATCH(I$4,'2010'!$B$6:$B$55,0),MATCH($B18,'2010'!$C$1:$AA$1,0)),0)</f>
        <v>0</v>
      </c>
      <c r="J18" s="118">
        <f>_xlfn.IFNA(INDEX('2010'!$C$6:$AA$55,MATCH(J$4,'2010'!$B$6:$B$55,0),MATCH($B18,'2010'!$C$1:$AA$1,0)),0)</f>
        <v>384</v>
      </c>
      <c r="K18" s="118">
        <f>_xlfn.IFNA(INDEX('2010'!$C$6:$AA$55,MATCH(K$4,'2010'!$B$6:$B$55,0),MATCH($B18,'2010'!$C$1:$AA$1,0)),0)</f>
        <v>2134</v>
      </c>
      <c r="L18" s="118">
        <f>_xlfn.IFNA(INDEX('2010'!$C$6:$AA$55,MATCH(L$4,'2010'!$B$6:$B$55,0),MATCH($B18,'2010'!$C$1:$AA$1,0)),0)</f>
        <v>0</v>
      </c>
      <c r="M18" s="118">
        <f>_xlfn.IFNA(INDEX('2010'!$C$6:$AA$55,MATCH(M$4,'2010'!$B$6:$B$55,0),MATCH($B18,'2010'!$C$1:$AA$1,0)),0)</f>
        <v>0</v>
      </c>
      <c r="N18" s="118">
        <f>_xlfn.IFNA(INDEX('2010'!$C$6:$AA$55,MATCH(N$4,'2010'!$B$6:$B$55,0),MATCH($B18,'2010'!$C$1:$AA$1,0)),0)</f>
        <v>0</v>
      </c>
      <c r="O18" s="118">
        <f>_xlfn.IFNA(INDEX('2010'!$C$6:$AA$55,MATCH(O$4,'2010'!$B$6:$B$55,0),MATCH($B18,'2010'!$C$1:$AA$1,0)),0)</f>
        <v>5</v>
      </c>
      <c r="P18" s="118">
        <f t="shared" si="0"/>
        <v>42652</v>
      </c>
      <c r="R18" s="128">
        <f>1-R17</f>
        <v>0.8</v>
      </c>
      <c r="S18" s="128" t="s">
        <v>507</v>
      </c>
    </row>
    <row r="19" spans="2:19" ht="12.75" customHeight="1">
      <c r="B19" s="129" t="s">
        <v>50</v>
      </c>
      <c r="C19" s="118">
        <f>_xlfn.IFNA(INDEX('2010'!$C$6:$AA$55,MATCH(C$4,'2010'!$B$6:$B$55,0),MATCH($B19,'2010'!$C$1:$AA$1,0)),0)</f>
        <v>97534.8</v>
      </c>
      <c r="D19" s="118">
        <f>_xlfn.IFNA(INDEX('2010'!$C$6:$AA$55,MATCH(D$4,'2010'!$B$6:$B$55,0),MATCH($B19,'2010'!$C$1:$AA$1,0)),0)</f>
        <v>188413.2</v>
      </c>
      <c r="E19" s="118">
        <f>_xlfn.IFNA(INDEX('2010'!$C$6:$AA$55,MATCH(E$4,'2010'!$B$6:$B$55,0),MATCH($B19,'2010'!$C$1:$AA$1,0)),0)</f>
        <v>49122</v>
      </c>
      <c r="F19" s="118">
        <f>_xlfn.IFNA(INDEX('2010'!$C$6:$AA$55,MATCH(F$4,'2010'!$B$6:$B$55,0),MATCH($B19,'2010'!$C$1:$AA$1,0)),0)</f>
        <v>44042.400000000001</v>
      </c>
      <c r="G19" s="118">
        <f>_xlfn.IFNA(INDEX('2010'!$C$6:$AA$55,MATCH(G$4,'2010'!$B$6:$B$55,0),MATCH($B19,'2010'!$C$1:$AA$1,0)),0)</f>
        <v>64216.800000000003</v>
      </c>
      <c r="H19" s="118">
        <f>_xlfn.IFNA(INDEX('2010'!$C$6:$AA$55,MATCH(H$4,'2010'!$B$6:$B$55,0),MATCH($B19,'2010'!$C$1:$AA$1,0)),0)</f>
        <v>118476</v>
      </c>
      <c r="I19" s="118">
        <f>_xlfn.IFNA(INDEX('2010'!$C$6:$AA$55,MATCH(I$4,'2010'!$B$6:$B$55,0),MATCH($B19,'2010'!$C$1:$AA$1,0)),0)</f>
        <v>7768.8</v>
      </c>
      <c r="J19" s="118">
        <f>_xlfn.IFNA(INDEX('2010'!$C$6:$AA$55,MATCH(J$4,'2010'!$B$6:$B$55,0),MATCH($B19,'2010'!$C$1:$AA$1,0)),0)</f>
        <v>63090</v>
      </c>
      <c r="K19" s="118">
        <f>_xlfn.IFNA(INDEX('2010'!$C$6:$AA$55,MATCH(K$4,'2010'!$B$6:$B$55,0),MATCH($B19,'2010'!$C$1:$AA$1,0)),0)</f>
        <v>87469.2</v>
      </c>
      <c r="L19" s="118">
        <f>_xlfn.IFNA(INDEX('2010'!$C$6:$AA$55,MATCH(L$4,'2010'!$B$6:$B$55,0),MATCH($B19,'2010'!$C$1:$AA$1,0)),0)</f>
        <v>16236</v>
      </c>
      <c r="M19" s="118">
        <f>_xlfn.IFNA(INDEX('2010'!$C$6:$AA$55,MATCH(M$4,'2010'!$B$6:$B$55,0),MATCH($B19,'2010'!$C$1:$AA$1,0)),0)</f>
        <v>8935.2000000000007</v>
      </c>
      <c r="N19" s="118">
        <f>_xlfn.IFNA(INDEX('2010'!$C$6:$AA$55,MATCH(N$4,'2010'!$B$6:$B$55,0),MATCH($B19,'2010'!$C$1:$AA$1,0)),0)</f>
        <v>14310</v>
      </c>
      <c r="O19" s="118">
        <f>_xlfn.IFNA(INDEX('2010'!$C$6:$AA$55,MATCH(O$4,'2010'!$B$6:$B$55,0),MATCH($B19,'2010'!$C$1:$AA$1,0)),0)</f>
        <v>63003.6</v>
      </c>
      <c r="P19" s="118">
        <f t="shared" si="0"/>
        <v>822617.99999999988</v>
      </c>
    </row>
    <row r="20" spans="2:19" ht="12.75" customHeight="1">
      <c r="B20" s="130" t="s">
        <v>52</v>
      </c>
      <c r="C20" s="118">
        <f>_xlfn.IFNA(INDEX('2010'!$C$6:$AA$55,MATCH(C$4,'2010'!$B$6:$B$55,0),MATCH($B20,'2010'!$C$1:$AA$1,0)),0)</f>
        <v>1774</v>
      </c>
      <c r="D20" s="118">
        <f>_xlfn.IFNA(INDEX('2010'!$C$6:$AA$55,MATCH(D$4,'2010'!$B$6:$B$55,0),MATCH($B20,'2010'!$C$1:$AA$1,0)),0)</f>
        <v>75475</v>
      </c>
      <c r="E20" s="118">
        <f>_xlfn.IFNA(INDEX('2010'!$C$6:$AA$55,MATCH(E$4,'2010'!$B$6:$B$55,0),MATCH($B20,'2010'!$C$1:$AA$1,0)),0)</f>
        <v>2571</v>
      </c>
      <c r="F20" s="118">
        <f>_xlfn.IFNA(INDEX('2010'!$C$6:$AA$55,MATCH(F$4,'2010'!$B$6:$B$55,0),MATCH($B20,'2010'!$C$1:$AA$1,0)),0)</f>
        <v>608</v>
      </c>
      <c r="G20" s="118">
        <f>_xlfn.IFNA(INDEX('2010'!$C$6:$AA$55,MATCH(G$4,'2010'!$B$6:$B$55,0),MATCH($B20,'2010'!$C$1:$AA$1,0)),0)</f>
        <v>15937</v>
      </c>
      <c r="H20" s="118">
        <f>_xlfn.IFNA(INDEX('2010'!$C$6:$AA$55,MATCH(H$4,'2010'!$B$6:$B$55,0),MATCH($B20,'2010'!$C$1:$AA$1,0)),0)</f>
        <v>13136</v>
      </c>
      <c r="I20" s="118">
        <f>_xlfn.IFNA(INDEX('2010'!$C$6:$AA$55,MATCH(I$4,'2010'!$B$6:$B$55,0),MATCH($B20,'2010'!$C$1:$AA$1,0)),0)</f>
        <v>56</v>
      </c>
      <c r="J20" s="118">
        <f>_xlfn.IFNA(INDEX('2010'!$C$6:$AA$55,MATCH(J$4,'2010'!$B$6:$B$55,0),MATCH($B20,'2010'!$C$1:$AA$1,0)),0)</f>
        <v>5601</v>
      </c>
      <c r="K20" s="118">
        <f>_xlfn.IFNA(INDEX('2010'!$C$6:$AA$55,MATCH(K$4,'2010'!$B$6:$B$55,0),MATCH($B20,'2010'!$C$1:$AA$1,0)),0)</f>
        <v>17725</v>
      </c>
      <c r="L20" s="118">
        <f>_xlfn.IFNA(INDEX('2010'!$C$6:$AA$55,MATCH(L$4,'2010'!$B$6:$B$55,0),MATCH($B20,'2010'!$C$1:$AA$1,0)),0)</f>
        <v>4184</v>
      </c>
      <c r="M20" s="118">
        <f>_xlfn.IFNA(INDEX('2010'!$C$6:$AA$55,MATCH(M$4,'2010'!$B$6:$B$55,0),MATCH($B20,'2010'!$C$1:$AA$1,0)),0)</f>
        <v>2521</v>
      </c>
      <c r="N20" s="118">
        <f>_xlfn.IFNA(INDEX('2010'!$C$6:$AA$55,MATCH(N$4,'2010'!$B$6:$B$55,0),MATCH($B20,'2010'!$C$1:$AA$1,0)),0)</f>
        <v>0</v>
      </c>
      <c r="O20" s="118">
        <f>_xlfn.IFNA(INDEX('2010'!$C$6:$AA$55,MATCH(O$4,'2010'!$B$6:$B$55,0),MATCH($B20,'2010'!$C$1:$AA$1,0)),0)</f>
        <v>6434</v>
      </c>
      <c r="P20" s="118">
        <f t="shared" si="0"/>
        <v>146022</v>
      </c>
    </row>
    <row r="21" spans="2:19" ht="12.75" customHeight="1">
      <c r="B21" s="129" t="s">
        <v>437</v>
      </c>
      <c r="C21" s="118">
        <f>SUM(C12:C18)</f>
        <v>134.768</v>
      </c>
      <c r="D21" s="118">
        <f t="shared" ref="D21:P21" si="2">SUM(D12:D18)</f>
        <v>13253.46</v>
      </c>
      <c r="E21" s="118">
        <f t="shared" si="2"/>
        <v>329</v>
      </c>
      <c r="F21" s="118">
        <f t="shared" si="2"/>
        <v>40433.836000000003</v>
      </c>
      <c r="G21" s="118">
        <f t="shared" si="2"/>
        <v>340.07600000000002</v>
      </c>
      <c r="H21" s="118">
        <f t="shared" si="2"/>
        <v>1857.46</v>
      </c>
      <c r="I21" s="118">
        <f t="shared" si="2"/>
        <v>638.38400000000001</v>
      </c>
      <c r="J21" s="118">
        <f t="shared" si="2"/>
        <v>2386.8440000000001</v>
      </c>
      <c r="K21" s="118">
        <f t="shared" si="2"/>
        <v>42786</v>
      </c>
      <c r="L21" s="118">
        <f t="shared" si="2"/>
        <v>45952</v>
      </c>
      <c r="M21" s="118">
        <f t="shared" si="2"/>
        <v>103</v>
      </c>
      <c r="N21" s="118">
        <f t="shared" si="2"/>
        <v>0</v>
      </c>
      <c r="O21" s="118">
        <f t="shared" si="2"/>
        <v>4089.692</v>
      </c>
      <c r="P21" s="118">
        <f t="shared" si="2"/>
        <v>152304.52000000002</v>
      </c>
    </row>
    <row r="22" spans="2:19" ht="12.75" customHeight="1">
      <c r="B22" s="118" t="s">
        <v>506</v>
      </c>
      <c r="C22" s="118">
        <f>SUM(C5:C20)</f>
        <v>330679.84200000006</v>
      </c>
      <c r="D22" s="118">
        <f>SUM(D5:D20)</f>
        <v>575260.91899999999</v>
      </c>
      <c r="E22" s="118">
        <f>SUM(E5:E20)</f>
        <v>87781.460999999996</v>
      </c>
      <c r="F22" s="118">
        <f>SUM(F5:F20)</f>
        <v>265634.53200000001</v>
      </c>
      <c r="G22" s="118">
        <f>SUM(G5:G20)</f>
        <v>123559.23300000001</v>
      </c>
      <c r="H22" s="118">
        <f>SUM(H5:H20)</f>
        <v>232370.024</v>
      </c>
      <c r="I22" s="118">
        <f>SUM(I5:I20)</f>
        <v>18408.965</v>
      </c>
      <c r="J22" s="118">
        <f>SUM(J5:J20)</f>
        <v>201710.19500000001</v>
      </c>
      <c r="K22" s="118">
        <f>SUM(K5:K20)</f>
        <v>262418.07900000003</v>
      </c>
      <c r="L22" s="118">
        <f>SUM(L5:L20)</f>
        <v>75463.909</v>
      </c>
      <c r="M22" s="118">
        <f>SUM(M5:M20)</f>
        <v>24704.762000000002</v>
      </c>
      <c r="N22" s="118">
        <f>SUM(N5:N20)</f>
        <v>36138.853999999999</v>
      </c>
      <c r="O22" s="118">
        <f>SUM(O5:O20)</f>
        <v>113621.549</v>
      </c>
      <c r="P22" s="118">
        <f>SUM(C22:O22)</f>
        <v>2347752.3240000005</v>
      </c>
    </row>
    <row r="23" spans="2:19" ht="12.75" customHeight="1">
      <c r="B23" s="118" t="s">
        <v>57</v>
      </c>
      <c r="C23" s="118">
        <f>_xlfn.IFNA(INDEX('2010'!$C$6:$AB$55,MATCH(C$4,'2010'!$B$6:$B$55,0),MATCH($B23,'2010'!$C$1:$AB$1,0)),0)</f>
        <v>330774.06900000002</v>
      </c>
      <c r="D23" s="118">
        <f>_xlfn.IFNA(INDEX('2010'!$C$6:$AB$55,MATCH(D$4,'2010'!$B$6:$B$55,0),MATCH($B23,'2010'!$C$1:$AB$1,0)),0)</f>
        <v>588419.799</v>
      </c>
      <c r="E23" s="118">
        <f>_xlfn.IFNA(INDEX('2010'!$C$6:$AB$55,MATCH(E$4,'2010'!$B$6:$B$55,0),MATCH($B23,'2010'!$C$1:$AB$1,0)),0)</f>
        <v>89446.138000000006</v>
      </c>
      <c r="F23" s="118">
        <f>_xlfn.IFNA(INDEX('2010'!$C$6:$AB$55,MATCH(F$4,'2010'!$B$6:$B$55,0),MATCH($B23,'2010'!$C$1:$AB$1,0)),0)</f>
        <v>272879.16200000001</v>
      </c>
      <c r="G23" s="118">
        <f>_xlfn.IFNA(INDEX('2010'!$C$6:$AB$55,MATCH(G$4,'2010'!$B$6:$B$55,0),MATCH($B23,'2010'!$C$1:$AB$1,0)),0)</f>
        <v>123559.23300000001</v>
      </c>
      <c r="H23" s="118">
        <f>_xlfn.IFNA(INDEX('2010'!$C$6:$AB$55,MATCH(H$4,'2010'!$B$6:$B$55,0),MATCH($B23,'2010'!$C$1:$AB$1,0)),0)</f>
        <v>232432.842</v>
      </c>
      <c r="I23" s="118">
        <f>_xlfn.IFNA(INDEX('2010'!$C$6:$AB$55,MATCH(I$4,'2010'!$B$6:$B$55,0),MATCH($B23,'2010'!$C$1:$AB$1,0)),0)</f>
        <v>18503.191999999999</v>
      </c>
      <c r="J23" s="118">
        <f>_xlfn.IFNA(INDEX('2010'!$C$6:$AB$55,MATCH(J$4,'2010'!$B$6:$B$55,0),MATCH($B23,'2010'!$C$1:$AB$1,0)),0)</f>
        <v>201710.19500000001</v>
      </c>
      <c r="K23" s="118">
        <f>_xlfn.IFNA(INDEX('2010'!$C$6:$AB$55,MATCH(K$4,'2010'!$B$6:$B$55,0),MATCH($B23,'2010'!$C$1:$AB$1,0)),0)</f>
        <v>262458.24100000004</v>
      </c>
      <c r="L23" s="118">
        <f>_xlfn.IFNA(INDEX('2010'!$C$6:$AB$55,MATCH(L$4,'2010'!$B$6:$B$55,0),MATCH($B23,'2010'!$C$1:$AB$1,0)),0)</f>
        <v>75463.908999999985</v>
      </c>
      <c r="M23" s="118">
        <f>_xlfn.IFNA(INDEX('2010'!$C$6:$AB$55,MATCH(M$4,'2010'!$B$6:$B$55,0),MATCH($B23,'2010'!$C$1:$AB$1,0)),0)</f>
        <v>24704.761999999999</v>
      </c>
      <c r="N23" s="118">
        <f>_xlfn.IFNA(INDEX('2010'!$C$6:$AB$55,MATCH(N$4,'2010'!$B$6:$B$55,0),MATCH($B23,'2010'!$C$1:$AB$1,0)),0)</f>
        <v>36138.853999999999</v>
      </c>
      <c r="O23" s="118">
        <f>_xlfn.IFNA(INDEX('2010'!$C$6:$AB$55,MATCH(O$4,'2010'!$B$6:$B$55,0),MATCH($B23,'2010'!$C$1:$AB$1,0)),0)</f>
        <v>116123.69500000001</v>
      </c>
      <c r="P23" s="118">
        <f>SUM(C23:O23)</f>
        <v>2372614.091</v>
      </c>
    </row>
    <row r="24" spans="2:19" ht="12.75" customHeight="1">
      <c r="B24"/>
      <c r="C24"/>
      <c r="D24"/>
      <c r="E24"/>
      <c r="F24"/>
      <c r="G24"/>
      <c r="H24"/>
    </row>
    <row r="27" spans="2:19" ht="12.75" customHeight="1">
      <c r="B27" s="115">
        <v>2015</v>
      </c>
      <c r="C27" s="285"/>
      <c r="D27" s="286"/>
      <c r="E27" s="285"/>
      <c r="F27" s="286"/>
      <c r="G27" s="285"/>
      <c r="H27" s="285"/>
      <c r="I27" s="285"/>
      <c r="J27" s="285"/>
      <c r="K27" s="285"/>
      <c r="L27" s="285"/>
      <c r="M27" s="285"/>
      <c r="N27" s="285"/>
    </row>
    <row r="28" spans="2:19" ht="12.75" customHeight="1">
      <c r="B28" s="119"/>
      <c r="C28" s="120" t="s">
        <v>474</v>
      </c>
      <c r="D28" s="120" t="s">
        <v>475</v>
      </c>
      <c r="E28" s="120" t="s">
        <v>476</v>
      </c>
      <c r="F28" s="120" t="s">
        <v>477</v>
      </c>
      <c r="G28" s="120" t="s">
        <v>478</v>
      </c>
      <c r="H28" s="120" t="s">
        <v>342</v>
      </c>
      <c r="I28" s="120" t="s">
        <v>479</v>
      </c>
      <c r="J28" s="120" t="s">
        <v>480</v>
      </c>
      <c r="K28" s="120" t="s">
        <v>481</v>
      </c>
      <c r="L28" s="120" t="s">
        <v>482</v>
      </c>
      <c r="M28" s="120" t="s">
        <v>483</v>
      </c>
      <c r="N28" s="120" t="s">
        <v>253</v>
      </c>
      <c r="O28" s="120" t="s">
        <v>484</v>
      </c>
      <c r="P28" s="120" t="s">
        <v>150</v>
      </c>
    </row>
    <row r="29" spans="2:19" ht="12.75" customHeight="1">
      <c r="B29" s="129" t="s">
        <v>55</v>
      </c>
      <c r="C29" s="118">
        <f>_xlfn.IFNA(INDEX('2015'!$C$6:$AA$55,MATCH(C$4,'2015'!$B$6:$B$55,0),MATCH($B29,'2015'!$C$1:$AA$1,0)),0)</f>
        <v>38292.796000000002</v>
      </c>
      <c r="D29" s="118">
        <f>_xlfn.IFNA(INDEX('2015'!$C$6:$AA$55,MATCH(D$4,'2015'!$B$6:$B$55,0),MATCH($B29,'2015'!$C$1:$AA$1,0)),0)</f>
        <v>41000.930999999997</v>
      </c>
      <c r="E29" s="118">
        <f>_xlfn.IFNA(INDEX('2015'!$C$6:$AA$55,MATCH(E$4,'2015'!$B$6:$B$55,0),MATCH($B29,'2015'!$C$1:$AA$1,0)),0)</f>
        <v>1343.058</v>
      </c>
      <c r="F29" s="118">
        <f>_xlfn.IFNA(INDEX('2015'!$C$6:$AA$55,MATCH(F$4,'2015'!$B$6:$B$55,0),MATCH($B29,'2015'!$C$1:$AA$1,0)),0)</f>
        <v>57791.9</v>
      </c>
      <c r="G29" s="118">
        <f>_xlfn.IFNA(INDEX('2015'!$C$6:$AA$55,MATCH(G$4,'2015'!$B$6:$B$55,0),MATCH($B29,'2015'!$C$1:$AA$1,0)),0)</f>
        <v>126.816</v>
      </c>
      <c r="H29" s="118">
        <f>_xlfn.IFNA(INDEX('2015'!$C$6:$AA$55,MATCH(H$4,'2015'!$B$6:$B$55,0),MATCH($B29,'2015'!$C$1:$AA$1,0)),0)</f>
        <v>336.67700000000002</v>
      </c>
      <c r="I29" s="118">
        <f>_xlfn.IFNA(INDEX('2015'!$C$6:$AA$55,MATCH(I$4,'2015'!$B$6:$B$55,0),MATCH($B29,'2015'!$C$1:$AA$1,0)),0)</f>
        <v>2557.4859999999999</v>
      </c>
      <c r="J29" s="118">
        <f>_xlfn.IFNA(INDEX('2015'!$C$6:$AA$55,MATCH(J$4,'2015'!$B$6:$B$55,0),MATCH($B29,'2015'!$C$1:$AA$1,0)),0)</f>
        <v>8783.3140000000003</v>
      </c>
      <c r="K29" s="118">
        <f>_xlfn.IFNA(INDEX('2015'!$C$6:$AA$55,MATCH(K$4,'2015'!$B$6:$B$55,0),MATCH($B29,'2015'!$C$1:$AA$1,0)),0)</f>
        <v>15391.97</v>
      </c>
      <c r="L29" s="118">
        <f>_xlfn.IFNA(INDEX('2015'!$C$6:$AA$55,MATCH(L$4,'2015'!$B$6:$B$55,0),MATCH($B29,'2015'!$C$1:$AA$1,0)),0)</f>
        <v>0</v>
      </c>
      <c r="M29" s="118">
        <f>_xlfn.IFNA(INDEX('2015'!$C$6:$AA$55,MATCH(M$4,'2015'!$B$6:$B$55,0),MATCH($B29,'2015'!$C$1:$AA$1,0)),0)</f>
        <v>253.63200000000001</v>
      </c>
      <c r="N29" s="118">
        <f>_xlfn.IFNA(INDEX('2015'!$C$6:$AA$55,MATCH(N$4,'2015'!$B$6:$B$55,0),MATCH($B29,'2015'!$C$1:$AA$1,0)),0)</f>
        <v>0</v>
      </c>
      <c r="O29" s="118">
        <f>_xlfn.IFNA(INDEX('2015'!$C$6:$AA$55,MATCH(O$4,'2015'!$B$6:$B$55,0),MATCH($B29,'2015'!$C$1:$AA$1,0)),0)</f>
        <v>107.63500000000001</v>
      </c>
      <c r="P29" s="118">
        <f>SUM(C29:O29)</f>
        <v>165986.21500000003</v>
      </c>
    </row>
    <row r="30" spans="2:19" ht="12.75" customHeight="1">
      <c r="B30" s="129" t="s">
        <v>54</v>
      </c>
      <c r="C30" s="118">
        <f>_xlfn.IFNA(INDEX('2015'!$C$6:$AA$55,MATCH(C$4,'2015'!$B$6:$B$55,0),MATCH($B30,'2015'!$C$1:$AA$1,0)),0)</f>
        <v>0</v>
      </c>
      <c r="D30" s="118">
        <f>_xlfn.IFNA(INDEX('2015'!$C$6:$AA$55,MATCH(D$4,'2015'!$B$6:$B$55,0),MATCH($B30,'2015'!$C$1:$AA$1,0)),0)</f>
        <v>53525.79</v>
      </c>
      <c r="E30" s="118">
        <f>_xlfn.IFNA(INDEX('2015'!$C$6:$AA$55,MATCH(E$4,'2015'!$B$6:$B$55,0),MATCH($B30,'2015'!$C$1:$AA$1,0)),0)</f>
        <v>1222.05</v>
      </c>
      <c r="F30" s="118">
        <f>_xlfn.IFNA(INDEX('2015'!$C$6:$AA$55,MATCH(F$4,'2015'!$B$6:$B$55,0),MATCH($B30,'2015'!$C$1:$AA$1,0)),0)</f>
        <v>3462.4749999999999</v>
      </c>
      <c r="G30" s="118">
        <f>_xlfn.IFNA(INDEX('2015'!$C$6:$AA$55,MATCH(G$4,'2015'!$B$6:$B$55,0),MATCH($B30,'2015'!$C$1:$AA$1,0)),0)</f>
        <v>0</v>
      </c>
      <c r="H30" s="118">
        <f>_xlfn.IFNA(INDEX('2015'!$C$6:$AA$55,MATCH(H$4,'2015'!$B$6:$B$55,0),MATCH($B30,'2015'!$C$1:$AA$1,0)),0)</f>
        <v>40.734999999999999</v>
      </c>
      <c r="I30" s="118">
        <f>_xlfn.IFNA(INDEX('2015'!$C$6:$AA$55,MATCH(I$4,'2015'!$B$6:$B$55,0),MATCH($B30,'2015'!$C$1:$AA$1,0)),0)</f>
        <v>40.734999999999999</v>
      </c>
      <c r="J30" s="118">
        <f>_xlfn.IFNA(INDEX('2015'!$C$6:$AA$55,MATCH(J$4,'2015'!$B$6:$B$55,0),MATCH($B30,'2015'!$C$1:$AA$1,0)),0)</f>
        <v>1059.1099999999999</v>
      </c>
      <c r="K30" s="118">
        <f>_xlfn.IFNA(INDEX('2015'!$C$6:$AA$55,MATCH(K$4,'2015'!$B$6:$B$55,0),MATCH($B30,'2015'!$C$1:$AA$1,0)),0)</f>
        <v>366.61500000000001</v>
      </c>
      <c r="L30" s="118">
        <f>_xlfn.IFNA(INDEX('2015'!$C$6:$AA$55,MATCH(L$4,'2015'!$B$6:$B$55,0),MATCH($B30,'2015'!$C$1:$AA$1,0)),0)</f>
        <v>40.734999999999999</v>
      </c>
      <c r="M30" s="118">
        <f>_xlfn.IFNA(INDEX('2015'!$C$6:$AA$55,MATCH(M$4,'2015'!$B$6:$B$55,0),MATCH($B30,'2015'!$C$1:$AA$1,0)),0)</f>
        <v>81.47</v>
      </c>
      <c r="N30" s="118">
        <f>_xlfn.IFNA(INDEX('2015'!$C$6:$AA$55,MATCH(N$4,'2015'!$B$6:$B$55,0),MATCH($B30,'2015'!$C$1:$AA$1,0)),0)</f>
        <v>0</v>
      </c>
      <c r="O30" s="118">
        <f>_xlfn.IFNA(INDEX('2015'!$C$6:$AA$55,MATCH(O$4,'2015'!$B$6:$B$55,0),MATCH($B30,'2015'!$C$1:$AA$1,0)),0)</f>
        <v>81.47</v>
      </c>
      <c r="P30" s="118">
        <f t="shared" ref="P30:P40" si="3">SUM(C30:O30)</f>
        <v>59921.185000000005</v>
      </c>
    </row>
    <row r="31" spans="2:19" ht="12.75" customHeight="1">
      <c r="B31" s="129" t="s">
        <v>68</v>
      </c>
      <c r="C31" s="118">
        <f>_xlfn.IFNA(INDEX('2015'!$C$6:$AA$55,MATCH(C$4,'2015'!$B$6:$B$55,0),MATCH($B31,'2015'!$C$1:$AA$1,0)),0)</f>
        <v>3382.306</v>
      </c>
      <c r="D31" s="118">
        <f>_xlfn.IFNA(INDEX('2015'!$C$6:$AA$55,MATCH(D$4,'2015'!$B$6:$B$55,0),MATCH($B31,'2015'!$C$1:$AA$1,0)),0)</f>
        <v>813.46600000000001</v>
      </c>
      <c r="E31" s="118">
        <f>_xlfn.IFNA(INDEX('2015'!$C$6:$AA$55,MATCH(E$4,'2015'!$B$6:$B$55,0),MATCH($B31,'2015'!$C$1:$AA$1,0)),0)</f>
        <v>642.21</v>
      </c>
      <c r="F31" s="118">
        <f>_xlfn.IFNA(INDEX('2015'!$C$6:$AA$55,MATCH(F$4,'2015'!$B$6:$B$55,0),MATCH($B31,'2015'!$C$1:$AA$1,0)),0)</f>
        <v>3339.4920000000002</v>
      </c>
      <c r="G31" s="118">
        <f>_xlfn.IFNA(INDEX('2015'!$C$6:$AA$55,MATCH(G$4,'2015'!$B$6:$B$55,0),MATCH($B31,'2015'!$C$1:$AA$1,0)),0)</f>
        <v>1626.932</v>
      </c>
      <c r="H31" s="118">
        <f>_xlfn.IFNA(INDEX('2015'!$C$6:$AA$55,MATCH(H$4,'2015'!$B$6:$B$55,0),MATCH($B31,'2015'!$C$1:$AA$1,0)),0)</f>
        <v>8263.1020000000008</v>
      </c>
      <c r="I31" s="118">
        <f>_xlfn.IFNA(INDEX('2015'!$C$6:$AA$55,MATCH(I$4,'2015'!$B$6:$B$55,0),MATCH($B31,'2015'!$C$1:$AA$1,0)),0)</f>
        <v>642.21</v>
      </c>
      <c r="J31" s="118">
        <f>_xlfn.IFNA(INDEX('2015'!$C$6:$AA$55,MATCH(J$4,'2015'!$B$6:$B$55,0),MATCH($B31,'2015'!$C$1:$AA$1,0)),0)</f>
        <v>6464.9139999999998</v>
      </c>
      <c r="K31" s="118">
        <f>_xlfn.IFNA(INDEX('2015'!$C$6:$AA$55,MATCH(K$4,'2015'!$B$6:$B$55,0),MATCH($B31,'2015'!$C$1:$AA$1,0)),0)</f>
        <v>1070.3499999999999</v>
      </c>
      <c r="L31" s="118">
        <f>_xlfn.IFNA(INDEX('2015'!$C$6:$AA$55,MATCH(L$4,'2015'!$B$6:$B$55,0),MATCH($B31,'2015'!$C$1:$AA$1,0)),0)</f>
        <v>470.95400000000001</v>
      </c>
      <c r="M31" s="118">
        <f>_xlfn.IFNA(INDEX('2015'!$C$6:$AA$55,MATCH(M$4,'2015'!$B$6:$B$55,0),MATCH($B31,'2015'!$C$1:$AA$1,0)),0)</f>
        <v>813.46600000000001</v>
      </c>
      <c r="N31" s="118">
        <f>_xlfn.IFNA(INDEX('2015'!$C$6:$AA$55,MATCH(N$4,'2015'!$B$6:$B$55,0),MATCH($B31,'2015'!$C$1:$AA$1,0)),0)</f>
        <v>0</v>
      </c>
      <c r="O31" s="118">
        <f>_xlfn.IFNA(INDEX('2015'!$C$6:$AA$55,MATCH(O$4,'2015'!$B$6:$B$55,0),MATCH($B31,'2015'!$C$1:$AA$1,0)),0)</f>
        <v>3896.0740000000001</v>
      </c>
      <c r="P31" s="118">
        <f t="shared" si="3"/>
        <v>31425.476000000002</v>
      </c>
    </row>
    <row r="32" spans="2:19" ht="12.75" customHeight="1">
      <c r="B32" s="129" t="s">
        <v>79</v>
      </c>
      <c r="C32" s="118">
        <f>_xlfn.IFNA(INDEX('2015'!$C$6:$AA$55,MATCH(C$4,'2015'!$B$6:$B$55,0),MATCH($B32,'2015'!$C$1:$AA$1,0)),0)</f>
        <v>0</v>
      </c>
      <c r="D32" s="118">
        <f>_xlfn.IFNA(INDEX('2015'!$C$6:$AA$55,MATCH(D$4,'2015'!$B$6:$B$55,0),MATCH($B32,'2015'!$C$1:$AA$1,0)),0)</f>
        <v>0</v>
      </c>
      <c r="E32" s="118">
        <f>_xlfn.IFNA(INDEX('2015'!$C$6:$AA$55,MATCH(E$4,'2015'!$B$6:$B$55,0),MATCH($B32,'2015'!$C$1:$AA$1,0)),0)</f>
        <v>0</v>
      </c>
      <c r="F32" s="118">
        <f>_xlfn.IFNA(INDEX('2015'!$C$6:$AA$55,MATCH(F$4,'2015'!$B$6:$B$55,0),MATCH($B32,'2015'!$C$1:$AA$1,0)),0)</f>
        <v>0</v>
      </c>
      <c r="G32" s="118">
        <f>_xlfn.IFNA(INDEX('2015'!$C$6:$AA$55,MATCH(G$4,'2015'!$B$6:$B$55,0),MATCH($B32,'2015'!$C$1:$AA$1,0)),0)</f>
        <v>0</v>
      </c>
      <c r="H32" s="118">
        <f>_xlfn.IFNA(INDEX('2015'!$C$6:$AA$55,MATCH(H$4,'2015'!$B$6:$B$55,0),MATCH($B32,'2015'!$C$1:$AA$1,0)),0)</f>
        <v>0</v>
      </c>
      <c r="I32" s="118">
        <f>_xlfn.IFNA(INDEX('2015'!$C$6:$AA$55,MATCH(I$4,'2015'!$B$6:$B$55,0),MATCH($B32,'2015'!$C$1:$AA$1,0)),0)</f>
        <v>0</v>
      </c>
      <c r="J32" s="118">
        <f>_xlfn.IFNA(INDEX('2015'!$C$6:$AA$55,MATCH(J$4,'2015'!$B$6:$B$55,0),MATCH($B32,'2015'!$C$1:$AA$1,0)),0)</f>
        <v>0</v>
      </c>
      <c r="K32" s="118">
        <f>_xlfn.IFNA(INDEX('2015'!$C$6:$AA$55,MATCH(K$4,'2015'!$B$6:$B$55,0),MATCH($B32,'2015'!$C$1:$AA$1,0)),0)</f>
        <v>0</v>
      </c>
      <c r="L32" s="118">
        <f>_xlfn.IFNA(INDEX('2015'!$C$6:$AA$55,MATCH(L$4,'2015'!$B$6:$B$55,0),MATCH($B32,'2015'!$C$1:$AA$1,0)),0)</f>
        <v>0</v>
      </c>
      <c r="M32" s="118">
        <f>_xlfn.IFNA(INDEX('2015'!$C$6:$AA$55,MATCH(M$4,'2015'!$B$6:$B$55,0),MATCH($B32,'2015'!$C$1:$AA$1,0)),0)</f>
        <v>0</v>
      </c>
      <c r="N32" s="118">
        <f>_xlfn.IFNA(INDEX('2015'!$C$6:$AA$55,MATCH(N$4,'2015'!$B$6:$B$55,0),MATCH($B32,'2015'!$C$1:$AA$1,0)),0)</f>
        <v>0</v>
      </c>
      <c r="O32" s="118">
        <f>_xlfn.IFNA(INDEX('2015'!$C$6:$AA$55,MATCH(O$4,'2015'!$B$6:$B$55,0),MATCH($B32,'2015'!$C$1:$AA$1,0)),0)</f>
        <v>0</v>
      </c>
      <c r="P32" s="118">
        <f t="shared" si="3"/>
        <v>0</v>
      </c>
    </row>
    <row r="33" spans="2:19" ht="12.75" customHeight="1">
      <c r="B33" s="129" t="s">
        <v>53</v>
      </c>
      <c r="C33" s="118">
        <f>_xlfn.IFNA(INDEX('2015'!$C$6:$AA$55,MATCH(C$4,'2015'!$B$6:$B$55,0),MATCH($B33,'2015'!$C$1:$AA$1,0)),0)</f>
        <v>45.366</v>
      </c>
      <c r="D33" s="118">
        <f>_xlfn.IFNA(INDEX('2015'!$C$6:$AA$55,MATCH(D$4,'2015'!$B$6:$B$55,0),MATCH($B33,'2015'!$C$1:$AA$1,0)),0)</f>
        <v>0</v>
      </c>
      <c r="E33" s="118">
        <f>_xlfn.IFNA(INDEX('2015'!$C$6:$AA$55,MATCH(E$4,'2015'!$B$6:$B$55,0),MATCH($B33,'2015'!$C$1:$AA$1,0)),0)</f>
        <v>90.731999999999999</v>
      </c>
      <c r="F33" s="118">
        <f>_xlfn.IFNA(INDEX('2015'!$C$6:$AA$55,MATCH(F$4,'2015'!$B$6:$B$55,0),MATCH($B33,'2015'!$C$1:$AA$1,0)),0)</f>
        <v>453.66</v>
      </c>
      <c r="G33" s="118">
        <f>_xlfn.IFNA(INDEX('2015'!$C$6:$AA$55,MATCH(G$4,'2015'!$B$6:$B$55,0),MATCH($B33,'2015'!$C$1:$AA$1,0)),0)</f>
        <v>136.09800000000001</v>
      </c>
      <c r="H33" s="118">
        <f>_xlfn.IFNA(INDEX('2015'!$C$6:$AA$55,MATCH(H$4,'2015'!$B$6:$B$55,0),MATCH($B33,'2015'!$C$1:$AA$1,0)),0)</f>
        <v>1497.078</v>
      </c>
      <c r="I33" s="118">
        <f>_xlfn.IFNA(INDEX('2015'!$C$6:$AA$55,MATCH(I$4,'2015'!$B$6:$B$55,0),MATCH($B33,'2015'!$C$1:$AA$1,0)),0)</f>
        <v>317.56200000000001</v>
      </c>
      <c r="J33" s="118">
        <f>_xlfn.IFNA(INDEX('2015'!$C$6:$AA$55,MATCH(J$4,'2015'!$B$6:$B$55,0),MATCH($B33,'2015'!$C$1:$AA$1,0)),0)</f>
        <v>226.83</v>
      </c>
      <c r="K33" s="118">
        <f>_xlfn.IFNA(INDEX('2015'!$C$6:$AA$55,MATCH(K$4,'2015'!$B$6:$B$55,0),MATCH($B33,'2015'!$C$1:$AA$1,0)),0)</f>
        <v>680.49</v>
      </c>
      <c r="L33" s="118">
        <f>_xlfn.IFNA(INDEX('2015'!$C$6:$AA$55,MATCH(L$4,'2015'!$B$6:$B$55,0),MATCH($B33,'2015'!$C$1:$AA$1,0)),0)</f>
        <v>45.366</v>
      </c>
      <c r="M33" s="118">
        <f>_xlfn.IFNA(INDEX('2015'!$C$6:$AA$55,MATCH(M$4,'2015'!$B$6:$B$55,0),MATCH($B33,'2015'!$C$1:$AA$1,0)),0)</f>
        <v>45.366</v>
      </c>
      <c r="N33" s="118">
        <f>_xlfn.IFNA(INDEX('2015'!$C$6:$AA$55,MATCH(N$4,'2015'!$B$6:$B$55,0),MATCH($B33,'2015'!$C$1:$AA$1,0)),0)</f>
        <v>0</v>
      </c>
      <c r="O33" s="118">
        <f>_xlfn.IFNA(INDEX('2015'!$C$6:$AA$55,MATCH(O$4,'2015'!$B$6:$B$55,0),MATCH($B33,'2015'!$C$1:$AA$1,0)),0)</f>
        <v>272.19600000000003</v>
      </c>
      <c r="P33" s="118">
        <f t="shared" si="3"/>
        <v>3810.7439999999997</v>
      </c>
    </row>
    <row r="34" spans="2:19" ht="12.75" customHeight="1">
      <c r="B34" s="129" t="s">
        <v>588</v>
      </c>
      <c r="C34" s="118">
        <f>_xlfn.IFNA(INDEX('2015'!$C$6:$AA$55,MATCH(C$4,'2015'!$B$6:$B$55,0),MATCH($B34,'2015'!$C$1:$AA$1,0)),0)</f>
        <v>98255.7</v>
      </c>
      <c r="D34" s="118">
        <f>_xlfn.IFNA(INDEX('2015'!$C$6:$AA$55,MATCH(D$4,'2015'!$B$6:$B$55,0),MATCH($B34,'2015'!$C$1:$AA$1,0)),0)</f>
        <v>2525.4</v>
      </c>
      <c r="E34" s="118">
        <f>_xlfn.IFNA(INDEX('2015'!$C$6:$AA$55,MATCH(E$4,'2015'!$B$6:$B$55,0),MATCH($B34,'2015'!$C$1:$AA$1,0)),0)</f>
        <v>0</v>
      </c>
      <c r="F34" s="118">
        <f>_xlfn.IFNA(INDEX('2015'!$C$6:$AA$55,MATCH(F$4,'2015'!$B$6:$B$55,0),MATCH($B34,'2015'!$C$1:$AA$1,0)),0)</f>
        <v>0</v>
      </c>
      <c r="G34" s="118">
        <f>_xlfn.IFNA(INDEX('2015'!$C$6:$AA$55,MATCH(G$4,'2015'!$B$6:$B$55,0),MATCH($B34,'2015'!$C$1:$AA$1,0)),0)</f>
        <v>1664.1</v>
      </c>
      <c r="H34" s="118">
        <f>_xlfn.IFNA(INDEX('2015'!$C$6:$AA$55,MATCH(H$4,'2015'!$B$6:$B$55,0),MATCH($B34,'2015'!$C$1:$AA$1,0)),0)</f>
        <v>613.79999999999995</v>
      </c>
      <c r="I34" s="118">
        <f>_xlfn.IFNA(INDEX('2015'!$C$6:$AA$55,MATCH(I$4,'2015'!$B$6:$B$55,0),MATCH($B34,'2015'!$C$1:$AA$1,0)),0)</f>
        <v>0</v>
      </c>
      <c r="J34" s="118">
        <f>_xlfn.IFNA(INDEX('2015'!$C$6:$AA$55,MATCH(J$4,'2015'!$B$6:$B$55,0),MATCH($B34,'2015'!$C$1:$AA$1,0)),0)</f>
        <v>0</v>
      </c>
      <c r="K34" s="118">
        <f>_xlfn.IFNA(INDEX('2015'!$C$6:$AA$55,MATCH(K$4,'2015'!$B$6:$B$55,0),MATCH($B34,'2015'!$C$1:$AA$1,0)),0)</f>
        <v>0</v>
      </c>
      <c r="L34" s="118">
        <f>_xlfn.IFNA(INDEX('2015'!$C$6:$AA$55,MATCH(L$4,'2015'!$B$6:$B$55,0),MATCH($B34,'2015'!$C$1:$AA$1,0)),0)</f>
        <v>0</v>
      </c>
      <c r="M34" s="118">
        <f>_xlfn.IFNA(INDEX('2015'!$C$6:$AA$55,MATCH(M$4,'2015'!$B$6:$B$55,0),MATCH($B34,'2015'!$C$1:$AA$1,0)),0)</f>
        <v>0</v>
      </c>
      <c r="N34" s="118">
        <f>_xlfn.IFNA(INDEX('2015'!$C$6:$AA$55,MATCH(N$4,'2015'!$B$6:$B$55,0),MATCH($B34,'2015'!$C$1:$AA$1,0)),0)</f>
        <v>0</v>
      </c>
      <c r="O34" s="118">
        <f>_xlfn.IFNA(INDEX('2015'!$C$6:$AA$55,MATCH(O$4,'2015'!$B$6:$B$55,0),MATCH($B34,'2015'!$C$1:$AA$1,0)),0)</f>
        <v>21.6</v>
      </c>
      <c r="P34" s="118">
        <f t="shared" si="3"/>
        <v>103080.6</v>
      </c>
    </row>
    <row r="35" spans="2:19" ht="12.75" customHeight="1">
      <c r="B35" s="129" t="s">
        <v>51</v>
      </c>
      <c r="C35" s="118">
        <f>_xlfn.IFNA(INDEX('2015'!$C$6:$AA$55,MATCH(C$4,'2015'!$B$6:$B$55,0),MATCH($B35,'2015'!$C$1:$AA$1,0)),0)</f>
        <v>88242.3</v>
      </c>
      <c r="D35" s="118">
        <f>_xlfn.IFNA(INDEX('2015'!$C$6:$AA$55,MATCH(D$4,'2015'!$B$6:$B$55,0),MATCH($B35,'2015'!$C$1:$AA$1,0)),0)</f>
        <v>204782.4</v>
      </c>
      <c r="E35" s="118">
        <f>_xlfn.IFNA(INDEX('2015'!$C$6:$AA$55,MATCH(E$4,'2015'!$B$6:$B$55,0),MATCH($B35,'2015'!$C$1:$AA$1,0)),0)</f>
        <v>33843.599999999999</v>
      </c>
      <c r="F35" s="118">
        <f>_xlfn.IFNA(INDEX('2015'!$C$6:$AA$55,MATCH(F$4,'2015'!$B$6:$B$55,0),MATCH($B35,'2015'!$C$1:$AA$1,0)),0)</f>
        <v>104013</v>
      </c>
      <c r="G35" s="118">
        <f>_xlfn.IFNA(INDEX('2015'!$C$6:$AA$55,MATCH(G$4,'2015'!$B$6:$B$55,0),MATCH($B35,'2015'!$C$1:$AA$1,0)),0)</f>
        <v>36487.800000000003</v>
      </c>
      <c r="H35" s="118">
        <f>_xlfn.IFNA(INDEX('2015'!$C$6:$AA$55,MATCH(H$4,'2015'!$B$6:$B$55,0),MATCH($B35,'2015'!$C$1:$AA$1,0)),0)</f>
        <v>71144.100000000006</v>
      </c>
      <c r="I35" s="118">
        <f>_xlfn.IFNA(INDEX('2015'!$C$6:$AA$55,MATCH(I$4,'2015'!$B$6:$B$55,0),MATCH($B35,'2015'!$C$1:$AA$1,0)),0)</f>
        <v>4308.3</v>
      </c>
      <c r="J35" s="118">
        <f>_xlfn.IFNA(INDEX('2015'!$C$6:$AA$55,MATCH(J$4,'2015'!$B$6:$B$55,0),MATCH($B35,'2015'!$C$1:$AA$1,0)),0)</f>
        <v>110628.9</v>
      </c>
      <c r="K35" s="118">
        <f>_xlfn.IFNA(INDEX('2015'!$C$6:$AA$55,MATCH(K$4,'2015'!$B$6:$B$55,0),MATCH($B35,'2015'!$C$1:$AA$1,0)),0)</f>
        <v>86829.3</v>
      </c>
      <c r="L35" s="118">
        <f>_xlfn.IFNA(INDEX('2015'!$C$6:$AA$55,MATCH(L$4,'2015'!$B$6:$B$55,0),MATCH($B35,'2015'!$C$1:$AA$1,0)),0)</f>
        <v>5130</v>
      </c>
      <c r="M35" s="118">
        <f>_xlfn.IFNA(INDEX('2015'!$C$6:$AA$55,MATCH(M$4,'2015'!$B$6:$B$55,0),MATCH($B35,'2015'!$C$1:$AA$1,0)),0)</f>
        <v>9849.6</v>
      </c>
      <c r="N35" s="118">
        <f>_xlfn.IFNA(INDEX('2015'!$C$6:$AA$55,MATCH(N$4,'2015'!$B$6:$B$55,0),MATCH($B35,'2015'!$C$1:$AA$1,0)),0)</f>
        <v>20875.5</v>
      </c>
      <c r="O35" s="118">
        <f>_xlfn.IFNA(INDEX('2015'!$C$6:$AA$55,MATCH(O$4,'2015'!$B$6:$B$55,0),MATCH($B35,'2015'!$C$1:$AA$1,0)),0)</f>
        <v>27687.599999999999</v>
      </c>
      <c r="P35" s="118">
        <f t="shared" si="3"/>
        <v>803822.4</v>
      </c>
    </row>
    <row r="36" spans="2:19" ht="12.75" customHeight="1">
      <c r="B36" s="129" t="s">
        <v>77</v>
      </c>
      <c r="C36" s="118">
        <f>_xlfn.IFNA(INDEX('2015'!$C$6:$AA$55,MATCH(C$4,'2015'!$B$6:$B$55,0),MATCH($B36,'2015'!$C$1:$AA$1,0)),0)</f>
        <v>1</v>
      </c>
      <c r="D36" s="118">
        <f>_xlfn.IFNA(INDEX('2015'!$C$6:$AA$55,MATCH(D$4,'2015'!$B$6:$B$55,0),MATCH($B36,'2015'!$C$1:$AA$1,0)),0)</f>
        <v>381</v>
      </c>
      <c r="E36" s="118">
        <f>_xlfn.IFNA(INDEX('2015'!$C$6:$AA$55,MATCH(E$4,'2015'!$B$6:$B$55,0),MATCH($B36,'2015'!$C$1:$AA$1,0)),0)</f>
        <v>13</v>
      </c>
      <c r="F36" s="118">
        <f>_xlfn.IFNA(INDEX('2015'!$C$6:$AA$55,MATCH(F$4,'2015'!$B$6:$B$55,0),MATCH($B36,'2015'!$C$1:$AA$1,0)),0)</f>
        <v>22</v>
      </c>
      <c r="G36" s="118">
        <f>_xlfn.IFNA(INDEX('2015'!$C$6:$AA$55,MATCH(G$4,'2015'!$B$6:$B$55,0),MATCH($B36,'2015'!$C$1:$AA$1,0)),0)</f>
        <v>0</v>
      </c>
      <c r="H36" s="118">
        <f>_xlfn.IFNA(INDEX('2015'!$C$6:$AA$55,MATCH(H$4,'2015'!$B$6:$B$55,0),MATCH($B36,'2015'!$C$1:$AA$1,0)),0)</f>
        <v>371</v>
      </c>
      <c r="I36" s="118">
        <f>_xlfn.IFNA(INDEX('2015'!$C$6:$AA$55,MATCH(I$4,'2015'!$B$6:$B$55,0),MATCH($B36,'2015'!$C$1:$AA$1,0)),0)</f>
        <v>50</v>
      </c>
      <c r="J36" s="118">
        <f>_xlfn.IFNA(INDEX('2015'!$C$6:$AA$55,MATCH(J$4,'2015'!$B$6:$B$55,0),MATCH($B36,'2015'!$C$1:$AA$1,0)),0)</f>
        <v>695</v>
      </c>
      <c r="K36" s="118">
        <f>_xlfn.IFNA(INDEX('2015'!$C$6:$AA$55,MATCH(K$4,'2015'!$B$6:$B$55,0),MATCH($B36,'2015'!$C$1:$AA$1,0)),0)</f>
        <v>924</v>
      </c>
      <c r="L36" s="118">
        <f>_xlfn.IFNA(INDEX('2015'!$C$6:$AA$55,MATCH(L$4,'2015'!$B$6:$B$55,0),MATCH($B36,'2015'!$C$1:$AA$1,0)),0)</f>
        <v>11</v>
      </c>
      <c r="M36" s="118">
        <f>_xlfn.IFNA(INDEX('2015'!$C$6:$AA$55,MATCH(M$4,'2015'!$B$6:$B$55,0),MATCH($B36,'2015'!$C$1:$AA$1,0)),0)</f>
        <v>0</v>
      </c>
      <c r="N36" s="118">
        <f>_xlfn.IFNA(INDEX('2015'!$C$6:$AA$55,MATCH(N$4,'2015'!$B$6:$B$55,0),MATCH($B36,'2015'!$C$1:$AA$1,0)),0)</f>
        <v>0</v>
      </c>
      <c r="O36" s="118">
        <f>_xlfn.IFNA(INDEX('2015'!$C$6:$AA$55,MATCH(O$4,'2015'!$B$6:$B$55,0),MATCH($B36,'2015'!$C$1:$AA$1,0)),0)</f>
        <v>58</v>
      </c>
      <c r="P36" s="118">
        <f t="shared" si="3"/>
        <v>2526</v>
      </c>
    </row>
    <row r="37" spans="2:19" ht="12.75" customHeight="1">
      <c r="B37" s="631" t="s">
        <v>589</v>
      </c>
      <c r="C37" s="118">
        <f>_xlfn.IFNA(INDEX('2015'!$C$6:$AA$55,MATCH(C$4,'2015'!$B$6:$B$55,0),MATCH($B37,'2015'!$C$1:$AA$1,0)),0)</f>
        <v>0</v>
      </c>
      <c r="D37" s="118">
        <f>_xlfn.IFNA(INDEX('2015'!$C$6:$AA$55,MATCH(D$4,'2015'!$B$6:$B$55,0),MATCH($B37,'2015'!$C$1:$AA$1,0)),0)</f>
        <v>0</v>
      </c>
      <c r="E37" s="118">
        <f>_xlfn.IFNA(INDEX('2015'!$C$6:$AA$55,MATCH(E$4,'2015'!$B$6:$B$55,0),MATCH($B37,'2015'!$C$1:$AA$1,0)),0)</f>
        <v>0</v>
      </c>
      <c r="F37" s="118">
        <f>_xlfn.IFNA(INDEX('2015'!$C$6:$AA$55,MATCH(F$4,'2015'!$B$6:$B$55,0),MATCH($B37,'2015'!$C$1:$AA$1,0)),0)</f>
        <v>0</v>
      </c>
      <c r="G37" s="118">
        <f>_xlfn.IFNA(INDEX('2015'!$C$6:$AA$55,MATCH(G$4,'2015'!$B$6:$B$55,0),MATCH($B37,'2015'!$C$1:$AA$1,0)),0)</f>
        <v>0</v>
      </c>
      <c r="H37" s="118">
        <f>_xlfn.IFNA(INDEX('2015'!$C$6:$AA$55,MATCH(H$4,'2015'!$B$6:$B$55,0),MATCH($B37,'2015'!$C$1:$AA$1,0)),0)</f>
        <v>0</v>
      </c>
      <c r="I37" s="118">
        <f>_xlfn.IFNA(INDEX('2015'!$C$6:$AA$55,MATCH(I$4,'2015'!$B$6:$B$55,0),MATCH($B37,'2015'!$C$1:$AA$1,0)),0)</f>
        <v>0</v>
      </c>
      <c r="J37" s="118">
        <f>_xlfn.IFNA(INDEX('2015'!$C$6:$AA$55,MATCH(J$4,'2015'!$B$6:$B$55,0),MATCH($B37,'2015'!$C$1:$AA$1,0)),0)</f>
        <v>0</v>
      </c>
      <c r="K37" s="118">
        <f>_xlfn.IFNA(INDEX('2015'!$C$6:$AA$55,MATCH(K$4,'2015'!$B$6:$B$55,0),MATCH($B37,'2015'!$C$1:$AA$1,0)),0)</f>
        <v>0</v>
      </c>
      <c r="L37" s="118">
        <f>_xlfn.IFNA(INDEX('2015'!$C$6:$AA$55,MATCH(L$4,'2015'!$B$6:$B$55,0),MATCH($B37,'2015'!$C$1:$AA$1,0)),0)</f>
        <v>0</v>
      </c>
      <c r="M37" s="118">
        <f>_xlfn.IFNA(INDEX('2015'!$C$6:$AA$55,MATCH(M$4,'2015'!$B$6:$B$55,0),MATCH($B37,'2015'!$C$1:$AA$1,0)),0)</f>
        <v>0</v>
      </c>
      <c r="N37" s="118">
        <f>_xlfn.IFNA(INDEX('2015'!$C$6:$AA$55,MATCH(N$4,'2015'!$B$6:$B$55,0),MATCH($B37,'2015'!$C$1:$AA$1,0)),0)</f>
        <v>0</v>
      </c>
      <c r="O37" s="118">
        <f>_xlfn.IFNA(INDEX('2015'!$C$6:$AA$55,MATCH(O$4,'2015'!$B$6:$B$55,0),MATCH($B37,'2015'!$C$1:$AA$1,0)),0)</f>
        <v>0</v>
      </c>
      <c r="P37" s="118">
        <f t="shared" si="3"/>
        <v>0</v>
      </c>
    </row>
    <row r="38" spans="2:19" ht="12.75" customHeight="1">
      <c r="B38" s="631" t="s">
        <v>590</v>
      </c>
      <c r="C38" s="118">
        <f>_xlfn.IFNA(INDEX('2015'!$C$6:$AA$55,MATCH(C$4,'2015'!$B$6:$B$55,0),MATCH($B38,'2015'!$C$1:$AA$1,0)),0)</f>
        <v>0</v>
      </c>
      <c r="D38" s="118">
        <f>_xlfn.IFNA(INDEX('2015'!$C$6:$AA$55,MATCH(D$4,'2015'!$B$6:$B$55,0),MATCH($B38,'2015'!$C$1:$AA$1,0)),0)</f>
        <v>0</v>
      </c>
      <c r="E38" s="118">
        <f>_xlfn.IFNA(INDEX('2015'!$C$6:$AA$55,MATCH(E$4,'2015'!$B$6:$B$55,0),MATCH($B38,'2015'!$C$1:$AA$1,0)),0)</f>
        <v>0</v>
      </c>
      <c r="F38" s="118">
        <f>_xlfn.IFNA(INDEX('2015'!$C$6:$AA$55,MATCH(F$4,'2015'!$B$6:$B$55,0),MATCH($B38,'2015'!$C$1:$AA$1,0)),0)</f>
        <v>0</v>
      </c>
      <c r="G38" s="118">
        <f>_xlfn.IFNA(INDEX('2015'!$C$6:$AA$55,MATCH(G$4,'2015'!$B$6:$B$55,0),MATCH($B38,'2015'!$C$1:$AA$1,0)),0)</f>
        <v>0</v>
      </c>
      <c r="H38" s="118">
        <f>_xlfn.IFNA(INDEX('2015'!$C$6:$AA$55,MATCH(H$4,'2015'!$B$6:$B$55,0),MATCH($B38,'2015'!$C$1:$AA$1,0)),0)</f>
        <v>0</v>
      </c>
      <c r="I38" s="118">
        <f>_xlfn.IFNA(INDEX('2015'!$C$6:$AA$55,MATCH(I$4,'2015'!$B$6:$B$55,0),MATCH($B38,'2015'!$C$1:$AA$1,0)),0)</f>
        <v>0</v>
      </c>
      <c r="J38" s="118">
        <f>_xlfn.IFNA(INDEX('2015'!$C$6:$AA$55,MATCH(J$4,'2015'!$B$6:$B$55,0),MATCH($B38,'2015'!$C$1:$AA$1,0)),0)</f>
        <v>0</v>
      </c>
      <c r="K38" s="118">
        <f>_xlfn.IFNA(INDEX('2015'!$C$6:$AA$55,MATCH(K$4,'2015'!$B$6:$B$55,0),MATCH($B38,'2015'!$C$1:$AA$1,0)),0)</f>
        <v>0</v>
      </c>
      <c r="L38" s="118">
        <f>_xlfn.IFNA(INDEX('2015'!$C$6:$AA$55,MATCH(L$4,'2015'!$B$6:$B$55,0),MATCH($B38,'2015'!$C$1:$AA$1,0)),0)</f>
        <v>0</v>
      </c>
      <c r="M38" s="118">
        <f>_xlfn.IFNA(INDEX('2015'!$C$6:$AA$55,MATCH(M$4,'2015'!$B$6:$B$55,0),MATCH($B38,'2015'!$C$1:$AA$1,0)),0)</f>
        <v>0</v>
      </c>
      <c r="N38" s="118">
        <f>_xlfn.IFNA(INDEX('2015'!$C$6:$AA$55,MATCH(N$4,'2015'!$B$6:$B$55,0),MATCH($B38,'2015'!$C$1:$AA$1,0)),0)</f>
        <v>0</v>
      </c>
      <c r="O38" s="118">
        <f>_xlfn.IFNA(INDEX('2015'!$C$6:$AA$55,MATCH(O$4,'2015'!$B$6:$B$55,0),MATCH($B38,'2015'!$C$1:$AA$1,0)),0)</f>
        <v>0</v>
      </c>
      <c r="P38" s="118">
        <f t="shared" si="3"/>
        <v>0</v>
      </c>
    </row>
    <row r="39" spans="2:19" ht="12.75" customHeight="1">
      <c r="B39" s="631" t="s">
        <v>597</v>
      </c>
      <c r="C39" s="118">
        <f>_xlfn.IFNA(INDEX('2015'!$C$6:$AA$55,MATCH(C$4,'2015'!$B$6:$B$55,0),MATCH($B39,'2015'!$C$1:$AA$1,0)),0)</f>
        <v>0</v>
      </c>
      <c r="D39" s="118">
        <f>_xlfn.IFNA(INDEX('2015'!$C$6:$AA$55,MATCH(D$4,'2015'!$B$6:$B$55,0),MATCH($B39,'2015'!$C$1:$AA$1,0)),0)</f>
        <v>0</v>
      </c>
      <c r="E39" s="118">
        <f>_xlfn.IFNA(INDEX('2015'!$C$6:$AA$55,MATCH(E$4,'2015'!$B$6:$B$55,0),MATCH($B39,'2015'!$C$1:$AA$1,0)),0)</f>
        <v>0</v>
      </c>
      <c r="F39" s="118">
        <f>_xlfn.IFNA(INDEX('2015'!$C$6:$AA$55,MATCH(F$4,'2015'!$B$6:$B$55,0),MATCH($B39,'2015'!$C$1:$AA$1,0)),0)</f>
        <v>0</v>
      </c>
      <c r="G39" s="118">
        <f>_xlfn.IFNA(INDEX('2015'!$C$6:$AA$55,MATCH(G$4,'2015'!$B$6:$B$55,0),MATCH($B39,'2015'!$C$1:$AA$1,0)),0)</f>
        <v>0</v>
      </c>
      <c r="H39" s="118">
        <f>_xlfn.IFNA(INDEX('2015'!$C$6:$AA$55,MATCH(H$4,'2015'!$B$6:$B$55,0),MATCH($B39,'2015'!$C$1:$AA$1,0)),0)</f>
        <v>0</v>
      </c>
      <c r="I39" s="118">
        <f>_xlfn.IFNA(INDEX('2015'!$C$6:$AA$55,MATCH(I$4,'2015'!$B$6:$B$55,0),MATCH($B39,'2015'!$C$1:$AA$1,0)),0)</f>
        <v>0</v>
      </c>
      <c r="J39" s="118">
        <f>_xlfn.IFNA(INDEX('2015'!$C$6:$AA$55,MATCH(J$4,'2015'!$B$6:$B$55,0),MATCH($B39,'2015'!$C$1:$AA$1,0)),0)</f>
        <v>0</v>
      </c>
      <c r="K39" s="118">
        <f>_xlfn.IFNA(INDEX('2015'!$C$6:$AA$55,MATCH(K$4,'2015'!$B$6:$B$55,0),MATCH($B39,'2015'!$C$1:$AA$1,0)),0)</f>
        <v>0</v>
      </c>
      <c r="L39" s="118">
        <f>_xlfn.IFNA(INDEX('2015'!$C$6:$AA$55,MATCH(L$4,'2015'!$B$6:$B$55,0),MATCH($B39,'2015'!$C$1:$AA$1,0)),0)</f>
        <v>0</v>
      </c>
      <c r="M39" s="118">
        <f>_xlfn.IFNA(INDEX('2015'!$C$6:$AA$55,MATCH(M$4,'2015'!$B$6:$B$55,0),MATCH($B39,'2015'!$C$1:$AA$1,0)),0)</f>
        <v>0</v>
      </c>
      <c r="N39" s="118">
        <f>_xlfn.IFNA(INDEX('2015'!$C$6:$AA$55,MATCH(N$4,'2015'!$B$6:$B$55,0),MATCH($B39,'2015'!$C$1:$AA$1,0)),0)</f>
        <v>0</v>
      </c>
      <c r="O39" s="118">
        <f>_xlfn.IFNA(INDEX('2015'!$C$6:$AA$55,MATCH(O$4,'2015'!$B$6:$B$55,0),MATCH($B39,'2015'!$C$1:$AA$1,0)),0)</f>
        <v>0</v>
      </c>
      <c r="P39" s="118">
        <f t="shared" si="3"/>
        <v>0</v>
      </c>
    </row>
    <row r="40" spans="2:19" ht="12.75" customHeight="1">
      <c r="B40" s="631" t="s">
        <v>591</v>
      </c>
      <c r="C40" s="118">
        <f>_xlfn.IFNA(INDEX('2015'!$C$6:$AA$55,MATCH(C$4,'2015'!$B$6:$B$55,0),MATCH($B40,'2015'!$C$1:$AA$1,0)),0)</f>
        <v>0</v>
      </c>
      <c r="D40" s="118">
        <f>_xlfn.IFNA(INDEX('2015'!$C$6:$AA$55,MATCH(D$4,'2015'!$B$6:$B$55,0),MATCH($B40,'2015'!$C$1:$AA$1,0)),0)</f>
        <v>356.03399999999999</v>
      </c>
      <c r="E40" s="118">
        <f>_xlfn.IFNA(INDEX('2015'!$C$6:$AA$55,MATCH(E$4,'2015'!$B$6:$B$55,0),MATCH($B40,'2015'!$C$1:$AA$1,0)),0)</f>
        <v>0</v>
      </c>
      <c r="F40" s="118">
        <f>_xlfn.IFNA(INDEX('2015'!$C$6:$AA$55,MATCH(F$4,'2015'!$B$6:$B$55,0),MATCH($B40,'2015'!$C$1:$AA$1,0)),0)</f>
        <v>152.58600000000001</v>
      </c>
      <c r="G40" s="118">
        <f>_xlfn.IFNA(INDEX('2015'!$C$6:$AA$55,MATCH(G$4,'2015'!$B$6:$B$55,0),MATCH($B40,'2015'!$C$1:$AA$1,0)),0)</f>
        <v>50.862000000000002</v>
      </c>
      <c r="H40" s="118">
        <f>_xlfn.IFNA(INDEX('2015'!$C$6:$AA$55,MATCH(H$4,'2015'!$B$6:$B$55,0),MATCH($B40,'2015'!$C$1:$AA$1,0)),0)</f>
        <v>76.293000000000006</v>
      </c>
      <c r="I40" s="118">
        <f>_xlfn.IFNA(INDEX('2015'!$C$6:$AA$55,MATCH(I$4,'2015'!$B$6:$B$55,0),MATCH($B40,'2015'!$C$1:$AA$1,0)),0)</f>
        <v>0</v>
      </c>
      <c r="J40" s="118">
        <f>_xlfn.IFNA(INDEX('2015'!$C$6:$AA$55,MATCH(J$4,'2015'!$B$6:$B$55,0),MATCH($B40,'2015'!$C$1:$AA$1,0)),0)</f>
        <v>25.431000000000001</v>
      </c>
      <c r="K40" s="118">
        <f>_xlfn.IFNA(INDEX('2015'!$C$6:$AA$55,MATCH(K$4,'2015'!$B$6:$B$55,0),MATCH($B40,'2015'!$C$1:$AA$1,0)),0)</f>
        <v>127.155</v>
      </c>
      <c r="L40" s="118">
        <f>_xlfn.IFNA(INDEX('2015'!$C$6:$AA$55,MATCH(L$4,'2015'!$B$6:$B$55,0),MATCH($B40,'2015'!$C$1:$AA$1,0)),0)</f>
        <v>0</v>
      </c>
      <c r="M40" s="118">
        <f>_xlfn.IFNA(INDEX('2015'!$C$6:$AA$55,MATCH(M$4,'2015'!$B$6:$B$55,0),MATCH($B40,'2015'!$C$1:$AA$1,0)),0)</f>
        <v>0</v>
      </c>
      <c r="N40" s="118">
        <f>_xlfn.IFNA(INDEX('2015'!$C$6:$AA$55,MATCH(N$4,'2015'!$B$6:$B$55,0),MATCH($B40,'2015'!$C$1:$AA$1,0)),0)</f>
        <v>0</v>
      </c>
      <c r="O40" s="118">
        <f>_xlfn.IFNA(INDEX('2015'!$C$6:$AA$55,MATCH(O$4,'2015'!$B$6:$B$55,0),MATCH($B40,'2015'!$C$1:$AA$1,0)),0)</f>
        <v>0</v>
      </c>
      <c r="P40" s="118">
        <f t="shared" si="3"/>
        <v>788.36099999999999</v>
      </c>
    </row>
    <row r="41" spans="2:19" ht="12.75" customHeight="1">
      <c r="B41" s="129" t="s">
        <v>78</v>
      </c>
      <c r="C41" s="118">
        <f>_xlfn.IFNA(INDEX('2015'!$C$6:$AA$55,MATCH(C$4,'2015'!$B$6:$B$55,0),MATCH($B41,'2015'!$C$1:$AA$1,0)),0)</f>
        <v>63</v>
      </c>
      <c r="D41" s="118">
        <f>_xlfn.IFNA(INDEX('2015'!$C$6:$AA$55,MATCH(D$4,'2015'!$B$6:$B$55,0),MATCH($B41,'2015'!$C$1:$AA$1,0)),0)</f>
        <v>1409</v>
      </c>
      <c r="E41" s="118">
        <f>_xlfn.IFNA(INDEX('2015'!$C$6:$AA$55,MATCH(E$4,'2015'!$B$6:$B$55,0),MATCH($B41,'2015'!$C$1:$AA$1,0)),0)</f>
        <v>0</v>
      </c>
      <c r="F41" s="118">
        <f>_xlfn.IFNA(INDEX('2015'!$C$6:$AA$55,MATCH(F$4,'2015'!$B$6:$B$55,0),MATCH($B41,'2015'!$C$1:$AA$1,0)),0)</f>
        <v>5787</v>
      </c>
      <c r="G41" s="118">
        <f>_xlfn.IFNA(INDEX('2015'!$C$6:$AA$55,MATCH(G$4,'2015'!$B$6:$B$55,0),MATCH($B41,'2015'!$C$1:$AA$1,0)),0)</f>
        <v>225</v>
      </c>
      <c r="H41" s="118">
        <f>_xlfn.IFNA(INDEX('2015'!$C$6:$AA$55,MATCH(H$4,'2015'!$B$6:$B$55,0),MATCH($B41,'2015'!$C$1:$AA$1,0)),0)</f>
        <v>2144</v>
      </c>
      <c r="I41" s="118">
        <f>_xlfn.IFNA(INDEX('2015'!$C$6:$AA$55,MATCH(I$4,'2015'!$B$6:$B$55,0),MATCH($B41,'2015'!$C$1:$AA$1,0)),0)</f>
        <v>809</v>
      </c>
      <c r="J41" s="118">
        <f>_xlfn.IFNA(INDEX('2015'!$C$6:$AA$55,MATCH(J$4,'2015'!$B$6:$B$55,0),MATCH($B41,'2015'!$C$1:$AA$1,0)),0)</f>
        <v>1637</v>
      </c>
      <c r="K41" s="118">
        <f>_xlfn.IFNA(INDEX('2015'!$C$6:$AA$55,MATCH(K$4,'2015'!$B$6:$B$55,0),MATCH($B41,'2015'!$C$1:$AA$1,0)),0)</f>
        <v>22533</v>
      </c>
      <c r="L41" s="118">
        <f>_xlfn.IFNA(INDEX('2015'!$C$6:$AA$55,MATCH(L$4,'2015'!$B$6:$B$55,0),MATCH($B41,'2015'!$C$1:$AA$1,0)),0)</f>
        <v>50270</v>
      </c>
      <c r="M41" s="118">
        <f>_xlfn.IFNA(INDEX('2015'!$C$6:$AA$55,MATCH(M$4,'2015'!$B$6:$B$55,0),MATCH($B41,'2015'!$C$1:$AA$1,0)),0)</f>
        <v>96</v>
      </c>
      <c r="N41" s="118">
        <f>_xlfn.IFNA(INDEX('2015'!$C$6:$AA$55,MATCH(N$4,'2015'!$B$6:$B$55,0),MATCH($B41,'2015'!$C$1:$AA$1,0)),0)</f>
        <v>0</v>
      </c>
      <c r="O41" s="118">
        <f>_xlfn.IFNA(INDEX('2015'!$C$6:$AA$55,MATCH(O$4,'2015'!$B$6:$B$55,0),MATCH($B41,'2015'!$C$1:$AA$1,0)),0)</f>
        <v>5415</v>
      </c>
      <c r="P41" s="118">
        <f>SUM(C41:O41)</f>
        <v>90388</v>
      </c>
      <c r="R41" s="128">
        <v>0.4</v>
      </c>
      <c r="S41" s="128" t="s">
        <v>507</v>
      </c>
    </row>
    <row r="42" spans="2:19" ht="12.75" customHeight="1">
      <c r="B42" s="129" t="s">
        <v>80</v>
      </c>
      <c r="C42" s="118">
        <f>_xlfn.IFNA(INDEX('2015'!$C$6:$AA$55,MATCH(C$4,'2015'!$B$6:$B$55,0),MATCH($B42,'2015'!$C$1:$AA$1,0)),0)</f>
        <v>0</v>
      </c>
      <c r="D42" s="118">
        <f>_xlfn.IFNA(INDEX('2015'!$C$6:$AA$55,MATCH(D$4,'2015'!$B$6:$B$55,0),MATCH($B42,'2015'!$C$1:$AA$1,0)),0)</f>
        <v>8685</v>
      </c>
      <c r="E42" s="118">
        <f>_xlfn.IFNA(INDEX('2015'!$C$6:$AA$55,MATCH(E$4,'2015'!$B$6:$B$55,0),MATCH($B42,'2015'!$C$1:$AA$1,0)),0)</f>
        <v>256</v>
      </c>
      <c r="F42" s="118">
        <f>_xlfn.IFNA(INDEX('2015'!$C$6:$AA$55,MATCH(F$4,'2015'!$B$6:$B$55,0),MATCH($B42,'2015'!$C$1:$AA$1,0)),0)</f>
        <v>44429</v>
      </c>
      <c r="G42" s="118">
        <f>_xlfn.IFNA(INDEX('2015'!$C$6:$AA$55,MATCH(G$4,'2015'!$B$6:$B$55,0),MATCH($B42,'2015'!$C$1:$AA$1,0)),0)</f>
        <v>2</v>
      </c>
      <c r="H42" s="118">
        <f>_xlfn.IFNA(INDEX('2015'!$C$6:$AA$55,MATCH(H$4,'2015'!$B$6:$B$55,0),MATCH($B42,'2015'!$C$1:$AA$1,0)),0)</f>
        <v>1</v>
      </c>
      <c r="I42" s="118">
        <f>_xlfn.IFNA(INDEX('2015'!$C$6:$AA$55,MATCH(I$4,'2015'!$B$6:$B$55,0),MATCH($B42,'2015'!$C$1:$AA$1,0)),0)</f>
        <v>0</v>
      </c>
      <c r="J42" s="118">
        <f>_xlfn.IFNA(INDEX('2015'!$C$6:$AA$55,MATCH(J$4,'2015'!$B$6:$B$55,0),MATCH($B42,'2015'!$C$1:$AA$1,0)),0)</f>
        <v>0</v>
      </c>
      <c r="K42" s="118">
        <f>_xlfn.IFNA(INDEX('2015'!$C$6:$AA$55,MATCH(K$4,'2015'!$B$6:$B$55,0),MATCH($B42,'2015'!$C$1:$AA$1,0)),0)</f>
        <v>5482</v>
      </c>
      <c r="L42" s="118">
        <f>_xlfn.IFNA(INDEX('2015'!$C$6:$AA$55,MATCH(L$4,'2015'!$B$6:$B$55,0),MATCH($B42,'2015'!$C$1:$AA$1,0)),0)</f>
        <v>19</v>
      </c>
      <c r="M42" s="118">
        <f>_xlfn.IFNA(INDEX('2015'!$C$6:$AA$55,MATCH(M$4,'2015'!$B$6:$B$55,0),MATCH($B42,'2015'!$C$1:$AA$1,0)),0)</f>
        <v>0</v>
      </c>
      <c r="N42" s="118">
        <f>_xlfn.IFNA(INDEX('2015'!$C$6:$AA$55,MATCH(N$4,'2015'!$B$6:$B$55,0),MATCH($B42,'2015'!$C$1:$AA$1,0)),0)</f>
        <v>0</v>
      </c>
      <c r="O42" s="118">
        <f>_xlfn.IFNA(INDEX('2015'!$C$6:$AA$55,MATCH(O$4,'2015'!$B$6:$B$55,0),MATCH($B42,'2015'!$C$1:$AA$1,0)),0)</f>
        <v>0</v>
      </c>
      <c r="P42" s="118">
        <f t="shared" ref="P42:P44" si="4">SUM(C42:O42)</f>
        <v>58874</v>
      </c>
      <c r="R42" s="128">
        <f>1-R41</f>
        <v>0.6</v>
      </c>
      <c r="S42" s="128" t="s">
        <v>507</v>
      </c>
    </row>
    <row r="43" spans="2:19" ht="12.75" customHeight="1">
      <c r="B43" s="129" t="s">
        <v>50</v>
      </c>
      <c r="C43" s="118">
        <f>_xlfn.IFNA(INDEX('2015'!$C$6:$AA$55,MATCH(C$4,'2015'!$B$6:$B$55,0),MATCH($B43,'2015'!$C$1:$AA$1,0)),0)</f>
        <v>93826.8</v>
      </c>
      <c r="D43" s="118">
        <f>_xlfn.IFNA(INDEX('2015'!$C$6:$AA$55,MATCH(D$4,'2015'!$B$6:$B$55,0),MATCH($B43,'2015'!$C$1:$AA$1,0)),0)</f>
        <v>192474</v>
      </c>
      <c r="E43" s="118">
        <f>_xlfn.IFNA(INDEX('2015'!$C$6:$AA$55,MATCH(E$4,'2015'!$B$6:$B$55,0),MATCH($B43,'2015'!$C$1:$AA$1,0)),0)</f>
        <v>57135.6</v>
      </c>
      <c r="F43" s="118">
        <f>_xlfn.IFNA(INDEX('2015'!$C$6:$AA$55,MATCH(F$4,'2015'!$B$6:$B$55,0),MATCH($B43,'2015'!$C$1:$AA$1,0)),0)</f>
        <v>44265.599999999999</v>
      </c>
      <c r="G43" s="118">
        <f>_xlfn.IFNA(INDEX('2015'!$C$6:$AA$55,MATCH(G$4,'2015'!$B$6:$B$55,0),MATCH($B43,'2015'!$C$1:$AA$1,0)),0)</f>
        <v>66654</v>
      </c>
      <c r="H43" s="118">
        <f>_xlfn.IFNA(INDEX('2015'!$C$6:$AA$55,MATCH(H$4,'2015'!$B$6:$B$55,0),MATCH($B43,'2015'!$C$1:$AA$1,0)),0)</f>
        <v>120315.6</v>
      </c>
      <c r="I43" s="118">
        <f>_xlfn.IFNA(INDEX('2015'!$C$6:$AA$55,MATCH(I$4,'2015'!$B$6:$B$55,0),MATCH($B43,'2015'!$C$1:$AA$1,0)),0)</f>
        <v>6264</v>
      </c>
      <c r="J43" s="118">
        <f>_xlfn.IFNA(INDEX('2015'!$C$6:$AA$55,MATCH(J$4,'2015'!$B$6:$B$55,0),MATCH($B43,'2015'!$C$1:$AA$1,0)),0)</f>
        <v>65498.400000000001</v>
      </c>
      <c r="K43" s="118">
        <f>_xlfn.IFNA(INDEX('2015'!$C$6:$AA$55,MATCH(K$4,'2015'!$B$6:$B$55,0),MATCH($B43,'2015'!$C$1:$AA$1,0)),0)</f>
        <v>76762.8</v>
      </c>
      <c r="L43" s="118">
        <f>_xlfn.IFNA(INDEX('2015'!$C$6:$AA$55,MATCH(L$4,'2015'!$B$6:$B$55,0),MATCH($B43,'2015'!$C$1:$AA$1,0)),0)</f>
        <v>16171.2</v>
      </c>
      <c r="M43" s="118">
        <f>_xlfn.IFNA(INDEX('2015'!$C$6:$AA$55,MATCH(M$4,'2015'!$B$6:$B$55,0),MATCH($B43,'2015'!$C$1:$AA$1,0)),0)</f>
        <v>8132.4</v>
      </c>
      <c r="N43" s="118">
        <f>_xlfn.IFNA(INDEX('2015'!$C$6:$AA$55,MATCH(N$4,'2015'!$B$6:$B$55,0),MATCH($B43,'2015'!$C$1:$AA$1,0)),0)</f>
        <v>14202</v>
      </c>
      <c r="O43" s="118">
        <f>_xlfn.IFNA(INDEX('2015'!$C$6:$AA$55,MATCH(O$4,'2015'!$B$6:$B$55,0),MATCH($B43,'2015'!$C$1:$AA$1,0)),0)</f>
        <v>62067.6</v>
      </c>
      <c r="P43" s="118">
        <f t="shared" si="4"/>
        <v>823770</v>
      </c>
    </row>
    <row r="44" spans="2:19" ht="12.75" customHeight="1">
      <c r="B44" s="130" t="s">
        <v>52</v>
      </c>
      <c r="C44" s="118">
        <f>_xlfn.IFNA(INDEX('2015'!$C$6:$AA$55,MATCH(C$4,'2015'!$B$6:$B$55,0),MATCH($B44,'2015'!$C$1:$AA$1,0)),0)</f>
        <v>1520</v>
      </c>
      <c r="D44" s="118">
        <f>_xlfn.IFNA(INDEX('2015'!$C$6:$AA$55,MATCH(D$4,'2015'!$B$6:$B$55,0),MATCH($B44,'2015'!$C$1:$AA$1,0)),0)</f>
        <v>97183</v>
      </c>
      <c r="E44" s="118">
        <f>_xlfn.IFNA(INDEX('2015'!$C$6:$AA$55,MATCH(E$4,'2015'!$B$6:$B$55,0),MATCH($B44,'2015'!$C$1:$AA$1,0)),0)</f>
        <v>1109</v>
      </c>
      <c r="F44" s="118">
        <f>_xlfn.IFNA(INDEX('2015'!$C$6:$AA$55,MATCH(F$4,'2015'!$B$6:$B$55,0),MATCH($B44,'2015'!$C$1:$AA$1,0)),0)</f>
        <v>775</v>
      </c>
      <c r="G44" s="118">
        <f>_xlfn.IFNA(INDEX('2015'!$C$6:$AA$55,MATCH(G$4,'2015'!$B$6:$B$55,0),MATCH($B44,'2015'!$C$1:$AA$1,0)),0)</f>
        <v>13440</v>
      </c>
      <c r="H44" s="118">
        <f>_xlfn.IFNA(INDEX('2015'!$C$6:$AA$55,MATCH(H$4,'2015'!$B$6:$B$55,0),MATCH($B44,'2015'!$C$1:$AA$1,0)),0)</f>
        <v>9929</v>
      </c>
      <c r="I44" s="118">
        <f>_xlfn.IFNA(INDEX('2015'!$C$6:$AA$55,MATCH(I$4,'2015'!$B$6:$B$55,0),MATCH($B44,'2015'!$C$1:$AA$1,0)),0)</f>
        <v>116</v>
      </c>
      <c r="J44" s="118">
        <f>_xlfn.IFNA(INDEX('2015'!$C$6:$AA$55,MATCH(J$4,'2015'!$B$6:$B$55,0),MATCH($B44,'2015'!$C$1:$AA$1,0)),0)</f>
        <v>9825</v>
      </c>
      <c r="K44" s="118">
        <f>_xlfn.IFNA(INDEX('2015'!$C$6:$AA$55,MATCH(K$4,'2015'!$B$6:$B$55,0),MATCH($B44,'2015'!$C$1:$AA$1,0)),0)</f>
        <v>27747</v>
      </c>
      <c r="L44" s="118">
        <f>_xlfn.IFNA(INDEX('2015'!$C$6:$AA$55,MATCH(L$4,'2015'!$B$6:$B$55,0),MATCH($B44,'2015'!$C$1:$AA$1,0)),0)</f>
        <v>2838</v>
      </c>
      <c r="M44" s="118">
        <f>_xlfn.IFNA(INDEX('2015'!$C$6:$AA$55,MATCH(M$4,'2015'!$B$6:$B$55,0),MATCH($B44,'2015'!$C$1:$AA$1,0)),0)</f>
        <v>2298</v>
      </c>
      <c r="N44" s="118">
        <f>_xlfn.IFNA(INDEX('2015'!$C$6:$AA$55,MATCH(N$4,'2015'!$B$6:$B$55,0),MATCH($B44,'2015'!$C$1:$AA$1,0)),0)</f>
        <v>0</v>
      </c>
      <c r="O44" s="118">
        <f>_xlfn.IFNA(INDEX('2015'!$C$6:$AA$55,MATCH(O$4,'2015'!$B$6:$B$55,0),MATCH($B44,'2015'!$C$1:$AA$1,0)),0)</f>
        <v>6650</v>
      </c>
      <c r="P44" s="118">
        <f t="shared" si="4"/>
        <v>173430</v>
      </c>
    </row>
    <row r="45" spans="2:19" ht="12.75" customHeight="1">
      <c r="B45" s="129" t="s">
        <v>437</v>
      </c>
      <c r="C45" s="118">
        <f t="shared" ref="C45:P45" si="5">SUM(C41:C42)</f>
        <v>63</v>
      </c>
      <c r="D45" s="118">
        <f t="shared" si="5"/>
        <v>10094</v>
      </c>
      <c r="E45" s="118">
        <f t="shared" si="5"/>
        <v>256</v>
      </c>
      <c r="F45" s="118">
        <f t="shared" si="5"/>
        <v>50216</v>
      </c>
      <c r="G45" s="118">
        <f t="shared" si="5"/>
        <v>227</v>
      </c>
      <c r="H45" s="118">
        <f t="shared" si="5"/>
        <v>2145</v>
      </c>
      <c r="I45" s="118">
        <f t="shared" si="5"/>
        <v>809</v>
      </c>
      <c r="J45" s="118">
        <f t="shared" si="5"/>
        <v>1637</v>
      </c>
      <c r="K45" s="118">
        <f t="shared" si="5"/>
        <v>28015</v>
      </c>
      <c r="L45" s="118">
        <f t="shared" si="5"/>
        <v>50289</v>
      </c>
      <c r="M45" s="118">
        <f t="shared" si="5"/>
        <v>96</v>
      </c>
      <c r="N45" s="118">
        <f t="shared" si="5"/>
        <v>0</v>
      </c>
      <c r="O45" s="118">
        <f t="shared" si="5"/>
        <v>5415</v>
      </c>
      <c r="P45" s="118">
        <f t="shared" si="5"/>
        <v>149262</v>
      </c>
    </row>
    <row r="46" spans="2:19" ht="12.75" customHeight="1">
      <c r="B46" s="118" t="s">
        <v>506</v>
      </c>
      <c r="C46" s="118">
        <f>SUM(C29:C44)</f>
        <v>323629.26799999998</v>
      </c>
      <c r="D46" s="118">
        <f>SUM(D29:D44)</f>
        <v>603136.02099999995</v>
      </c>
      <c r="E46" s="118">
        <f>SUM(E29:E44)</f>
        <v>95655.25</v>
      </c>
      <c r="F46" s="118">
        <f>SUM(F29:F44)</f>
        <v>264491.71299999999</v>
      </c>
      <c r="G46" s="118">
        <f>SUM(G29:G44)</f>
        <v>120413.60800000001</v>
      </c>
      <c r="H46" s="118">
        <f>SUM(H29:H44)</f>
        <v>214732.38500000001</v>
      </c>
      <c r="I46" s="118">
        <f>SUM(I29:I44)</f>
        <v>15105.293</v>
      </c>
      <c r="J46" s="118">
        <f>SUM(J29:J44)</f>
        <v>204843.899</v>
      </c>
      <c r="K46" s="118">
        <f>SUM(K29:K44)</f>
        <v>237914.68</v>
      </c>
      <c r="L46" s="118">
        <f>SUM(L29:L44)</f>
        <v>74996.255000000005</v>
      </c>
      <c r="M46" s="118">
        <f>SUM(M29:M44)</f>
        <v>21569.934000000001</v>
      </c>
      <c r="N46" s="118">
        <f>SUM(N29:N44)</f>
        <v>35077.5</v>
      </c>
      <c r="O46" s="118">
        <f>SUM(O29:O44)</f>
        <v>106257.17499999999</v>
      </c>
      <c r="P46" s="118">
        <f>SUM(C46:O46)</f>
        <v>2317822.9809999997</v>
      </c>
    </row>
    <row r="47" spans="2:19" ht="12.75" customHeight="1">
      <c r="B47" s="118" t="s">
        <v>57</v>
      </c>
      <c r="C47" s="118">
        <f>_xlfn.IFNA(INDEX('2015'!$C$6:$AB$55,MATCH(C$4,'2015'!$B$6:$B$55,0),MATCH($B47,'2015'!$C$1:$AB$1,0)),0)</f>
        <v>323693.26800000004</v>
      </c>
      <c r="D47" s="118">
        <f>_xlfn.IFNA(INDEX('2015'!$C$6:$AB$55,MATCH(D$4,'2015'!$B$6:$B$55,0),MATCH($B47,'2015'!$C$1:$AB$1,0)),0)</f>
        <v>617383.64199999999</v>
      </c>
      <c r="E47" s="118">
        <f>_xlfn.IFNA(INDEX('2015'!$C$6:$AB$55,MATCH(E$4,'2015'!$B$6:$B$55,0),MATCH($B47,'2015'!$C$1:$AB$1,0)),0)</f>
        <v>96839.25</v>
      </c>
      <c r="F47" s="118">
        <f>_xlfn.IFNA(INDEX('2015'!$C$6:$AB$55,MATCH(F$4,'2015'!$B$6:$B$55,0),MATCH($B47,'2015'!$C$1:$AB$1,0)),0)</f>
        <v>274429.65700000001</v>
      </c>
      <c r="G47" s="118">
        <f>_xlfn.IFNA(INDEX('2015'!$C$6:$AB$55,MATCH(G$4,'2015'!$B$6:$B$55,0),MATCH($B47,'2015'!$C$1:$AB$1,0)),0)</f>
        <v>120490.32000000002</v>
      </c>
      <c r="H47" s="118">
        <f>_xlfn.IFNA(INDEX('2015'!$C$6:$AB$55,MATCH(H$4,'2015'!$B$6:$B$55,0),MATCH($B47,'2015'!$C$1:$AB$1,0)),0)</f>
        <v>214809.09700000001</v>
      </c>
      <c r="I47" s="118">
        <f>_xlfn.IFNA(INDEX('2015'!$C$6:$AB$55,MATCH(I$4,'2015'!$B$6:$B$55,0),MATCH($B47,'2015'!$C$1:$AB$1,0)),0)</f>
        <v>15335.649000000001</v>
      </c>
      <c r="J47" s="118">
        <f>_xlfn.IFNA(INDEX('2015'!$C$6:$AB$55,MATCH(J$4,'2015'!$B$6:$B$55,0),MATCH($B47,'2015'!$C$1:$AB$1,0)),0)</f>
        <v>204843.899</v>
      </c>
      <c r="K47" s="118">
        <f>_xlfn.IFNA(INDEX('2015'!$C$6:$AB$55,MATCH(K$4,'2015'!$B$6:$B$55,0),MATCH($B47,'2015'!$C$1:$AB$1,0)),0)</f>
        <v>237953.03599999999</v>
      </c>
      <c r="L47" s="118">
        <f>_xlfn.IFNA(INDEX('2015'!$C$6:$AB$55,MATCH(L$4,'2015'!$B$6:$B$55,0),MATCH($B47,'2015'!$C$1:$AB$1,0)),0)</f>
        <v>74996.255000000005</v>
      </c>
      <c r="M47" s="118">
        <f>_xlfn.IFNA(INDEX('2015'!$C$6:$AB$55,MATCH(M$4,'2015'!$B$6:$B$55,0),MATCH($B47,'2015'!$C$1:$AB$1,0)),0)</f>
        <v>21569.934000000001</v>
      </c>
      <c r="N47" s="118">
        <f>_xlfn.IFNA(INDEX('2015'!$C$6:$AB$55,MATCH(N$4,'2015'!$B$6:$B$55,0),MATCH($B47,'2015'!$C$1:$AB$1,0)),0)</f>
        <v>35077.5</v>
      </c>
      <c r="O47" s="118">
        <f>_xlfn.IFNA(INDEX('2015'!$C$6:$AB$55,MATCH(O$4,'2015'!$B$6:$B$55,0),MATCH($B47,'2015'!$C$1:$AB$1,0)),0)</f>
        <v>110016.336</v>
      </c>
      <c r="P47" s="118">
        <f>SUM(C47:O47)</f>
        <v>2347437.8429999999</v>
      </c>
    </row>
    <row r="51" spans="2:19" ht="12.75" customHeight="1">
      <c r="B51" s="115">
        <v>2019</v>
      </c>
      <c r="C51" s="25"/>
      <c r="D51" s="25"/>
      <c r="E51" s="25"/>
      <c r="F51" s="25"/>
      <c r="G51" s="25"/>
      <c r="H51" s="25"/>
      <c r="I51" s="25"/>
      <c r="J51" s="25"/>
      <c r="K51" s="25"/>
      <c r="L51" s="25"/>
      <c r="M51" s="25"/>
      <c r="N51" s="25"/>
    </row>
    <row r="52" spans="2:19" ht="12.75" customHeight="1">
      <c r="B52" s="119"/>
      <c r="C52" s="120" t="s">
        <v>474</v>
      </c>
      <c r="D52" s="120" t="s">
        <v>475</v>
      </c>
      <c r="E52" s="120" t="s">
        <v>476</v>
      </c>
      <c r="F52" s="120" t="s">
        <v>477</v>
      </c>
      <c r="G52" s="120" t="s">
        <v>478</v>
      </c>
      <c r="H52" s="120" t="s">
        <v>342</v>
      </c>
      <c r="I52" s="120" t="s">
        <v>479</v>
      </c>
      <c r="J52" s="120" t="s">
        <v>480</v>
      </c>
      <c r="K52" s="120" t="s">
        <v>481</v>
      </c>
      <c r="L52" s="120" t="s">
        <v>482</v>
      </c>
      <c r="M52" s="120" t="s">
        <v>483</v>
      </c>
      <c r="N52" s="120" t="s">
        <v>253</v>
      </c>
      <c r="O52" s="120" t="s">
        <v>484</v>
      </c>
      <c r="P52" s="120" t="s">
        <v>150</v>
      </c>
    </row>
    <row r="53" spans="2:19" ht="12.75" customHeight="1">
      <c r="B53" s="129" t="s">
        <v>55</v>
      </c>
      <c r="C53" s="118">
        <f>_xlfn.IFNA(INDEX('2019'!$C$6:$AA$55,MATCH(C$4,'2019'!$B$6:$B$55,0),MATCH($B53,'2019'!$C$1:$AA$1,0)),0)</f>
        <v>28433.278999999999</v>
      </c>
      <c r="D53" s="118">
        <f>_xlfn.IFNA(INDEX('2019'!$C$6:$AA$55,MATCH(D$4,'2019'!$B$6:$B$55,0),MATCH($B53,'2019'!$C$1:$AA$1,0)),0)</f>
        <v>14652.936</v>
      </c>
      <c r="E53" s="118">
        <f>_xlfn.IFNA(INDEX('2019'!$C$6:$AA$55,MATCH(E$4,'2019'!$B$6:$B$55,0),MATCH($B53,'2019'!$C$1:$AA$1,0)),0)</f>
        <v>1097.598</v>
      </c>
      <c r="F53" s="118">
        <f>_xlfn.IFNA(INDEX('2019'!$C$6:$AA$55,MATCH(F$4,'2019'!$B$6:$B$55,0),MATCH($B53,'2019'!$C$1:$AA$1,0)),0)</f>
        <v>53875.453000000001</v>
      </c>
      <c r="G53" s="118">
        <f>_xlfn.IFNA(INDEX('2019'!$C$6:$AA$55,MATCH(G$4,'2019'!$B$6:$B$55,0),MATCH($B53,'2019'!$C$1:$AA$1,0)),0)</f>
        <v>7161.88</v>
      </c>
      <c r="H53" s="118">
        <f>_xlfn.IFNA(INDEX('2019'!$C$6:$AA$55,MATCH(H$4,'2019'!$B$6:$B$55,0),MATCH($B53,'2019'!$C$1:$AA$1,0)),0)</f>
        <v>574.64200000000005</v>
      </c>
      <c r="I53" s="118">
        <f>_xlfn.IFNA(INDEX('2019'!$C$6:$AA$55,MATCH(I$4,'2019'!$B$6:$B$55,0),MATCH($B53,'2019'!$C$1:$AA$1,0)),0)</f>
        <v>2624.08</v>
      </c>
      <c r="J53" s="118">
        <f>_xlfn.IFNA(INDEX('2019'!$C$6:$AA$55,MATCH(J$4,'2019'!$B$6:$B$55,0),MATCH($B53,'2019'!$C$1:$AA$1,0)),0)</f>
        <v>7846.0739999999996</v>
      </c>
      <c r="K53" s="118">
        <f>_xlfn.IFNA(INDEX('2019'!$C$6:$AA$55,MATCH(K$4,'2019'!$B$6:$B$55,0),MATCH($B53,'2019'!$C$1:$AA$1,0)),0)</f>
        <v>10776.85</v>
      </c>
      <c r="L53" s="118">
        <f>_xlfn.IFNA(INDEX('2019'!$C$6:$AA$55,MATCH(L$4,'2019'!$B$6:$B$55,0),MATCH($B53,'2019'!$C$1:$AA$1,0)),0)</f>
        <v>0</v>
      </c>
      <c r="M53" s="118">
        <f>_xlfn.IFNA(INDEX('2019'!$C$6:$AA$55,MATCH(M$4,'2019'!$B$6:$B$55,0),MATCH($B53,'2019'!$C$1:$AA$1,0)),0)</f>
        <v>180.55199999999999</v>
      </c>
      <c r="N53" s="118">
        <f>_xlfn.IFNA(INDEX('2019'!$C$6:$AA$55,MATCH(N$4,'2019'!$B$6:$B$55,0),MATCH($B53,'2019'!$C$1:$AA$1,0)),0)</f>
        <v>0</v>
      </c>
      <c r="O53" s="118">
        <f>_xlfn.IFNA(INDEX('2019'!$C$6:$AA$55,MATCH(O$4,'2019'!$B$6:$B$55,0),MATCH($B53,'2019'!$C$1:$AA$1,0)),0)</f>
        <v>1474.5050000000001</v>
      </c>
      <c r="P53" s="118">
        <f>SUM(C53:O53)</f>
        <v>128697.84900000002</v>
      </c>
    </row>
    <row r="54" spans="2:19" ht="12.75" customHeight="1">
      <c r="B54" s="129" t="s">
        <v>54</v>
      </c>
      <c r="C54" s="118">
        <f>_xlfn.IFNA(INDEX('2019'!$C$6:$AA$55,MATCH(C$4,'2019'!$B$6:$B$55,0),MATCH($B54,'2019'!$C$1:$AA$1,0)),0)</f>
        <v>0</v>
      </c>
      <c r="D54" s="118">
        <f>_xlfn.IFNA(INDEX('2019'!$C$6:$AA$55,MATCH(D$4,'2019'!$B$6:$B$55,0),MATCH($B54,'2019'!$C$1:$AA$1,0)),0)</f>
        <v>21139.732</v>
      </c>
      <c r="E54" s="118">
        <f>_xlfn.IFNA(INDEX('2019'!$C$6:$AA$55,MATCH(E$4,'2019'!$B$6:$B$55,0),MATCH($B54,'2019'!$C$1:$AA$1,0)),0)</f>
        <v>685.83100000000002</v>
      </c>
      <c r="F54" s="118">
        <f>_xlfn.IFNA(INDEX('2019'!$C$6:$AA$55,MATCH(F$4,'2019'!$B$6:$B$55,0),MATCH($B54,'2019'!$C$1:$AA$1,0)),0)</f>
        <v>2339.8939999999998</v>
      </c>
      <c r="G54" s="118">
        <f>_xlfn.IFNA(INDEX('2019'!$C$6:$AA$55,MATCH(G$4,'2019'!$B$6:$B$55,0),MATCH($B54,'2019'!$C$1:$AA$1,0)),0)</f>
        <v>0</v>
      </c>
      <c r="H54" s="118">
        <f>_xlfn.IFNA(INDEX('2019'!$C$6:$AA$55,MATCH(H$4,'2019'!$B$6:$B$55,0),MATCH($B54,'2019'!$C$1:$AA$1,0)),0)</f>
        <v>40.343000000000004</v>
      </c>
      <c r="I54" s="118">
        <f>_xlfn.IFNA(INDEX('2019'!$C$6:$AA$55,MATCH(I$4,'2019'!$B$6:$B$55,0),MATCH($B54,'2019'!$C$1:$AA$1,0)),0)</f>
        <v>40.343000000000004</v>
      </c>
      <c r="J54" s="118">
        <f>_xlfn.IFNA(INDEX('2019'!$C$6:$AA$55,MATCH(J$4,'2019'!$B$6:$B$55,0),MATCH($B54,'2019'!$C$1:$AA$1,0)),0)</f>
        <v>1210.29</v>
      </c>
      <c r="K54" s="118">
        <f>_xlfn.IFNA(INDEX('2019'!$C$6:$AA$55,MATCH(K$4,'2019'!$B$6:$B$55,0),MATCH($B54,'2019'!$C$1:$AA$1,0)),0)</f>
        <v>403.43</v>
      </c>
      <c r="L54" s="118">
        <f>_xlfn.IFNA(INDEX('2019'!$C$6:$AA$55,MATCH(L$4,'2019'!$B$6:$B$55,0),MATCH($B54,'2019'!$C$1:$AA$1,0)),0)</f>
        <v>40.343000000000004</v>
      </c>
      <c r="M54" s="118">
        <f>_xlfn.IFNA(INDEX('2019'!$C$6:$AA$55,MATCH(M$4,'2019'!$B$6:$B$55,0),MATCH($B54,'2019'!$C$1:$AA$1,0)),0)</f>
        <v>0</v>
      </c>
      <c r="N54" s="118">
        <f>_xlfn.IFNA(INDEX('2019'!$C$6:$AA$55,MATCH(N$4,'2019'!$B$6:$B$55,0),MATCH($B54,'2019'!$C$1:$AA$1,0)),0)</f>
        <v>0</v>
      </c>
      <c r="O54" s="118">
        <f>_xlfn.IFNA(INDEX('2019'!$C$6:$AA$55,MATCH(O$4,'2019'!$B$6:$B$55,0),MATCH($B54,'2019'!$C$1:$AA$1,0)),0)</f>
        <v>40.343000000000004</v>
      </c>
      <c r="P54" s="118">
        <f t="shared" ref="P54:P64" si="6">SUM(C54:O54)</f>
        <v>25940.549000000003</v>
      </c>
    </row>
    <row r="55" spans="2:19" ht="12.75" customHeight="1">
      <c r="B55" s="129" t="s">
        <v>68</v>
      </c>
      <c r="C55" s="118">
        <f>_xlfn.IFNA(INDEX('2019'!$C$6:$AA$55,MATCH(C$4,'2019'!$B$6:$B$55,0),MATCH($B55,'2019'!$C$1:$AA$1,0)),0)</f>
        <v>429.27</v>
      </c>
      <c r="D55" s="118">
        <f>_xlfn.IFNA(INDEX('2019'!$C$6:$AA$55,MATCH(D$4,'2019'!$B$6:$B$55,0),MATCH($B55,'2019'!$C$1:$AA$1,0)),0)</f>
        <v>1588.299</v>
      </c>
      <c r="E55" s="118">
        <f>_xlfn.IFNA(INDEX('2019'!$C$6:$AA$55,MATCH(E$4,'2019'!$B$6:$B$55,0),MATCH($B55,'2019'!$C$1:$AA$1,0)),0)</f>
        <v>472.197</v>
      </c>
      <c r="F55" s="118">
        <f>_xlfn.IFNA(INDEX('2019'!$C$6:$AA$55,MATCH(F$4,'2019'!$B$6:$B$55,0),MATCH($B55,'2019'!$C$1:$AA$1,0)),0)</f>
        <v>3176.598</v>
      </c>
      <c r="G55" s="118">
        <f>_xlfn.IFNA(INDEX('2019'!$C$6:$AA$55,MATCH(G$4,'2019'!$B$6:$B$55,0),MATCH($B55,'2019'!$C$1:$AA$1,0)),0)</f>
        <v>1373.664</v>
      </c>
      <c r="H55" s="118">
        <f>_xlfn.IFNA(INDEX('2019'!$C$6:$AA$55,MATCH(H$4,'2019'!$B$6:$B$55,0),MATCH($B55,'2019'!$C$1:$AA$1,0)),0)</f>
        <v>7469.2979999999998</v>
      </c>
      <c r="I55" s="118">
        <f>_xlfn.IFNA(INDEX('2019'!$C$6:$AA$55,MATCH(I$4,'2019'!$B$6:$B$55,0),MATCH($B55,'2019'!$C$1:$AA$1,0)),0)</f>
        <v>729.75900000000001</v>
      </c>
      <c r="J55" s="118">
        <f>_xlfn.IFNA(INDEX('2019'!$C$6:$AA$55,MATCH(J$4,'2019'!$B$6:$B$55,0),MATCH($B55,'2019'!$C$1:$AA$1,0)),0)</f>
        <v>5365.875</v>
      </c>
      <c r="K55" s="118">
        <f>_xlfn.IFNA(INDEX('2019'!$C$6:$AA$55,MATCH(K$4,'2019'!$B$6:$B$55,0),MATCH($B55,'2019'!$C$1:$AA$1,0)),0)</f>
        <v>1116.1020000000001</v>
      </c>
      <c r="L55" s="118">
        <f>_xlfn.IFNA(INDEX('2019'!$C$6:$AA$55,MATCH(L$4,'2019'!$B$6:$B$55,0),MATCH($B55,'2019'!$C$1:$AA$1,0)),0)</f>
        <v>558.05100000000004</v>
      </c>
      <c r="M55" s="118">
        <f>_xlfn.IFNA(INDEX('2019'!$C$6:$AA$55,MATCH(M$4,'2019'!$B$6:$B$55,0),MATCH($B55,'2019'!$C$1:$AA$1,0)),0)</f>
        <v>558.05100000000004</v>
      </c>
      <c r="N55" s="118">
        <f>_xlfn.IFNA(INDEX('2019'!$C$6:$AA$55,MATCH(N$4,'2019'!$B$6:$B$55,0),MATCH($B55,'2019'!$C$1:$AA$1,0)),0)</f>
        <v>53229.48</v>
      </c>
      <c r="O55" s="118">
        <f>_xlfn.IFNA(INDEX('2019'!$C$6:$AA$55,MATCH(O$4,'2019'!$B$6:$B$55,0),MATCH($B55,'2019'!$C$1:$AA$1,0)),0)</f>
        <v>3219.5250000000001</v>
      </c>
      <c r="P55" s="118">
        <f t="shared" si="6"/>
        <v>79286.168999999994</v>
      </c>
    </row>
    <row r="56" spans="2:19" ht="12.75" customHeight="1">
      <c r="B56" s="129" t="s">
        <v>79</v>
      </c>
      <c r="C56" s="118">
        <f>_xlfn.IFNA(INDEX('2019'!$C$6:$AA$55,MATCH(C$4,'2019'!$B$6:$B$55,0),MATCH($B56,'2019'!$C$1:$AA$1,0)),0)</f>
        <v>0</v>
      </c>
      <c r="D56" s="118">
        <f>_xlfn.IFNA(INDEX('2019'!$C$6:$AA$55,MATCH(D$4,'2019'!$B$6:$B$55,0),MATCH($B56,'2019'!$C$1:$AA$1,0)),0)</f>
        <v>0</v>
      </c>
      <c r="E56" s="118">
        <f>_xlfn.IFNA(INDEX('2019'!$C$6:$AA$55,MATCH(E$4,'2019'!$B$6:$B$55,0),MATCH($B56,'2019'!$C$1:$AA$1,0)),0)</f>
        <v>0</v>
      </c>
      <c r="F56" s="118">
        <f>_xlfn.IFNA(INDEX('2019'!$C$6:$AA$55,MATCH(F$4,'2019'!$B$6:$B$55,0),MATCH($B56,'2019'!$C$1:$AA$1,0)),0)</f>
        <v>0</v>
      </c>
      <c r="G56" s="118">
        <f>_xlfn.IFNA(INDEX('2019'!$C$6:$AA$55,MATCH(G$4,'2019'!$B$6:$B$55,0),MATCH($B56,'2019'!$C$1:$AA$1,0)),0)</f>
        <v>0</v>
      </c>
      <c r="H56" s="118">
        <f>_xlfn.IFNA(INDEX('2019'!$C$6:$AA$55,MATCH(H$4,'2019'!$B$6:$B$55,0),MATCH($B56,'2019'!$C$1:$AA$1,0)),0)</f>
        <v>0</v>
      </c>
      <c r="I56" s="118">
        <f>_xlfn.IFNA(INDEX('2019'!$C$6:$AA$55,MATCH(I$4,'2019'!$B$6:$B$55,0),MATCH($B56,'2019'!$C$1:$AA$1,0)),0)</f>
        <v>0</v>
      </c>
      <c r="J56" s="118">
        <f>_xlfn.IFNA(INDEX('2019'!$C$6:$AA$55,MATCH(J$4,'2019'!$B$6:$B$55,0),MATCH($B56,'2019'!$C$1:$AA$1,0)),0)</f>
        <v>0</v>
      </c>
      <c r="K56" s="118">
        <f>_xlfn.IFNA(INDEX('2019'!$C$6:$AA$55,MATCH(K$4,'2019'!$B$6:$B$55,0),MATCH($B56,'2019'!$C$1:$AA$1,0)),0)</f>
        <v>0</v>
      </c>
      <c r="L56" s="118">
        <f>_xlfn.IFNA(INDEX('2019'!$C$6:$AA$55,MATCH(L$4,'2019'!$B$6:$B$55,0),MATCH($B56,'2019'!$C$1:$AA$1,0)),0)</f>
        <v>0</v>
      </c>
      <c r="M56" s="118">
        <f>_xlfn.IFNA(INDEX('2019'!$C$6:$AA$55,MATCH(M$4,'2019'!$B$6:$B$55,0),MATCH($B56,'2019'!$C$1:$AA$1,0)),0)</f>
        <v>0</v>
      </c>
      <c r="N56" s="118">
        <f>_xlfn.IFNA(INDEX('2019'!$C$6:$AA$55,MATCH(N$4,'2019'!$B$6:$B$55,0),MATCH($B56,'2019'!$C$1:$AA$1,0)),0)</f>
        <v>3086.5129999999999</v>
      </c>
      <c r="O56" s="118">
        <f>_xlfn.IFNA(INDEX('2019'!$C$6:$AA$55,MATCH(O$4,'2019'!$B$6:$B$55,0),MATCH($B56,'2019'!$C$1:$AA$1,0)),0)</f>
        <v>0</v>
      </c>
      <c r="P56" s="118">
        <f t="shared" si="6"/>
        <v>3086.5129999999999</v>
      </c>
    </row>
    <row r="57" spans="2:19" ht="12.75" customHeight="1">
      <c r="B57" s="129" t="s">
        <v>53</v>
      </c>
      <c r="C57" s="118">
        <f>_xlfn.IFNA(INDEX('2019'!$C$6:$AA$55,MATCH(C$4,'2019'!$B$6:$B$55,0),MATCH($B57,'2019'!$C$1:$AA$1,0)),0)</f>
        <v>43.073999999999998</v>
      </c>
      <c r="D57" s="118">
        <f>_xlfn.IFNA(INDEX('2019'!$C$6:$AA$55,MATCH(D$4,'2019'!$B$6:$B$55,0),MATCH($B57,'2019'!$C$1:$AA$1,0)),0)</f>
        <v>0</v>
      </c>
      <c r="E57" s="118">
        <f>_xlfn.IFNA(INDEX('2019'!$C$6:$AA$55,MATCH(E$4,'2019'!$B$6:$B$55,0),MATCH($B57,'2019'!$C$1:$AA$1,0)),0)</f>
        <v>86.147999999999996</v>
      </c>
      <c r="F57" s="118">
        <f>_xlfn.IFNA(INDEX('2019'!$C$6:$AA$55,MATCH(F$4,'2019'!$B$6:$B$55,0),MATCH($B57,'2019'!$C$1:$AA$1,0)),0)</f>
        <v>516.88800000000003</v>
      </c>
      <c r="G57" s="118">
        <f>_xlfn.IFNA(INDEX('2019'!$C$6:$AA$55,MATCH(G$4,'2019'!$B$6:$B$55,0),MATCH($B57,'2019'!$C$1:$AA$1,0)),0)</f>
        <v>215.37</v>
      </c>
      <c r="H57" s="118">
        <f>_xlfn.IFNA(INDEX('2019'!$C$6:$AA$55,MATCH(H$4,'2019'!$B$6:$B$55,0),MATCH($B57,'2019'!$C$1:$AA$1,0)),0)</f>
        <v>947.62800000000004</v>
      </c>
      <c r="I57" s="118">
        <f>_xlfn.IFNA(INDEX('2019'!$C$6:$AA$55,MATCH(I$4,'2019'!$B$6:$B$55,0),MATCH($B57,'2019'!$C$1:$AA$1,0)),0)</f>
        <v>129.22200000000001</v>
      </c>
      <c r="J57" s="118">
        <f>_xlfn.IFNA(INDEX('2019'!$C$6:$AA$55,MATCH(J$4,'2019'!$B$6:$B$55,0),MATCH($B57,'2019'!$C$1:$AA$1,0)),0)</f>
        <v>258.44400000000002</v>
      </c>
      <c r="K57" s="118">
        <f>_xlfn.IFNA(INDEX('2019'!$C$6:$AA$55,MATCH(K$4,'2019'!$B$6:$B$55,0),MATCH($B57,'2019'!$C$1:$AA$1,0)),0)</f>
        <v>86.147999999999996</v>
      </c>
      <c r="L57" s="118">
        <f>_xlfn.IFNA(INDEX('2019'!$C$6:$AA$55,MATCH(L$4,'2019'!$B$6:$B$55,0),MATCH($B57,'2019'!$C$1:$AA$1,0)),0)</f>
        <v>43.073999999999998</v>
      </c>
      <c r="M57" s="118">
        <f>_xlfn.IFNA(INDEX('2019'!$C$6:$AA$55,MATCH(M$4,'2019'!$B$6:$B$55,0),MATCH($B57,'2019'!$C$1:$AA$1,0)),0)</f>
        <v>43.073999999999998</v>
      </c>
      <c r="N57" s="118">
        <f>_xlfn.IFNA(INDEX('2019'!$C$6:$AA$55,MATCH(N$4,'2019'!$B$6:$B$55,0),MATCH($B57,'2019'!$C$1:$AA$1,0)),0)</f>
        <v>0</v>
      </c>
      <c r="O57" s="118">
        <f>_xlfn.IFNA(INDEX('2019'!$C$6:$AA$55,MATCH(O$4,'2019'!$B$6:$B$55,0),MATCH($B57,'2019'!$C$1:$AA$1,0)),0)</f>
        <v>430.74</v>
      </c>
      <c r="P57" s="118">
        <f t="shared" si="6"/>
        <v>2799.8100000000004</v>
      </c>
    </row>
    <row r="58" spans="2:19" ht="12.75" customHeight="1">
      <c r="B58" s="129" t="s">
        <v>588</v>
      </c>
      <c r="C58" s="118">
        <f>_xlfn.IFNA(INDEX('2019'!$C$6:$AA$55,MATCH(C$4,'2019'!$B$6:$B$55,0),MATCH($B58,'2019'!$C$1:$AA$1,0)),0)</f>
        <v>93782.1</v>
      </c>
      <c r="D58" s="118">
        <f>_xlfn.IFNA(INDEX('2019'!$C$6:$AA$55,MATCH(D$4,'2019'!$B$6:$B$55,0),MATCH($B58,'2019'!$C$1:$AA$1,0)),0)</f>
        <v>1692</v>
      </c>
      <c r="E58" s="118">
        <f>_xlfn.IFNA(INDEX('2019'!$C$6:$AA$55,MATCH(E$4,'2019'!$B$6:$B$55,0),MATCH($B58,'2019'!$C$1:$AA$1,0)),0)</f>
        <v>0</v>
      </c>
      <c r="F58" s="118">
        <f>_xlfn.IFNA(INDEX('2019'!$C$6:$AA$55,MATCH(F$4,'2019'!$B$6:$B$55,0),MATCH($B58,'2019'!$C$1:$AA$1,0)),0)</f>
        <v>0</v>
      </c>
      <c r="G58" s="118">
        <f>_xlfn.IFNA(INDEX('2019'!$C$6:$AA$55,MATCH(G$4,'2019'!$B$6:$B$55,0),MATCH($B58,'2019'!$C$1:$AA$1,0)),0)</f>
        <v>1139.4000000000001</v>
      </c>
      <c r="H58" s="118">
        <f>_xlfn.IFNA(INDEX('2019'!$C$6:$AA$55,MATCH(H$4,'2019'!$B$6:$B$55,0),MATCH($B58,'2019'!$C$1:$AA$1,0)),0)</f>
        <v>365.4</v>
      </c>
      <c r="I58" s="118">
        <f>_xlfn.IFNA(INDEX('2019'!$C$6:$AA$55,MATCH(I$4,'2019'!$B$6:$B$55,0),MATCH($B58,'2019'!$C$1:$AA$1,0)),0)</f>
        <v>0</v>
      </c>
      <c r="J58" s="118">
        <f>_xlfn.IFNA(INDEX('2019'!$C$6:$AA$55,MATCH(J$4,'2019'!$B$6:$B$55,0),MATCH($B58,'2019'!$C$1:$AA$1,0)),0)</f>
        <v>0</v>
      </c>
      <c r="K58" s="118">
        <f>_xlfn.IFNA(INDEX('2019'!$C$6:$AA$55,MATCH(K$4,'2019'!$B$6:$B$55,0),MATCH($B58,'2019'!$C$1:$AA$1,0)),0)</f>
        <v>0</v>
      </c>
      <c r="L58" s="118">
        <f>_xlfn.IFNA(INDEX('2019'!$C$6:$AA$55,MATCH(L$4,'2019'!$B$6:$B$55,0),MATCH($B58,'2019'!$C$1:$AA$1,0)),0)</f>
        <v>0</v>
      </c>
      <c r="M58" s="118">
        <f>_xlfn.IFNA(INDEX('2019'!$C$6:$AA$55,MATCH(M$4,'2019'!$B$6:$B$55,0),MATCH($B58,'2019'!$C$1:$AA$1,0)),0)</f>
        <v>0</v>
      </c>
      <c r="N58" s="118">
        <f>_xlfn.IFNA(INDEX('2019'!$C$6:$AA$55,MATCH(N$4,'2019'!$B$6:$B$55,0),MATCH($B58,'2019'!$C$1:$AA$1,0)),0)</f>
        <v>0</v>
      </c>
      <c r="O58" s="118">
        <f>_xlfn.IFNA(INDEX('2019'!$C$6:$AA$55,MATCH(O$4,'2019'!$B$6:$B$55,0),MATCH($B58,'2019'!$C$1:$AA$1,0)),0)</f>
        <v>13.5</v>
      </c>
      <c r="P58" s="118">
        <f t="shared" si="6"/>
        <v>96992.4</v>
      </c>
    </row>
    <row r="59" spans="2:19" ht="12.75" customHeight="1">
      <c r="B59" s="129" t="s">
        <v>51</v>
      </c>
      <c r="C59" s="118">
        <f>_xlfn.IFNA(INDEX('2019'!$C$6:$AA$55,MATCH(C$4,'2019'!$B$6:$B$55,0),MATCH($B59,'2019'!$C$1:$AA$1,0)),0)</f>
        <v>86104.111999999994</v>
      </c>
      <c r="D59" s="118">
        <f>_xlfn.IFNA(INDEX('2019'!$C$6:$AA$55,MATCH(D$4,'2019'!$B$6:$B$55,0),MATCH($B59,'2019'!$C$1:$AA$1,0)),0)</f>
        <v>209784.61600000001</v>
      </c>
      <c r="E59" s="118">
        <f>_xlfn.IFNA(INDEX('2019'!$C$6:$AA$55,MATCH(E$4,'2019'!$B$6:$B$55,0),MATCH($B59,'2019'!$C$1:$AA$1,0)),0)</f>
        <v>35464.18</v>
      </c>
      <c r="F59" s="118">
        <f>_xlfn.IFNA(INDEX('2019'!$C$6:$AA$55,MATCH(F$4,'2019'!$B$6:$B$55,0),MATCH($B59,'2019'!$C$1:$AA$1,0)),0)</f>
        <v>105073.03</v>
      </c>
      <c r="G59" s="118">
        <f>_xlfn.IFNA(INDEX('2019'!$C$6:$AA$55,MATCH(G$4,'2019'!$B$6:$B$55,0),MATCH($B59,'2019'!$C$1:$AA$1,0)),0)</f>
        <v>36605.161</v>
      </c>
      <c r="H59" s="118">
        <f>_xlfn.IFNA(INDEX('2019'!$C$6:$AA$55,MATCH(H$4,'2019'!$B$6:$B$55,0),MATCH($B59,'2019'!$C$1:$AA$1,0)),0)</f>
        <v>73810.733999999997</v>
      </c>
      <c r="I59" s="118">
        <f>_xlfn.IFNA(INDEX('2019'!$C$6:$AA$55,MATCH(I$4,'2019'!$B$6:$B$55,0),MATCH($B59,'2019'!$C$1:$AA$1,0)),0)</f>
        <v>3917.636</v>
      </c>
      <c r="J59" s="118">
        <f>_xlfn.IFNA(INDEX('2019'!$C$6:$AA$55,MATCH(J$4,'2019'!$B$6:$B$55,0),MATCH($B59,'2019'!$C$1:$AA$1,0)),0)</f>
        <v>116593.553</v>
      </c>
      <c r="K59" s="118">
        <f>_xlfn.IFNA(INDEX('2019'!$C$6:$AA$55,MATCH(K$4,'2019'!$B$6:$B$55,0),MATCH($B59,'2019'!$C$1:$AA$1,0)),0)</f>
        <v>78489.357000000004</v>
      </c>
      <c r="L59" s="118">
        <f>_xlfn.IFNA(INDEX('2019'!$C$6:$AA$55,MATCH(L$4,'2019'!$B$6:$B$55,0),MATCH($B59,'2019'!$C$1:$AA$1,0)),0)</f>
        <v>4556.9449999999997</v>
      </c>
      <c r="M59" s="118">
        <f>_xlfn.IFNA(INDEX('2019'!$C$6:$AA$55,MATCH(M$4,'2019'!$B$6:$B$55,0),MATCH($B59,'2019'!$C$1:$AA$1,0)),0)</f>
        <v>8865.5460000000003</v>
      </c>
      <c r="N59" s="118">
        <f>_xlfn.IFNA(INDEX('2019'!$C$6:$AA$55,MATCH(N$4,'2019'!$B$6:$B$55,0),MATCH($B59,'2019'!$C$1:$AA$1,0)),0)</f>
        <v>26449.200000000001</v>
      </c>
      <c r="O59" s="118">
        <f>_xlfn.IFNA(INDEX('2019'!$C$6:$AA$55,MATCH(O$4,'2019'!$B$6:$B$55,0),MATCH($B59,'2019'!$C$1:$AA$1,0)),0)</f>
        <v>29694.444</v>
      </c>
      <c r="P59" s="118">
        <f t="shared" si="6"/>
        <v>815408.51399999985</v>
      </c>
    </row>
    <row r="60" spans="2:19" ht="12.75" customHeight="1">
      <c r="B60" s="129" t="s">
        <v>77</v>
      </c>
      <c r="C60" s="118">
        <f>_xlfn.IFNA(INDEX('2019'!$C$6:$AA$55,MATCH(C$4,'2019'!$B$6:$B$55,0),MATCH($B60,'2019'!$C$1:$AA$1,0)),0)</f>
        <v>0</v>
      </c>
      <c r="D60" s="118">
        <f>_xlfn.IFNA(INDEX('2019'!$C$6:$AA$55,MATCH(D$4,'2019'!$B$6:$B$55,0),MATCH($B60,'2019'!$C$1:$AA$1,0)),0)</f>
        <v>682</v>
      </c>
      <c r="E60" s="118">
        <f>_xlfn.IFNA(INDEX('2019'!$C$6:$AA$55,MATCH(E$4,'2019'!$B$6:$B$55,0),MATCH($B60,'2019'!$C$1:$AA$1,0)),0)</f>
        <v>10</v>
      </c>
      <c r="F60" s="118">
        <f>_xlfn.IFNA(INDEX('2019'!$C$6:$AA$55,MATCH(F$4,'2019'!$B$6:$B$55,0),MATCH($B60,'2019'!$C$1:$AA$1,0)),0)</f>
        <v>12</v>
      </c>
      <c r="G60" s="118">
        <f>_xlfn.IFNA(INDEX('2019'!$C$6:$AA$55,MATCH(G$4,'2019'!$B$6:$B$55,0),MATCH($B60,'2019'!$C$1:$AA$1,0)),0)</f>
        <v>119</v>
      </c>
      <c r="H60" s="118">
        <f>_xlfn.IFNA(INDEX('2019'!$C$6:$AA$55,MATCH(H$4,'2019'!$B$6:$B$55,0),MATCH($B60,'2019'!$C$1:$AA$1,0)),0)</f>
        <v>103</v>
      </c>
      <c r="I60" s="118">
        <f>_xlfn.IFNA(INDEX('2019'!$C$6:$AA$55,MATCH(I$4,'2019'!$B$6:$B$55,0),MATCH($B60,'2019'!$C$1:$AA$1,0)),0)</f>
        <v>73</v>
      </c>
      <c r="J60" s="118">
        <f>_xlfn.IFNA(INDEX('2019'!$C$6:$AA$55,MATCH(J$4,'2019'!$B$6:$B$55,0),MATCH($B60,'2019'!$C$1:$AA$1,0)),0)</f>
        <v>844</v>
      </c>
      <c r="K60" s="118">
        <f>_xlfn.IFNA(INDEX('2019'!$C$6:$AA$55,MATCH(K$4,'2019'!$B$6:$B$55,0),MATCH($B60,'2019'!$C$1:$AA$1,0)),0)</f>
        <v>1340</v>
      </c>
      <c r="L60" s="118">
        <f>_xlfn.IFNA(INDEX('2019'!$C$6:$AA$55,MATCH(L$4,'2019'!$B$6:$B$55,0),MATCH($B60,'2019'!$C$1:$AA$1,0)),0)</f>
        <v>5</v>
      </c>
      <c r="M60" s="118">
        <f>_xlfn.IFNA(INDEX('2019'!$C$6:$AA$55,MATCH(M$4,'2019'!$B$6:$B$55,0),MATCH($B60,'2019'!$C$1:$AA$1,0)),0)</f>
        <v>3</v>
      </c>
      <c r="N60" s="118">
        <f>_xlfn.IFNA(INDEX('2019'!$C$6:$AA$55,MATCH(N$4,'2019'!$B$6:$B$55,0),MATCH($B60,'2019'!$C$1:$AA$1,0)),0)</f>
        <v>0</v>
      </c>
      <c r="O60" s="118">
        <f>_xlfn.IFNA(INDEX('2019'!$C$6:$AA$55,MATCH(O$4,'2019'!$B$6:$B$55,0),MATCH($B60,'2019'!$C$1:$AA$1,0)),0)</f>
        <v>136</v>
      </c>
      <c r="P60" s="118">
        <f t="shared" si="6"/>
        <v>3327</v>
      </c>
      <c r="R60" s="128">
        <v>0.5</v>
      </c>
      <c r="S60" s="128" t="s">
        <v>507</v>
      </c>
    </row>
    <row r="61" spans="2:19" ht="12.75" customHeight="1">
      <c r="B61" s="631" t="s">
        <v>589</v>
      </c>
      <c r="C61" s="118">
        <f>_xlfn.IFNA(INDEX('2019'!$C$6:$AA$55,MATCH(C$4,'2019'!$B$6:$B$55,0),MATCH($B61,'2019'!$C$1:$AA$1,0)),0)</f>
        <v>0</v>
      </c>
      <c r="D61" s="118">
        <f>_xlfn.IFNA(INDEX('2019'!$C$6:$AA$55,MATCH(D$4,'2019'!$B$6:$B$55,0),MATCH($B61,'2019'!$C$1:$AA$1,0)),0)</f>
        <v>0</v>
      </c>
      <c r="E61" s="118">
        <f>_xlfn.IFNA(INDEX('2019'!$C$6:$AA$55,MATCH(E$4,'2019'!$B$6:$B$55,0),MATCH($B61,'2019'!$C$1:$AA$1,0)),0)</f>
        <v>0</v>
      </c>
      <c r="F61" s="118">
        <f>_xlfn.IFNA(INDEX('2019'!$C$6:$AA$55,MATCH(F$4,'2019'!$B$6:$B$55,0),MATCH($B61,'2019'!$C$1:$AA$1,0)),0)</f>
        <v>0</v>
      </c>
      <c r="G61" s="118">
        <f>_xlfn.IFNA(INDEX('2019'!$C$6:$AA$55,MATCH(G$4,'2019'!$B$6:$B$55,0),MATCH($B61,'2019'!$C$1:$AA$1,0)),0)</f>
        <v>0</v>
      </c>
      <c r="H61" s="118">
        <f>_xlfn.IFNA(INDEX('2019'!$C$6:$AA$55,MATCH(H$4,'2019'!$B$6:$B$55,0),MATCH($B61,'2019'!$C$1:$AA$1,0)),0)</f>
        <v>0</v>
      </c>
      <c r="I61" s="118">
        <f>_xlfn.IFNA(INDEX('2019'!$C$6:$AA$55,MATCH(I$4,'2019'!$B$6:$B$55,0),MATCH($B61,'2019'!$C$1:$AA$1,0)),0)</f>
        <v>0</v>
      </c>
      <c r="J61" s="118">
        <f>_xlfn.IFNA(INDEX('2019'!$C$6:$AA$55,MATCH(J$4,'2019'!$B$6:$B$55,0),MATCH($B61,'2019'!$C$1:$AA$1,0)),0)</f>
        <v>0</v>
      </c>
      <c r="K61" s="118">
        <f>_xlfn.IFNA(INDEX('2019'!$C$6:$AA$55,MATCH(K$4,'2019'!$B$6:$B$55,0),MATCH($B61,'2019'!$C$1:$AA$1,0)),0)</f>
        <v>0</v>
      </c>
      <c r="L61" s="118">
        <f>_xlfn.IFNA(INDEX('2019'!$C$6:$AA$55,MATCH(L$4,'2019'!$B$6:$B$55,0),MATCH($B61,'2019'!$C$1:$AA$1,0)),0)</f>
        <v>0</v>
      </c>
      <c r="M61" s="118">
        <f>_xlfn.IFNA(INDEX('2019'!$C$6:$AA$55,MATCH(M$4,'2019'!$B$6:$B$55,0),MATCH($B61,'2019'!$C$1:$AA$1,0)),0)</f>
        <v>0</v>
      </c>
      <c r="N61" s="118">
        <f>_xlfn.IFNA(INDEX('2019'!$C$6:$AA$55,MATCH(N$4,'2019'!$B$6:$B$55,0),MATCH($B61,'2019'!$C$1:$AA$1,0)),0)</f>
        <v>132.70500000000001</v>
      </c>
      <c r="O61" s="118">
        <f>_xlfn.IFNA(INDEX('2019'!$C$6:$AA$55,MATCH(O$4,'2019'!$B$6:$B$55,0),MATCH($B61,'2019'!$C$1:$AA$1,0)),0)</f>
        <v>0</v>
      </c>
      <c r="P61" s="118">
        <f t="shared" si="6"/>
        <v>132.70500000000001</v>
      </c>
    </row>
    <row r="62" spans="2:19" ht="12.75" customHeight="1">
      <c r="B62" s="631" t="s">
        <v>590</v>
      </c>
      <c r="C62" s="118">
        <f>_xlfn.IFNA(INDEX('2019'!$C$6:$AA$55,MATCH(C$4,'2019'!$B$6:$B$55,0),MATCH($B62,'2019'!$C$1:$AA$1,0)),0)</f>
        <v>0</v>
      </c>
      <c r="D62" s="118">
        <f>_xlfn.IFNA(INDEX('2019'!$C$6:$AA$55,MATCH(D$4,'2019'!$B$6:$B$55,0),MATCH($B62,'2019'!$C$1:$AA$1,0)),0)</f>
        <v>0</v>
      </c>
      <c r="E62" s="118">
        <f>_xlfn.IFNA(INDEX('2019'!$C$6:$AA$55,MATCH(E$4,'2019'!$B$6:$B$55,0),MATCH($B62,'2019'!$C$1:$AA$1,0)),0)</f>
        <v>0</v>
      </c>
      <c r="F62" s="118">
        <f>_xlfn.IFNA(INDEX('2019'!$C$6:$AA$55,MATCH(F$4,'2019'!$B$6:$B$55,0),MATCH($B62,'2019'!$C$1:$AA$1,0)),0)</f>
        <v>0</v>
      </c>
      <c r="G62" s="118">
        <f>_xlfn.IFNA(INDEX('2019'!$C$6:$AA$55,MATCH(G$4,'2019'!$B$6:$B$55,0),MATCH($B62,'2019'!$C$1:$AA$1,0)),0)</f>
        <v>0</v>
      </c>
      <c r="H62" s="118">
        <f>_xlfn.IFNA(INDEX('2019'!$C$6:$AA$55,MATCH(H$4,'2019'!$B$6:$B$55,0),MATCH($B62,'2019'!$C$1:$AA$1,0)),0)</f>
        <v>0</v>
      </c>
      <c r="I62" s="118">
        <f>_xlfn.IFNA(INDEX('2019'!$C$6:$AA$55,MATCH(I$4,'2019'!$B$6:$B$55,0),MATCH($B62,'2019'!$C$1:$AA$1,0)),0)</f>
        <v>0</v>
      </c>
      <c r="J62" s="118">
        <f>_xlfn.IFNA(INDEX('2019'!$C$6:$AA$55,MATCH(J$4,'2019'!$B$6:$B$55,0),MATCH($B62,'2019'!$C$1:$AA$1,0)),0)</f>
        <v>0</v>
      </c>
      <c r="K62" s="118">
        <f>_xlfn.IFNA(INDEX('2019'!$C$6:$AA$55,MATCH(K$4,'2019'!$B$6:$B$55,0),MATCH($B62,'2019'!$C$1:$AA$1,0)),0)</f>
        <v>0</v>
      </c>
      <c r="L62" s="118">
        <f>_xlfn.IFNA(INDEX('2019'!$C$6:$AA$55,MATCH(L$4,'2019'!$B$6:$B$55,0),MATCH($B62,'2019'!$C$1:$AA$1,0)),0)</f>
        <v>0</v>
      </c>
      <c r="M62" s="118">
        <f>_xlfn.IFNA(INDEX('2019'!$C$6:$AA$55,MATCH(M$4,'2019'!$B$6:$B$55,0),MATCH($B62,'2019'!$C$1:$AA$1,0)),0)</f>
        <v>0</v>
      </c>
      <c r="N62" s="118">
        <f>_xlfn.IFNA(INDEX('2019'!$C$6:$AA$55,MATCH(N$4,'2019'!$B$6:$B$55,0),MATCH($B62,'2019'!$C$1:$AA$1,0)),0)</f>
        <v>1966.7239999999999</v>
      </c>
      <c r="O62" s="118">
        <f>_xlfn.IFNA(INDEX('2019'!$C$6:$AA$55,MATCH(O$4,'2019'!$B$6:$B$55,0),MATCH($B62,'2019'!$C$1:$AA$1,0)),0)</f>
        <v>0</v>
      </c>
      <c r="P62" s="118">
        <f t="shared" si="6"/>
        <v>1966.7239999999999</v>
      </c>
    </row>
    <row r="63" spans="2:19" ht="12.75" customHeight="1">
      <c r="B63" s="631" t="s">
        <v>597</v>
      </c>
      <c r="C63" s="118">
        <f>_xlfn.IFNA(INDEX('2019'!$C$6:$AA$55,MATCH(C$4,'2019'!$B$6:$B$55,0),MATCH($B63,'2019'!$C$1:$AA$1,0)),0)</f>
        <v>0</v>
      </c>
      <c r="D63" s="118">
        <f>_xlfn.IFNA(INDEX('2019'!$C$6:$AA$55,MATCH(D$4,'2019'!$B$6:$B$55,0),MATCH($B63,'2019'!$C$1:$AA$1,0)),0)</f>
        <v>0</v>
      </c>
      <c r="E63" s="118">
        <f>_xlfn.IFNA(INDEX('2019'!$C$6:$AA$55,MATCH(E$4,'2019'!$B$6:$B$55,0),MATCH($B63,'2019'!$C$1:$AA$1,0)),0)</f>
        <v>0</v>
      </c>
      <c r="F63" s="118">
        <f>_xlfn.IFNA(INDEX('2019'!$C$6:$AA$55,MATCH(F$4,'2019'!$B$6:$B$55,0),MATCH($B63,'2019'!$C$1:$AA$1,0)),0)</f>
        <v>0</v>
      </c>
      <c r="G63" s="118">
        <f>_xlfn.IFNA(INDEX('2019'!$C$6:$AA$55,MATCH(G$4,'2019'!$B$6:$B$55,0),MATCH($B63,'2019'!$C$1:$AA$1,0)),0)</f>
        <v>0</v>
      </c>
      <c r="H63" s="118">
        <f>_xlfn.IFNA(INDEX('2019'!$C$6:$AA$55,MATCH(H$4,'2019'!$B$6:$B$55,0),MATCH($B63,'2019'!$C$1:$AA$1,0)),0)</f>
        <v>0</v>
      </c>
      <c r="I63" s="118">
        <f>_xlfn.IFNA(INDEX('2019'!$C$6:$AA$55,MATCH(I$4,'2019'!$B$6:$B$55,0),MATCH($B63,'2019'!$C$1:$AA$1,0)),0)</f>
        <v>0</v>
      </c>
      <c r="J63" s="118">
        <f>_xlfn.IFNA(INDEX('2019'!$C$6:$AA$55,MATCH(J$4,'2019'!$B$6:$B$55,0),MATCH($B63,'2019'!$C$1:$AA$1,0)),0)</f>
        <v>0</v>
      </c>
      <c r="K63" s="118">
        <f>_xlfn.IFNA(INDEX('2019'!$C$6:$AA$55,MATCH(K$4,'2019'!$B$6:$B$55,0),MATCH($B63,'2019'!$C$1:$AA$1,0)),0)</f>
        <v>0</v>
      </c>
      <c r="L63" s="118">
        <f>_xlfn.IFNA(INDEX('2019'!$C$6:$AA$55,MATCH(L$4,'2019'!$B$6:$B$55,0),MATCH($B63,'2019'!$C$1:$AA$1,0)),0)</f>
        <v>0</v>
      </c>
      <c r="M63" s="118">
        <f>_xlfn.IFNA(INDEX('2019'!$C$6:$AA$55,MATCH(M$4,'2019'!$B$6:$B$55,0),MATCH($B63,'2019'!$C$1:$AA$1,0)),0)</f>
        <v>0</v>
      </c>
      <c r="N63" s="118">
        <f>_xlfn.IFNA(INDEX('2019'!$C$6:$AA$55,MATCH(N$4,'2019'!$B$6:$B$55,0),MATCH($B63,'2019'!$C$1:$AA$1,0)),0)</f>
        <v>0</v>
      </c>
      <c r="O63" s="118">
        <f>_xlfn.IFNA(INDEX('2019'!$C$6:$AA$55,MATCH(O$4,'2019'!$B$6:$B$55,0),MATCH($B63,'2019'!$C$1:$AA$1,0)),0)</f>
        <v>0</v>
      </c>
      <c r="P63" s="118">
        <f t="shared" si="6"/>
        <v>0</v>
      </c>
    </row>
    <row r="64" spans="2:19" ht="12.75" customHeight="1">
      <c r="B64" s="631" t="s">
        <v>591</v>
      </c>
      <c r="C64" s="118">
        <f>_xlfn.IFNA(INDEX('2019'!$C$6:$AA$55,MATCH(C$4,'2019'!$B$6:$B$55,0),MATCH($B64,'2019'!$C$1:$AA$1,0)),0)</f>
        <v>0</v>
      </c>
      <c r="D64" s="118">
        <f>_xlfn.IFNA(INDEX('2019'!$C$6:$AA$55,MATCH(D$4,'2019'!$B$6:$B$55,0),MATCH($B64,'2019'!$C$1:$AA$1,0)),0)</f>
        <v>26.925999999999998</v>
      </c>
      <c r="E64" s="118">
        <f>_xlfn.IFNA(INDEX('2019'!$C$6:$AA$55,MATCH(E$4,'2019'!$B$6:$B$55,0),MATCH($B64,'2019'!$C$1:$AA$1,0)),0)</f>
        <v>0</v>
      </c>
      <c r="F64" s="118">
        <f>_xlfn.IFNA(INDEX('2019'!$C$6:$AA$55,MATCH(F$4,'2019'!$B$6:$B$55,0),MATCH($B64,'2019'!$C$1:$AA$1,0)),0)</f>
        <v>242.334</v>
      </c>
      <c r="G64" s="118">
        <f>_xlfn.IFNA(INDEX('2019'!$C$6:$AA$55,MATCH(G$4,'2019'!$B$6:$B$55,0),MATCH($B64,'2019'!$C$1:$AA$1,0)),0)</f>
        <v>26.925999999999998</v>
      </c>
      <c r="H64" s="118">
        <f>_xlfn.IFNA(INDEX('2019'!$C$6:$AA$55,MATCH(H$4,'2019'!$B$6:$B$55,0),MATCH($B64,'2019'!$C$1:$AA$1,0)),0)</f>
        <v>80.778000000000006</v>
      </c>
      <c r="I64" s="118">
        <f>_xlfn.IFNA(INDEX('2019'!$C$6:$AA$55,MATCH(I$4,'2019'!$B$6:$B$55,0),MATCH($B64,'2019'!$C$1:$AA$1,0)),0)</f>
        <v>26.925999999999998</v>
      </c>
      <c r="J64" s="118">
        <f>_xlfn.IFNA(INDEX('2019'!$C$6:$AA$55,MATCH(J$4,'2019'!$B$6:$B$55,0),MATCH($B64,'2019'!$C$1:$AA$1,0)),0)</f>
        <v>53.851999999999997</v>
      </c>
      <c r="K64" s="118">
        <f>_xlfn.IFNA(INDEX('2019'!$C$6:$AA$55,MATCH(K$4,'2019'!$B$6:$B$55,0),MATCH($B64,'2019'!$C$1:$AA$1,0)),0)</f>
        <v>134.63</v>
      </c>
      <c r="L64" s="118">
        <f>_xlfn.IFNA(INDEX('2019'!$C$6:$AA$55,MATCH(L$4,'2019'!$B$6:$B$55,0),MATCH($B64,'2019'!$C$1:$AA$1,0)),0)</f>
        <v>53.851999999999997</v>
      </c>
      <c r="M64" s="118">
        <f>_xlfn.IFNA(INDEX('2019'!$C$6:$AA$55,MATCH(M$4,'2019'!$B$6:$B$55,0),MATCH($B64,'2019'!$C$1:$AA$1,0)),0)</f>
        <v>0</v>
      </c>
      <c r="N64" s="118">
        <f>_xlfn.IFNA(INDEX('2019'!$C$6:$AA$55,MATCH(N$4,'2019'!$B$6:$B$55,0),MATCH($B64,'2019'!$C$1:$AA$1,0)),0)</f>
        <v>0</v>
      </c>
      <c r="O64" s="118">
        <f>_xlfn.IFNA(INDEX('2019'!$C$6:$AA$55,MATCH(O$4,'2019'!$B$6:$B$55,0),MATCH($B64,'2019'!$C$1:$AA$1,0)),0)</f>
        <v>0</v>
      </c>
      <c r="P64" s="118">
        <f t="shared" si="6"/>
        <v>646.22399999999993</v>
      </c>
    </row>
    <row r="65" spans="2:19" ht="12.75" customHeight="1">
      <c r="B65" s="129" t="s">
        <v>78</v>
      </c>
      <c r="C65" s="118">
        <f>_xlfn.IFNA(INDEX('2019'!$C$6:$AA$55,MATCH(C$4,'2019'!$B$6:$B$55,0),MATCH($B65,'2019'!$C$1:$AA$1,0)),0)</f>
        <v>4</v>
      </c>
      <c r="D65" s="118">
        <f>_xlfn.IFNA(INDEX('2019'!$C$6:$AA$55,MATCH(D$4,'2019'!$B$6:$B$55,0),MATCH($B65,'2019'!$C$1:$AA$1,0)),0)</f>
        <v>1113</v>
      </c>
      <c r="E65" s="118">
        <f>_xlfn.IFNA(INDEX('2019'!$C$6:$AA$55,MATCH(E$4,'2019'!$B$6:$B$55,0),MATCH($B65,'2019'!$C$1:$AA$1,0)),0)</f>
        <v>0</v>
      </c>
      <c r="F65" s="118">
        <f>_xlfn.IFNA(INDEX('2019'!$C$6:$AA$55,MATCH(F$4,'2019'!$B$6:$B$55,0),MATCH($B65,'2019'!$C$1:$AA$1,0)),0)</f>
        <v>6651</v>
      </c>
      <c r="G65" s="118">
        <f>_xlfn.IFNA(INDEX('2019'!$C$6:$AA$55,MATCH(G$4,'2019'!$B$6:$B$55,0),MATCH($B65,'2019'!$C$1:$AA$1,0)),0)</f>
        <v>318</v>
      </c>
      <c r="H65" s="118">
        <f>_xlfn.IFNA(INDEX('2019'!$C$6:$AA$55,MATCH(H$4,'2019'!$B$6:$B$55,0),MATCH($B65,'2019'!$C$1:$AA$1,0)),0)</f>
        <v>1258</v>
      </c>
      <c r="I65" s="118">
        <f>_xlfn.IFNA(INDEX('2019'!$C$6:$AA$55,MATCH(I$4,'2019'!$B$6:$B$55,0),MATCH($B65,'2019'!$C$1:$AA$1,0)),0)</f>
        <v>130</v>
      </c>
      <c r="J65" s="118">
        <f>_xlfn.IFNA(INDEX('2019'!$C$6:$AA$55,MATCH(J$4,'2019'!$B$6:$B$55,0),MATCH($B65,'2019'!$C$1:$AA$1,0)),0)</f>
        <v>2111</v>
      </c>
      <c r="K65" s="118">
        <f>_xlfn.IFNA(INDEX('2019'!$C$6:$AA$55,MATCH(K$4,'2019'!$B$6:$B$55,0),MATCH($B65,'2019'!$C$1:$AA$1,0)),0)</f>
        <v>21064</v>
      </c>
      <c r="L65" s="118">
        <f>_xlfn.IFNA(INDEX('2019'!$C$6:$AA$55,MATCH(L$4,'2019'!$B$6:$B$55,0),MATCH($B65,'2019'!$C$1:$AA$1,0)),0)</f>
        <v>48238</v>
      </c>
      <c r="M65" s="118">
        <f>_xlfn.IFNA(INDEX('2019'!$C$6:$AA$55,MATCH(M$4,'2019'!$B$6:$B$55,0),MATCH($B65,'2019'!$C$1:$AA$1,0)),0)</f>
        <v>120</v>
      </c>
      <c r="N65" s="118">
        <f>_xlfn.IFNA(INDEX('2019'!$C$6:$AA$55,MATCH(N$4,'2019'!$B$6:$B$55,0),MATCH($B65,'2019'!$C$1:$AA$1,0)),0)</f>
        <v>0</v>
      </c>
      <c r="O65" s="118">
        <f>_xlfn.IFNA(INDEX('2019'!$C$6:$AA$55,MATCH(O$4,'2019'!$B$6:$B$55,0),MATCH($B65,'2019'!$C$1:$AA$1,0)),0)</f>
        <v>4616</v>
      </c>
      <c r="P65" s="118">
        <f>SUM(C65:O65)</f>
        <v>85623</v>
      </c>
      <c r="R65" s="128">
        <f>1-R60</f>
        <v>0.5</v>
      </c>
      <c r="S65" s="128" t="s">
        <v>507</v>
      </c>
    </row>
    <row r="66" spans="2:19" ht="12.75" customHeight="1">
      <c r="B66" s="129" t="s">
        <v>80</v>
      </c>
      <c r="C66" s="118">
        <f>_xlfn.IFNA(INDEX('2019'!$C$6:$AA$55,MATCH(C$4,'2019'!$B$6:$B$55,0),MATCH($B66,'2019'!$C$1:$AA$1,0)),0)</f>
        <v>0</v>
      </c>
      <c r="D66" s="118">
        <f>_xlfn.IFNA(INDEX('2019'!$C$6:$AA$55,MATCH(D$4,'2019'!$B$6:$B$55,0),MATCH($B66,'2019'!$C$1:$AA$1,0)),0)</f>
        <v>8748</v>
      </c>
      <c r="E66" s="118">
        <f>_xlfn.IFNA(INDEX('2019'!$C$6:$AA$55,MATCH(E$4,'2019'!$B$6:$B$55,0),MATCH($B66,'2019'!$C$1:$AA$1,0)),0)</f>
        <v>238</v>
      </c>
      <c r="F66" s="118">
        <f>_xlfn.IFNA(INDEX('2019'!$C$6:$AA$55,MATCH(F$4,'2019'!$B$6:$B$55,0),MATCH($B66,'2019'!$C$1:$AA$1,0)),0)</f>
        <v>53692</v>
      </c>
      <c r="G66" s="118">
        <f>_xlfn.IFNA(INDEX('2019'!$C$6:$AA$55,MATCH(G$4,'2019'!$B$6:$B$55,0),MATCH($B66,'2019'!$C$1:$AA$1,0)),0)</f>
        <v>0</v>
      </c>
      <c r="H66" s="118">
        <f>_xlfn.IFNA(INDEX('2019'!$C$6:$AA$55,MATCH(H$4,'2019'!$B$6:$B$55,0),MATCH($B66,'2019'!$C$1:$AA$1,0)),0)</f>
        <v>781</v>
      </c>
      <c r="I66" s="118">
        <f>_xlfn.IFNA(INDEX('2019'!$C$6:$AA$55,MATCH(I$4,'2019'!$B$6:$B$55,0),MATCH($B66,'2019'!$C$1:$AA$1,0)),0)</f>
        <v>0</v>
      </c>
      <c r="J66" s="118">
        <f>_xlfn.IFNA(INDEX('2019'!$C$6:$AA$55,MATCH(J$4,'2019'!$B$6:$B$55,0),MATCH($B66,'2019'!$C$1:$AA$1,0)),0)</f>
        <v>0</v>
      </c>
      <c r="K66" s="118">
        <f>_xlfn.IFNA(INDEX('2019'!$C$6:$AA$55,MATCH(K$4,'2019'!$B$6:$B$55,0),MATCH($B66,'2019'!$C$1:$AA$1,0)),0)</f>
        <v>12446</v>
      </c>
      <c r="L66" s="118">
        <f>_xlfn.IFNA(INDEX('2019'!$C$6:$AA$55,MATCH(L$4,'2019'!$B$6:$B$55,0),MATCH($B66,'2019'!$C$1:$AA$1,0)),0)</f>
        <v>149</v>
      </c>
      <c r="M66" s="118">
        <f>_xlfn.IFNA(INDEX('2019'!$C$6:$AA$55,MATCH(M$4,'2019'!$B$6:$B$55,0),MATCH($B66,'2019'!$C$1:$AA$1,0)),0)</f>
        <v>0</v>
      </c>
      <c r="N66" s="118">
        <f>_xlfn.IFNA(INDEX('2019'!$C$6:$AA$55,MATCH(N$4,'2019'!$B$6:$B$55,0),MATCH($B66,'2019'!$C$1:$AA$1,0)),0)</f>
        <v>0</v>
      </c>
      <c r="O66" s="118">
        <f>_xlfn.IFNA(INDEX('2019'!$C$6:$AA$55,MATCH(O$4,'2019'!$B$6:$B$55,0),MATCH($B66,'2019'!$C$1:$AA$1,0)),0)</f>
        <v>3</v>
      </c>
      <c r="P66" s="118">
        <f t="shared" ref="P66:P68" si="7">SUM(C66:O66)</f>
        <v>76057</v>
      </c>
    </row>
    <row r="67" spans="2:19" ht="12.75" customHeight="1">
      <c r="B67" s="129" t="s">
        <v>50</v>
      </c>
      <c r="C67" s="118">
        <f>_xlfn.IFNA(INDEX('2019'!$C$6:$AA$55,MATCH(C$4,'2019'!$B$6:$B$55,0),MATCH($B67,'2019'!$C$1:$AA$1,0)),0)</f>
        <v>87739.199999999997</v>
      </c>
      <c r="D67" s="118">
        <f>_xlfn.IFNA(INDEX('2019'!$C$6:$AA$55,MATCH(D$4,'2019'!$B$6:$B$55,0),MATCH($B67,'2019'!$C$1:$AA$1,0)),0)</f>
        <v>189748.8</v>
      </c>
      <c r="E67" s="118">
        <f>_xlfn.IFNA(INDEX('2019'!$C$6:$AA$55,MATCH(E$4,'2019'!$B$6:$B$55,0),MATCH($B67,'2019'!$C$1:$AA$1,0)),0)</f>
        <v>54954</v>
      </c>
      <c r="F67" s="118">
        <f>_xlfn.IFNA(INDEX('2019'!$C$6:$AA$55,MATCH(F$4,'2019'!$B$6:$B$55,0),MATCH($B67,'2019'!$C$1:$AA$1,0)),0)</f>
        <v>44971.199999999997</v>
      </c>
      <c r="G67" s="118">
        <f>_xlfn.IFNA(INDEX('2019'!$C$6:$AA$55,MATCH(G$4,'2019'!$B$6:$B$55,0),MATCH($B67,'2019'!$C$1:$AA$1,0)),0)</f>
        <v>61120.800000000003</v>
      </c>
      <c r="H67" s="118">
        <f>_xlfn.IFNA(INDEX('2019'!$C$6:$AA$55,MATCH(H$4,'2019'!$B$6:$B$55,0),MATCH($B67,'2019'!$C$1:$AA$1,0)),0)</f>
        <v>118558.8</v>
      </c>
      <c r="I67" s="118">
        <f>_xlfn.IFNA(INDEX('2019'!$C$6:$AA$55,MATCH(I$4,'2019'!$B$6:$B$55,0),MATCH($B67,'2019'!$C$1:$AA$1,0)),0)</f>
        <v>6440.4</v>
      </c>
      <c r="J67" s="118">
        <f>_xlfn.IFNA(INDEX('2019'!$C$6:$AA$55,MATCH(J$4,'2019'!$B$6:$B$55,0),MATCH($B67,'2019'!$C$1:$AA$1,0)),0)</f>
        <v>67237.2</v>
      </c>
      <c r="K67" s="118">
        <f>_xlfn.IFNA(INDEX('2019'!$C$6:$AA$55,MATCH(K$4,'2019'!$B$6:$B$55,0),MATCH($B67,'2019'!$C$1:$AA$1,0)),0)</f>
        <v>71236.800000000003</v>
      </c>
      <c r="L67" s="118">
        <f>_xlfn.IFNA(INDEX('2019'!$C$6:$AA$55,MATCH(L$4,'2019'!$B$6:$B$55,0),MATCH($B67,'2019'!$C$1:$AA$1,0)),0)</f>
        <v>16434</v>
      </c>
      <c r="M67" s="118">
        <f>_xlfn.IFNA(INDEX('2019'!$C$6:$AA$55,MATCH(M$4,'2019'!$B$6:$B$55,0),MATCH($B67,'2019'!$C$1:$AA$1,0)),0)</f>
        <v>7005.6</v>
      </c>
      <c r="N67" s="118">
        <f>_xlfn.IFNA(INDEX('2019'!$C$6:$AA$55,MATCH(N$4,'2019'!$B$6:$B$55,0),MATCH($B67,'2019'!$C$1:$AA$1,0)),0)</f>
        <v>17344.8</v>
      </c>
      <c r="O67" s="118">
        <f>_xlfn.IFNA(INDEX('2019'!$C$6:$AA$55,MATCH(O$4,'2019'!$B$6:$B$55,0),MATCH($B67,'2019'!$C$1:$AA$1,0)),0)</f>
        <v>60969.599999999999</v>
      </c>
      <c r="P67" s="118">
        <f t="shared" si="7"/>
        <v>803761.20000000007</v>
      </c>
    </row>
    <row r="68" spans="2:19" ht="12.75" customHeight="1">
      <c r="B68" s="130" t="s">
        <v>52</v>
      </c>
      <c r="C68" s="118">
        <f>_xlfn.IFNA(INDEX('2019'!$C$6:$AA$55,MATCH(C$4,'2019'!$B$6:$B$55,0),MATCH($B68,'2019'!$C$1:$AA$1,0)),0)</f>
        <v>1410</v>
      </c>
      <c r="D68" s="118">
        <f>_xlfn.IFNA(INDEX('2019'!$C$6:$AA$55,MATCH(D$4,'2019'!$B$6:$B$55,0),MATCH($B68,'2019'!$C$1:$AA$1,0)),0)</f>
        <v>105172</v>
      </c>
      <c r="E68" s="118">
        <f>_xlfn.IFNA(INDEX('2019'!$C$6:$AA$55,MATCH(E$4,'2019'!$B$6:$B$55,0),MATCH($B68,'2019'!$C$1:$AA$1,0)),0)</f>
        <v>1131</v>
      </c>
      <c r="F68" s="118">
        <f>_xlfn.IFNA(INDEX('2019'!$C$6:$AA$55,MATCH(F$4,'2019'!$B$6:$B$55,0),MATCH($B68,'2019'!$C$1:$AA$1,0)),0)</f>
        <v>889</v>
      </c>
      <c r="G68" s="118">
        <f>_xlfn.IFNA(INDEX('2019'!$C$6:$AA$55,MATCH(G$4,'2019'!$B$6:$B$55,0),MATCH($B68,'2019'!$C$1:$AA$1,0)),0)</f>
        <v>12126</v>
      </c>
      <c r="H68" s="118">
        <f>_xlfn.IFNA(INDEX('2019'!$C$6:$AA$55,MATCH(H$4,'2019'!$B$6:$B$55,0),MATCH($B68,'2019'!$C$1:$AA$1,0)),0)</f>
        <v>10178</v>
      </c>
      <c r="I68" s="118">
        <f>_xlfn.IFNA(INDEX('2019'!$C$6:$AA$55,MATCH(I$4,'2019'!$B$6:$B$55,0),MATCH($B68,'2019'!$C$1:$AA$1,0)),0)</f>
        <v>194</v>
      </c>
      <c r="J68" s="118">
        <f>_xlfn.IFNA(INDEX('2019'!$C$6:$AA$55,MATCH(J$4,'2019'!$B$6:$B$55,0),MATCH($B68,'2019'!$C$1:$AA$1,0)),0)</f>
        <v>11956</v>
      </c>
      <c r="K68" s="118">
        <f>_xlfn.IFNA(INDEX('2019'!$C$6:$AA$55,MATCH(K$4,'2019'!$B$6:$B$55,0),MATCH($B68,'2019'!$C$1:$AA$1,0)),0)</f>
        <v>26801</v>
      </c>
      <c r="L68" s="118">
        <f>_xlfn.IFNA(INDEX('2019'!$C$6:$AA$55,MATCH(L$4,'2019'!$B$6:$B$55,0),MATCH($B68,'2019'!$C$1:$AA$1,0)),0)</f>
        <v>2227</v>
      </c>
      <c r="M68" s="118">
        <f>_xlfn.IFNA(INDEX('2019'!$C$6:$AA$55,MATCH(M$4,'2019'!$B$6:$B$55,0),MATCH($B68,'2019'!$C$1:$AA$1,0)),0)</f>
        <v>544</v>
      </c>
      <c r="N68" s="118">
        <f>_xlfn.IFNA(INDEX('2019'!$C$6:$AA$55,MATCH(N$4,'2019'!$B$6:$B$55,0),MATCH($B68,'2019'!$C$1:$AA$1,0)),0)</f>
        <v>0</v>
      </c>
      <c r="O68" s="118">
        <f>_xlfn.IFNA(INDEX('2019'!$C$6:$AA$55,MATCH(O$4,'2019'!$B$6:$B$55,0),MATCH($B68,'2019'!$C$1:$AA$1,0)),0)</f>
        <v>6585</v>
      </c>
      <c r="P68" s="118">
        <f t="shared" si="7"/>
        <v>179213</v>
      </c>
    </row>
    <row r="69" spans="2:19" ht="12.75" customHeight="1">
      <c r="B69" s="129" t="s">
        <v>437</v>
      </c>
      <c r="C69" s="118">
        <f>_xlfn.IFNA(INDEX('2019'!$C$6:$AA$55,MATCH(C$4,'2019'!$B$6:$B$55,0),MATCH($B69,'2019'!$C$1:$AA$1,0)),0)</f>
        <v>0</v>
      </c>
      <c r="D69" s="118">
        <f>_xlfn.IFNA(INDEX('2019'!$C$6:$AA$55,MATCH(D$4,'2019'!$B$6:$B$55,0),MATCH($B69,'2019'!$C$1:$AA$1,0)),0)</f>
        <v>0</v>
      </c>
      <c r="E69" s="118">
        <f>_xlfn.IFNA(INDEX('2019'!$C$6:$AA$55,MATCH(E$4,'2019'!$B$6:$B$55,0),MATCH($B69,'2019'!$C$1:$AA$1,0)),0)</f>
        <v>0</v>
      </c>
      <c r="F69" s="118">
        <f>_xlfn.IFNA(INDEX('2019'!$C$6:$AA$55,MATCH(F$4,'2019'!$B$6:$B$55,0),MATCH($B69,'2019'!$C$1:$AA$1,0)),0)</f>
        <v>0</v>
      </c>
      <c r="G69" s="118">
        <f>_xlfn.IFNA(INDEX('2019'!$C$6:$AA$55,MATCH(G$4,'2019'!$B$6:$B$55,0),MATCH($B69,'2019'!$C$1:$AA$1,0)),0)</f>
        <v>0</v>
      </c>
      <c r="H69" s="118">
        <f>_xlfn.IFNA(INDEX('2019'!$C$6:$AA$55,MATCH(H$4,'2019'!$B$6:$B$55,0),MATCH($B69,'2019'!$C$1:$AA$1,0)),0)</f>
        <v>0</v>
      </c>
      <c r="I69" s="118">
        <f>_xlfn.IFNA(INDEX('2019'!$C$6:$AA$55,MATCH(I$4,'2019'!$B$6:$B$55,0),MATCH($B69,'2019'!$C$1:$AA$1,0)),0)</f>
        <v>0</v>
      </c>
      <c r="J69" s="118">
        <f>_xlfn.IFNA(INDEX('2019'!$C$6:$AA$55,MATCH(J$4,'2019'!$B$6:$B$55,0),MATCH($B69,'2019'!$C$1:$AA$1,0)),0)</f>
        <v>0</v>
      </c>
      <c r="K69" s="118">
        <f>_xlfn.IFNA(INDEX('2019'!$C$6:$AA$55,MATCH(K$4,'2019'!$B$6:$B$55,0),MATCH($B69,'2019'!$C$1:$AA$1,0)),0)</f>
        <v>0</v>
      </c>
      <c r="L69" s="118">
        <f>_xlfn.IFNA(INDEX('2019'!$C$6:$AA$55,MATCH(L$4,'2019'!$B$6:$B$55,0),MATCH($B69,'2019'!$C$1:$AA$1,0)),0)</f>
        <v>0</v>
      </c>
      <c r="M69" s="118">
        <f>_xlfn.IFNA(INDEX('2019'!$C$6:$AA$55,MATCH(M$4,'2019'!$B$6:$B$55,0),MATCH($B69,'2019'!$C$1:$AA$1,0)),0)</f>
        <v>0</v>
      </c>
      <c r="N69" s="118">
        <f>_xlfn.IFNA(INDEX('2019'!$C$6:$AA$55,MATCH(N$4,'2019'!$B$6:$B$55,0),MATCH($B69,'2019'!$C$1:$AA$1,0)),0)</f>
        <v>0</v>
      </c>
      <c r="O69" s="118">
        <f>_xlfn.IFNA(INDEX('2019'!$C$6:$AA$55,MATCH(O$4,'2019'!$B$6:$B$55,0),MATCH($B69,'2019'!$C$1:$AA$1,0)),0)</f>
        <v>0</v>
      </c>
      <c r="P69" s="118">
        <f t="shared" ref="P69" si="8">SUM(P60:P66)</f>
        <v>167752.65299999999</v>
      </c>
    </row>
    <row r="70" spans="2:19" ht="12.75" customHeight="1">
      <c r="B70" s="118" t="s">
        <v>506</v>
      </c>
      <c r="C70" s="118">
        <f t="shared" ref="C70:O70" si="9">SUM(C53:C68)</f>
        <v>297945.03499999997</v>
      </c>
      <c r="D70" s="118">
        <f t="shared" si="9"/>
        <v>554348.30900000001</v>
      </c>
      <c r="E70" s="118">
        <f t="shared" si="9"/>
        <v>94138.953999999998</v>
      </c>
      <c r="F70" s="118">
        <f t="shared" si="9"/>
        <v>271439.397</v>
      </c>
      <c r="G70" s="118">
        <f t="shared" si="9"/>
        <v>120206.201</v>
      </c>
      <c r="H70" s="118">
        <f t="shared" si="9"/>
        <v>214167.62300000002</v>
      </c>
      <c r="I70" s="118">
        <f t="shared" si="9"/>
        <v>14305.366</v>
      </c>
      <c r="J70" s="118">
        <f t="shared" si="9"/>
        <v>213476.288</v>
      </c>
      <c r="K70" s="118">
        <f t="shared" si="9"/>
        <v>223894.31700000001</v>
      </c>
      <c r="L70" s="118">
        <f t="shared" si="9"/>
        <v>72305.264999999999</v>
      </c>
      <c r="M70" s="118">
        <f t="shared" si="9"/>
        <v>17319.823</v>
      </c>
      <c r="N70" s="118">
        <f t="shared" si="9"/>
        <v>102209.42200000001</v>
      </c>
      <c r="O70" s="118">
        <f t="shared" si="9"/>
        <v>107182.65700000001</v>
      </c>
      <c r="P70" s="118">
        <f>SUM(C70:O70)</f>
        <v>2302938.6570000001</v>
      </c>
    </row>
    <row r="71" spans="2:19" ht="12.75" customHeight="1">
      <c r="B71" s="118" t="s">
        <v>57</v>
      </c>
      <c r="C71" s="118">
        <f>_xlfn.IFNA(INDEX('2019'!$C$6:$AB$55,MATCH(C$4,'2019'!$B$6:$B$55,0),MATCH($B71,'2019'!$C$1:$AB$1,0)),0)</f>
        <v>298073.03499999997</v>
      </c>
      <c r="D71" s="118">
        <f>_xlfn.IFNA(INDEX('2019'!$C$6:$AB$55,MATCH(D$4,'2019'!$B$6:$B$55,0),MATCH($B71,'2019'!$C$1:$AB$1,0)),0)</f>
        <v>567566.0689999999</v>
      </c>
      <c r="E71" s="118">
        <f>_xlfn.IFNA(INDEX('2019'!$C$6:$AB$55,MATCH(E$4,'2019'!$B$6:$B$55,0),MATCH($B71,'2019'!$C$1:$AB$1,0)),0)</f>
        <v>94496.459000000003</v>
      </c>
      <c r="F71" s="118">
        <f>_xlfn.IFNA(INDEX('2019'!$C$6:$AB$55,MATCH(F$4,'2019'!$B$6:$B$55,0),MATCH($B71,'2019'!$C$1:$AB$1,0)),0)</f>
        <v>281834.08399999997</v>
      </c>
      <c r="G71" s="118">
        <f>_xlfn.IFNA(INDEX('2019'!$C$6:$AB$55,MATCH(G$4,'2019'!$B$6:$B$55,0),MATCH($B71,'2019'!$C$1:$AB$1,0)),0)</f>
        <v>120245.702</v>
      </c>
      <c r="H71" s="118">
        <f>_xlfn.IFNA(INDEX('2019'!$C$6:$AB$55,MATCH(H$4,'2019'!$B$6:$B$55,0),MATCH($B71,'2019'!$C$1:$AB$1,0)),0)</f>
        <v>214286.12599999999</v>
      </c>
      <c r="I71" s="118">
        <f>_xlfn.IFNA(INDEX('2019'!$C$6:$AB$55,MATCH(I$4,'2019'!$B$6:$B$55,0),MATCH($B71,'2019'!$C$1:$AB$1,0)),0)</f>
        <v>14600.867</v>
      </c>
      <c r="J71" s="118">
        <f>_xlfn.IFNA(INDEX('2019'!$C$6:$AB$55,MATCH(J$4,'2019'!$B$6:$B$55,0),MATCH($B71,'2019'!$C$1:$AB$1,0)),0)</f>
        <v>213476.28799999997</v>
      </c>
      <c r="K71" s="118">
        <f>_xlfn.IFNA(INDEX('2019'!$C$6:$AB$55,MATCH(K$4,'2019'!$B$6:$B$55,0),MATCH($B71,'2019'!$C$1:$AB$1,0)),0)</f>
        <v>223933.818</v>
      </c>
      <c r="L71" s="118">
        <f>_xlfn.IFNA(INDEX('2019'!$C$6:$AB$55,MATCH(L$4,'2019'!$B$6:$B$55,0),MATCH($B71,'2019'!$C$1:$AB$1,0)),0)</f>
        <v>72305.264999999999</v>
      </c>
      <c r="M71" s="118">
        <f>_xlfn.IFNA(INDEX('2019'!$C$6:$AB$55,MATCH(M$4,'2019'!$B$6:$B$55,0),MATCH($B71,'2019'!$C$1:$AB$1,0)),0)</f>
        <v>17319.823</v>
      </c>
      <c r="N71" s="118">
        <f>_xlfn.IFNA(INDEX('2019'!$C$6:$AB$55,MATCH(N$4,'2019'!$B$6:$B$55,0),MATCH($B71,'2019'!$C$1:$AB$1,0)),0)</f>
        <v>102209.42200000001</v>
      </c>
      <c r="O71" s="118">
        <f>_xlfn.IFNA(INDEX('2019'!$C$6:$AB$55,MATCH(O$4,'2019'!$B$6:$B$55,0),MATCH($B71,'2019'!$C$1:$AB$1,0)),0)</f>
        <v>109114.849</v>
      </c>
      <c r="P71" s="118">
        <f>SUM(C71:O71)</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H14" sqref="H14"/>
    </sheetView>
  </sheetViews>
  <sheetFormatPr baseColWidth="10" defaultColWidth="8.83203125" defaultRowHeight="15"/>
  <cols>
    <col min="1" max="1" width="8.83203125" style="411"/>
    <col min="2" max="2" width="19.1640625" style="411" customWidth="1"/>
    <col min="3" max="4" width="8.1640625" style="411" bestFit="1" customWidth="1"/>
    <col min="5" max="7" width="7.1640625" style="411" customWidth="1"/>
    <col min="8" max="16384" width="8.83203125" style="411"/>
  </cols>
  <sheetData>
    <row r="2" spans="1:40">
      <c r="A2" s="411" t="s">
        <v>399</v>
      </c>
      <c r="B2" s="607" t="str">
        <f t="shared" ref="B2:AM2" si="0">B9</f>
        <v>01 Iron and steel</v>
      </c>
      <c r="C2" s="607" t="str">
        <f t="shared" si="0"/>
        <v>01 Iron and steel</v>
      </c>
      <c r="D2" s="607" t="str">
        <f t="shared" si="0"/>
        <v>01 Iron and steel</v>
      </c>
      <c r="E2" s="607" t="str">
        <f t="shared" si="0"/>
        <v>02 Chemical and petrochemical</v>
      </c>
      <c r="F2" s="607" t="str">
        <f t="shared" si="0"/>
        <v>02 Chemical and petrochemical</v>
      </c>
      <c r="G2" s="607" t="str">
        <f t="shared" si="0"/>
        <v>02 Chemical and petrochemical</v>
      </c>
      <c r="H2" s="607" t="str">
        <f t="shared" si="0"/>
        <v>03 Non-ferrous metal</v>
      </c>
      <c r="I2" s="607" t="str">
        <f t="shared" si="0"/>
        <v>03 Non-ferrous metal</v>
      </c>
      <c r="J2" s="607" t="str">
        <f t="shared" si="0"/>
        <v>03 Non-ferrous metal</v>
      </c>
      <c r="K2" s="607" t="str">
        <f t="shared" si="0"/>
        <v>04 Non-metallic minerals</v>
      </c>
      <c r="L2" s="607" t="str">
        <f t="shared" si="0"/>
        <v>04 Non-metallic minerals</v>
      </c>
      <c r="M2" s="607" t="str">
        <f t="shared" si="0"/>
        <v>04 Non-metallic minerals</v>
      </c>
      <c r="N2" s="607" t="str">
        <f t="shared" si="0"/>
        <v>05 Transport equipment</v>
      </c>
      <c r="O2" s="607" t="str">
        <f t="shared" si="0"/>
        <v>05 Transport equipment</v>
      </c>
      <c r="P2" s="607" t="str">
        <f t="shared" si="0"/>
        <v>05 Transport equipment</v>
      </c>
      <c r="Q2" s="607" t="str">
        <f t="shared" si="0"/>
        <v>06 Machinery</v>
      </c>
      <c r="R2" s="607" t="str">
        <f t="shared" si="0"/>
        <v>06 Machinery</v>
      </c>
      <c r="S2" s="607" t="str">
        <f t="shared" si="0"/>
        <v>06 Machinery</v>
      </c>
      <c r="T2" s="607" t="str">
        <f t="shared" si="0"/>
        <v>07 Mining and quarrying</v>
      </c>
      <c r="U2" s="607" t="str">
        <f t="shared" si="0"/>
        <v>07 Mining and quarrying</v>
      </c>
      <c r="V2" s="607" t="str">
        <f t="shared" si="0"/>
        <v>07 Mining and quarrying</v>
      </c>
      <c r="W2" s="607" t="str">
        <f t="shared" si="0"/>
        <v>08 Food and tobacco</v>
      </c>
      <c r="X2" s="607" t="str">
        <f t="shared" si="0"/>
        <v>08 Food and tobacco</v>
      </c>
      <c r="Y2" s="607" t="str">
        <f t="shared" si="0"/>
        <v>08 Food and tobacco</v>
      </c>
      <c r="Z2" s="607" t="str">
        <f t="shared" si="0"/>
        <v>09 Paper, pulp and printing</v>
      </c>
      <c r="AA2" s="607" t="str">
        <f t="shared" si="0"/>
        <v>09 Paper, pulp and printing</v>
      </c>
      <c r="AB2" s="607" t="str">
        <f t="shared" si="0"/>
        <v>09 Paper, pulp and printing</v>
      </c>
      <c r="AC2" s="607" t="str">
        <f t="shared" si="0"/>
        <v>010 Wood and wood products</v>
      </c>
      <c r="AD2" s="607" t="str">
        <f t="shared" si="0"/>
        <v>010 Wood and wood products</v>
      </c>
      <c r="AE2" s="607" t="str">
        <f t="shared" si="0"/>
        <v>010 Wood and wood products</v>
      </c>
      <c r="AF2" s="607" t="str">
        <f t="shared" si="0"/>
        <v>011 Textile and leather</v>
      </c>
      <c r="AG2" s="607" t="str">
        <f t="shared" si="0"/>
        <v>011 Textile and leather</v>
      </c>
      <c r="AH2" s="607" t="str">
        <f t="shared" si="0"/>
        <v>011 Textile and leather</v>
      </c>
      <c r="AI2" s="607" t="str">
        <f t="shared" si="0"/>
        <v>012 Construction</v>
      </c>
      <c r="AJ2" s="607" t="str">
        <f t="shared" si="0"/>
        <v>012 Construction</v>
      </c>
      <c r="AK2" s="607" t="str">
        <f t="shared" si="0"/>
        <v>012 Construction</v>
      </c>
      <c r="AL2" s="607" t="str">
        <f t="shared" si="0"/>
        <v>013 Non-specified</v>
      </c>
      <c r="AM2" s="607" t="str">
        <f t="shared" si="0"/>
        <v>013 Non-specified</v>
      </c>
      <c r="AN2" s="607" t="str">
        <f>AN9</f>
        <v>013 Non-specified</v>
      </c>
    </row>
    <row r="3" spans="1:40">
      <c r="B3" s="423">
        <v>2010</v>
      </c>
      <c r="C3" s="423">
        <v>2015</v>
      </c>
      <c r="D3" s="423">
        <v>2019</v>
      </c>
      <c r="E3" s="423">
        <v>2010</v>
      </c>
      <c r="F3" s="423">
        <v>2015</v>
      </c>
      <c r="G3" s="423">
        <v>2019</v>
      </c>
      <c r="H3" s="423">
        <v>2010</v>
      </c>
      <c r="I3" s="423">
        <v>2015</v>
      </c>
      <c r="J3" s="423">
        <v>2019</v>
      </c>
      <c r="K3" s="423">
        <v>2010</v>
      </c>
      <c r="L3" s="423">
        <v>2015</v>
      </c>
      <c r="M3" s="423">
        <v>2019</v>
      </c>
      <c r="N3" s="423">
        <v>2010</v>
      </c>
      <c r="O3" s="423">
        <v>2015</v>
      </c>
      <c r="P3" s="423">
        <v>2019</v>
      </c>
      <c r="Q3" s="423">
        <v>2010</v>
      </c>
      <c r="R3" s="423">
        <v>2015</v>
      </c>
      <c r="S3" s="423">
        <v>2019</v>
      </c>
      <c r="T3" s="423">
        <v>2010</v>
      </c>
      <c r="U3" s="423">
        <v>2015</v>
      </c>
      <c r="V3" s="423">
        <v>2019</v>
      </c>
      <c r="W3" s="423">
        <v>2010</v>
      </c>
      <c r="X3" s="423">
        <v>2015</v>
      </c>
      <c r="Y3" s="423">
        <v>2019</v>
      </c>
      <c r="Z3" s="423">
        <v>2010</v>
      </c>
      <c r="AA3" s="423">
        <v>2015</v>
      </c>
      <c r="AB3" s="423">
        <v>2019</v>
      </c>
      <c r="AC3" s="423">
        <v>2010</v>
      </c>
      <c r="AD3" s="423">
        <v>2015</v>
      </c>
      <c r="AE3" s="423">
        <v>2019</v>
      </c>
      <c r="AF3" s="423">
        <v>2010</v>
      </c>
      <c r="AG3" s="423">
        <v>2015</v>
      </c>
      <c r="AH3" s="423">
        <v>2019</v>
      </c>
      <c r="AI3" s="423">
        <v>2010</v>
      </c>
      <c r="AJ3" s="423">
        <v>2015</v>
      </c>
      <c r="AK3" s="423">
        <v>2019</v>
      </c>
      <c r="AL3" s="423">
        <v>2010</v>
      </c>
      <c r="AM3" s="423">
        <v>2015</v>
      </c>
      <c r="AN3" s="423">
        <v>2019</v>
      </c>
    </row>
    <row r="4" spans="1:40">
      <c r="A4" s="411" t="s">
        <v>424</v>
      </c>
      <c r="B4" s="423">
        <v>1</v>
      </c>
      <c r="C4" s="423">
        <v>1</v>
      </c>
      <c r="D4" s="423">
        <v>1</v>
      </c>
      <c r="E4" s="423">
        <v>1</v>
      </c>
      <c r="F4" s="423">
        <v>1</v>
      </c>
      <c r="G4" s="423">
        <v>1</v>
      </c>
      <c r="H4" s="423">
        <v>1</v>
      </c>
      <c r="I4" s="423">
        <v>1</v>
      </c>
      <c r="J4" s="423">
        <v>1</v>
      </c>
      <c r="K4" s="423">
        <v>0.95</v>
      </c>
      <c r="L4" s="423">
        <v>0.95</v>
      </c>
      <c r="M4" s="423">
        <v>0.95</v>
      </c>
      <c r="N4" s="423">
        <v>0.9</v>
      </c>
      <c r="O4" s="423">
        <v>0.9</v>
      </c>
      <c r="P4" s="423">
        <v>0.9</v>
      </c>
      <c r="Q4" s="423">
        <v>0.9</v>
      </c>
      <c r="R4" s="423">
        <v>0.9</v>
      </c>
      <c r="S4" s="423">
        <v>0.9</v>
      </c>
      <c r="T4" s="423">
        <v>0.9</v>
      </c>
      <c r="U4" s="423">
        <v>0.9</v>
      </c>
      <c r="V4" s="423">
        <v>0.9</v>
      </c>
      <c r="W4" s="423">
        <v>0.95</v>
      </c>
      <c r="X4" s="423">
        <v>0.95</v>
      </c>
      <c r="Y4" s="423">
        <v>0.95</v>
      </c>
      <c r="Z4" s="423">
        <v>0.9</v>
      </c>
      <c r="AA4" s="423">
        <v>0.9</v>
      </c>
      <c r="AB4" s="423">
        <v>0.9</v>
      </c>
      <c r="AC4" s="423">
        <v>0.9</v>
      </c>
      <c r="AD4" s="423">
        <v>0.9</v>
      </c>
      <c r="AE4" s="423">
        <v>0.9</v>
      </c>
      <c r="AF4" s="423">
        <v>0.9</v>
      </c>
      <c r="AG4" s="423">
        <v>0.9</v>
      </c>
      <c r="AH4" s="423">
        <v>0.9</v>
      </c>
      <c r="AI4" s="423">
        <v>0.9</v>
      </c>
      <c r="AJ4" s="423">
        <v>0.9</v>
      </c>
      <c r="AK4" s="423">
        <v>0.9</v>
      </c>
      <c r="AL4" s="423">
        <v>0.9</v>
      </c>
      <c r="AM4" s="423">
        <v>0.9</v>
      </c>
      <c r="AN4" s="423">
        <v>0.9</v>
      </c>
    </row>
    <row r="5" spans="1:40">
      <c r="A5" s="442" t="s">
        <v>425</v>
      </c>
      <c r="B5" s="423">
        <v>0</v>
      </c>
      <c r="C5" s="423">
        <v>0</v>
      </c>
      <c r="D5" s="423">
        <v>0</v>
      </c>
      <c r="E5" s="423">
        <v>0</v>
      </c>
      <c r="F5" s="423">
        <v>0</v>
      </c>
      <c r="G5" s="423">
        <v>0</v>
      </c>
      <c r="H5" s="423">
        <v>0</v>
      </c>
      <c r="I5" s="423">
        <v>0</v>
      </c>
      <c r="J5" s="423">
        <v>0</v>
      </c>
      <c r="K5" s="423">
        <v>0</v>
      </c>
      <c r="L5" s="423">
        <v>0</v>
      </c>
      <c r="M5" s="423">
        <v>0</v>
      </c>
      <c r="N5" s="423">
        <v>0.05</v>
      </c>
      <c r="O5" s="423">
        <v>0.05</v>
      </c>
      <c r="P5" s="423">
        <v>0.05</v>
      </c>
      <c r="Q5" s="423">
        <v>0.05</v>
      </c>
      <c r="R5" s="423">
        <v>0.05</v>
      </c>
      <c r="S5" s="423">
        <v>0.05</v>
      </c>
      <c r="T5" s="423">
        <v>0.05</v>
      </c>
      <c r="U5" s="423">
        <v>0.05</v>
      </c>
      <c r="V5" s="423">
        <v>0.05</v>
      </c>
      <c r="W5" s="423">
        <v>0</v>
      </c>
      <c r="X5" s="423">
        <v>0</v>
      </c>
      <c r="Y5" s="423">
        <v>0</v>
      </c>
      <c r="Z5" s="423">
        <v>0.05</v>
      </c>
      <c r="AA5" s="423">
        <v>0.05</v>
      </c>
      <c r="AB5" s="423">
        <v>0.05</v>
      </c>
      <c r="AC5" s="423">
        <v>0.05</v>
      </c>
      <c r="AD5" s="423">
        <v>0.05</v>
      </c>
      <c r="AE5" s="423">
        <v>0.05</v>
      </c>
      <c r="AF5" s="423">
        <v>0.05</v>
      </c>
      <c r="AG5" s="423">
        <v>0.05</v>
      </c>
      <c r="AH5" s="423">
        <v>0.05</v>
      </c>
      <c r="AI5" s="423">
        <v>0.05</v>
      </c>
      <c r="AJ5" s="423">
        <v>0.05</v>
      </c>
      <c r="AK5" s="423">
        <v>0.05</v>
      </c>
      <c r="AL5" s="423">
        <v>0.05</v>
      </c>
      <c r="AM5" s="423">
        <v>0.05</v>
      </c>
      <c r="AN5" s="423">
        <v>0.05</v>
      </c>
    </row>
    <row r="6" spans="1:40">
      <c r="A6" s="587" t="s">
        <v>525</v>
      </c>
      <c r="B6" s="423">
        <v>0</v>
      </c>
      <c r="C6" s="423">
        <v>0</v>
      </c>
      <c r="D6" s="423">
        <v>0</v>
      </c>
      <c r="E6" s="423">
        <v>0</v>
      </c>
      <c r="F6" s="423">
        <v>0</v>
      </c>
      <c r="G6" s="423">
        <v>0</v>
      </c>
      <c r="H6" s="423">
        <v>0</v>
      </c>
      <c r="I6" s="423">
        <v>0</v>
      </c>
      <c r="J6" s="423">
        <v>0</v>
      </c>
      <c r="K6" s="423">
        <v>0.05</v>
      </c>
      <c r="L6" s="423">
        <v>0.05</v>
      </c>
      <c r="M6" s="423">
        <v>0.05</v>
      </c>
      <c r="N6" s="423">
        <v>0.05</v>
      </c>
      <c r="O6" s="423">
        <v>0.05</v>
      </c>
      <c r="P6" s="423">
        <v>0.05</v>
      </c>
      <c r="Q6" s="423">
        <v>0.05</v>
      </c>
      <c r="R6" s="423">
        <v>0.05</v>
      </c>
      <c r="S6" s="423">
        <v>0.05</v>
      </c>
      <c r="T6" s="423">
        <v>0.05</v>
      </c>
      <c r="U6" s="423">
        <v>0.05</v>
      </c>
      <c r="V6" s="423">
        <v>0.05</v>
      </c>
      <c r="W6" s="423">
        <v>0.05</v>
      </c>
      <c r="X6" s="423">
        <v>0.05</v>
      </c>
      <c r="Y6" s="423">
        <v>0.05</v>
      </c>
      <c r="Z6" s="423">
        <v>0.05</v>
      </c>
      <c r="AA6" s="423">
        <v>0.05</v>
      </c>
      <c r="AB6" s="423">
        <v>0.05</v>
      </c>
      <c r="AC6" s="423">
        <v>0.05</v>
      </c>
      <c r="AD6" s="423">
        <v>0.05</v>
      </c>
      <c r="AE6" s="423">
        <v>0.05</v>
      </c>
      <c r="AF6" s="423">
        <v>0.05</v>
      </c>
      <c r="AG6" s="423">
        <v>0.05</v>
      </c>
      <c r="AH6" s="423">
        <v>0.05</v>
      </c>
      <c r="AI6" s="423">
        <v>0.05</v>
      </c>
      <c r="AJ6" s="423">
        <v>0.05</v>
      </c>
      <c r="AK6" s="423">
        <v>0.05</v>
      </c>
      <c r="AL6" s="423">
        <v>0.05</v>
      </c>
      <c r="AM6" s="423">
        <v>0.05</v>
      </c>
      <c r="AN6" s="423">
        <v>0.05</v>
      </c>
    </row>
    <row r="9" spans="1:40">
      <c r="B9" s="411" t="s">
        <v>545</v>
      </c>
      <c r="C9" s="411" t="str">
        <f>B9</f>
        <v>01 Iron and steel</v>
      </c>
      <c r="D9" s="411" t="str">
        <f>C9</f>
        <v>01 Iron and steel</v>
      </c>
      <c r="E9" s="411" t="s">
        <v>546</v>
      </c>
      <c r="F9" s="411" t="str">
        <f>E9</f>
        <v>02 Chemical and petrochemical</v>
      </c>
      <c r="G9" s="411" t="str">
        <f>F9</f>
        <v>02 Chemical and petrochemical</v>
      </c>
      <c r="H9" s="411" t="s">
        <v>547</v>
      </c>
      <c r="I9" s="411" t="str">
        <f>H9</f>
        <v>03 Non-ferrous metal</v>
      </c>
      <c r="J9" s="411" t="str">
        <f>I9</f>
        <v>03 Non-ferrous metal</v>
      </c>
      <c r="K9" s="411" t="s">
        <v>548</v>
      </c>
      <c r="L9" s="411" t="str">
        <f>K9</f>
        <v>04 Non-metallic minerals</v>
      </c>
      <c r="M9" s="411" t="str">
        <f>L9</f>
        <v>04 Non-metallic minerals</v>
      </c>
      <c r="N9" s="411" t="s">
        <v>549</v>
      </c>
      <c r="O9" s="411" t="str">
        <f>N9</f>
        <v>05 Transport equipment</v>
      </c>
      <c r="P9" s="411" t="str">
        <f>O9</f>
        <v>05 Transport equipment</v>
      </c>
      <c r="Q9" s="411" t="s">
        <v>550</v>
      </c>
      <c r="R9" s="411" t="str">
        <f>Q9</f>
        <v>06 Machinery</v>
      </c>
      <c r="S9" s="411" t="str">
        <f>R9</f>
        <v>06 Machinery</v>
      </c>
      <c r="T9" s="411" t="s">
        <v>551</v>
      </c>
      <c r="U9" s="411" t="str">
        <f>T9</f>
        <v>07 Mining and quarrying</v>
      </c>
      <c r="V9" s="411" t="str">
        <f>U9</f>
        <v>07 Mining and quarrying</v>
      </c>
      <c r="W9" s="411" t="s">
        <v>552</v>
      </c>
      <c r="X9" s="411" t="str">
        <f>W9</f>
        <v>08 Food and tobacco</v>
      </c>
      <c r="Y9" s="411" t="str">
        <f>X9</f>
        <v>08 Food and tobacco</v>
      </c>
      <c r="Z9" s="411" t="s">
        <v>553</v>
      </c>
      <c r="AA9" s="411" t="str">
        <f>Z9</f>
        <v>09 Paper, pulp and printing</v>
      </c>
      <c r="AB9" s="411" t="str">
        <f>AA9</f>
        <v>09 Paper, pulp and printing</v>
      </c>
      <c r="AC9" s="411" t="s">
        <v>554</v>
      </c>
      <c r="AD9" s="411" t="str">
        <f>AC9</f>
        <v>010 Wood and wood products</v>
      </c>
      <c r="AE9" s="411" t="str">
        <f>AD9</f>
        <v>010 Wood and wood products</v>
      </c>
      <c r="AF9" s="411" t="s">
        <v>555</v>
      </c>
      <c r="AG9" s="411" t="str">
        <f>AF9</f>
        <v>011 Textile and leather</v>
      </c>
      <c r="AH9" s="411" t="str">
        <f>AG9</f>
        <v>011 Textile and leather</v>
      </c>
      <c r="AI9" s="411" t="s">
        <v>556</v>
      </c>
      <c r="AJ9" s="411" t="str">
        <f>AI9</f>
        <v>012 Construction</v>
      </c>
      <c r="AK9" s="411" t="str">
        <f>AJ9</f>
        <v>012 Construction</v>
      </c>
      <c r="AL9" s="411" t="s">
        <v>557</v>
      </c>
      <c r="AM9" s="411" t="str">
        <f>AL9</f>
        <v>013 Non-specified</v>
      </c>
      <c r="AN9" s="411" t="str">
        <f>AM9</f>
        <v>013 Non-specified</v>
      </c>
    </row>
    <row r="14" spans="1:40" s="443" customFormat="1"/>
    <row r="15" spans="1:40" ht="15" customHeight="1">
      <c r="C15" s="660" t="s">
        <v>366</v>
      </c>
      <c r="D15" s="660"/>
      <c r="E15" s="660" t="s">
        <v>367</v>
      </c>
      <c r="F15" s="660"/>
      <c r="G15" s="412"/>
      <c r="H15" s="660" t="s">
        <v>368</v>
      </c>
      <c r="I15" s="660"/>
      <c r="J15" s="660"/>
      <c r="L15" s="660" t="s">
        <v>369</v>
      </c>
      <c r="M15" s="660"/>
      <c r="N15" s="660"/>
      <c r="P15" s="660" t="s">
        <v>370</v>
      </c>
      <c r="Q15" s="660"/>
      <c r="R15" s="660"/>
    </row>
    <row r="16" spans="1:40">
      <c r="A16" s="413"/>
      <c r="C16" s="414">
        <v>2010</v>
      </c>
      <c r="D16" s="414">
        <v>2012</v>
      </c>
      <c r="E16" s="414">
        <v>2010</v>
      </c>
      <c r="F16" s="414">
        <v>2012</v>
      </c>
      <c r="H16" s="414">
        <v>2010</v>
      </c>
      <c r="I16" s="414">
        <v>2012</v>
      </c>
      <c r="J16" s="414">
        <v>2014</v>
      </c>
      <c r="L16" s="414">
        <v>2010</v>
      </c>
      <c r="M16" s="414">
        <v>2012</v>
      </c>
      <c r="N16" s="414">
        <v>2014</v>
      </c>
      <c r="P16" s="414">
        <v>2010</v>
      </c>
      <c r="Q16" s="414">
        <v>2012</v>
      </c>
      <c r="R16" s="414">
        <v>2014</v>
      </c>
    </row>
    <row r="17" spans="1:18">
      <c r="A17" s="662" t="s">
        <v>371</v>
      </c>
      <c r="B17" s="415" t="s">
        <v>372</v>
      </c>
      <c r="C17" s="416">
        <v>738348</v>
      </c>
      <c r="D17" s="416">
        <v>732580</v>
      </c>
      <c r="E17" s="417">
        <v>4079</v>
      </c>
      <c r="F17" s="417">
        <v>3054</v>
      </c>
      <c r="H17" s="416">
        <v>271662</v>
      </c>
      <c r="I17" s="416">
        <v>278352</v>
      </c>
      <c r="J17" s="416">
        <v>284962</v>
      </c>
      <c r="L17" s="416">
        <v>3111</v>
      </c>
      <c r="M17" s="416">
        <v>3304</v>
      </c>
      <c r="N17" s="416">
        <v>3453</v>
      </c>
      <c r="P17" s="416">
        <v>38952</v>
      </c>
      <c r="Q17" s="416">
        <v>41807</v>
      </c>
      <c r="R17" s="416">
        <v>42323</v>
      </c>
    </row>
    <row r="18" spans="1:18">
      <c r="A18" s="662"/>
      <c r="B18" s="415" t="s">
        <v>373</v>
      </c>
      <c r="C18" s="661">
        <v>778396</v>
      </c>
      <c r="D18" s="416"/>
      <c r="E18" s="417">
        <v>31</v>
      </c>
      <c r="F18" s="417">
        <v>57</v>
      </c>
      <c r="H18" s="416">
        <v>536499</v>
      </c>
      <c r="I18" s="416">
        <v>556254</v>
      </c>
      <c r="J18" s="416">
        <v>575757</v>
      </c>
      <c r="L18" s="416">
        <v>5542</v>
      </c>
      <c r="M18" s="416">
        <v>6020</v>
      </c>
      <c r="N18" s="416">
        <v>6390</v>
      </c>
      <c r="P18" s="416">
        <v>41663</v>
      </c>
      <c r="Q18" s="416">
        <v>40509</v>
      </c>
      <c r="R18" s="416">
        <v>49616</v>
      </c>
    </row>
    <row r="19" spans="1:18">
      <c r="A19" s="662"/>
      <c r="B19" s="415" t="s">
        <v>374</v>
      </c>
      <c r="C19" s="661"/>
      <c r="D19" s="416">
        <v>772252</v>
      </c>
      <c r="E19" s="417">
        <v>23</v>
      </c>
      <c r="F19" s="418" t="s">
        <v>375</v>
      </c>
      <c r="H19" s="416">
        <v>586860</v>
      </c>
      <c r="I19" s="416">
        <v>613285</v>
      </c>
      <c r="J19" s="416">
        <v>634463</v>
      </c>
      <c r="L19" s="416">
        <v>4618</v>
      </c>
      <c r="M19" s="416">
        <v>5089</v>
      </c>
      <c r="N19" s="416">
        <v>5484</v>
      </c>
      <c r="P19" s="416">
        <v>30357</v>
      </c>
      <c r="Q19" s="416">
        <v>32379</v>
      </c>
      <c r="R19" s="416">
        <v>35806</v>
      </c>
    </row>
    <row r="20" spans="1:18">
      <c r="A20" s="662"/>
      <c r="B20" s="415" t="s">
        <v>376</v>
      </c>
      <c r="C20" s="416">
        <v>1053545</v>
      </c>
      <c r="D20" s="416">
        <v>1043902</v>
      </c>
      <c r="E20" s="417">
        <v>0</v>
      </c>
      <c r="F20" s="417">
        <v>0</v>
      </c>
      <c r="H20" s="416">
        <v>190709</v>
      </c>
      <c r="I20" s="416">
        <v>192791</v>
      </c>
      <c r="J20" s="416">
        <v>194433</v>
      </c>
      <c r="L20" s="416">
        <v>2104</v>
      </c>
      <c r="M20" s="416">
        <v>2187</v>
      </c>
      <c r="N20" s="416">
        <v>2276</v>
      </c>
      <c r="P20" s="416">
        <v>17113</v>
      </c>
      <c r="Q20" s="416">
        <v>19302</v>
      </c>
      <c r="R20" s="416">
        <v>19846</v>
      </c>
    </row>
    <row r="21" spans="1:18">
      <c r="A21" s="662"/>
      <c r="B21" s="415" t="s">
        <v>377</v>
      </c>
      <c r="C21" s="416">
        <v>1021771</v>
      </c>
      <c r="D21" s="416">
        <v>1003506</v>
      </c>
      <c r="E21" s="417">
        <v>0</v>
      </c>
      <c r="F21" s="417">
        <v>0</v>
      </c>
      <c r="H21" s="416">
        <v>185216</v>
      </c>
      <c r="I21" s="416">
        <v>187147</v>
      </c>
      <c r="J21" s="416">
        <v>187820</v>
      </c>
      <c r="L21" s="416">
        <v>2509</v>
      </c>
      <c r="M21" s="416">
        <v>2640</v>
      </c>
      <c r="N21" s="416">
        <v>2703</v>
      </c>
      <c r="P21" s="416">
        <v>15262</v>
      </c>
      <c r="Q21" s="416">
        <v>16320</v>
      </c>
      <c r="R21" s="416">
        <v>17732</v>
      </c>
    </row>
    <row r="22" spans="1:18">
      <c r="A22" s="662"/>
      <c r="B22" s="415" t="s">
        <v>378</v>
      </c>
      <c r="C22" s="416">
        <v>514576</v>
      </c>
      <c r="D22" s="416">
        <v>508558</v>
      </c>
      <c r="E22" s="417">
        <v>18</v>
      </c>
      <c r="F22" s="418" t="s">
        <v>375</v>
      </c>
      <c r="H22" s="416">
        <v>257673</v>
      </c>
      <c r="I22" s="416">
        <v>265164</v>
      </c>
      <c r="J22" s="416">
        <v>272228</v>
      </c>
      <c r="L22" s="416">
        <v>3522</v>
      </c>
      <c r="M22" s="416">
        <v>3824</v>
      </c>
      <c r="N22" s="416">
        <v>4020</v>
      </c>
      <c r="P22" s="416">
        <v>43314</v>
      </c>
      <c r="Q22" s="416">
        <v>45687</v>
      </c>
      <c r="R22" s="416">
        <v>47588</v>
      </c>
    </row>
    <row r="23" spans="1:18">
      <c r="A23" s="662"/>
      <c r="B23" s="415" t="s">
        <v>379</v>
      </c>
      <c r="C23" s="416">
        <v>410473</v>
      </c>
      <c r="D23" s="416">
        <v>409095</v>
      </c>
      <c r="E23" s="417">
        <v>904</v>
      </c>
      <c r="F23" s="417">
        <v>816</v>
      </c>
      <c r="H23" s="416">
        <v>231286</v>
      </c>
      <c r="I23" s="416">
        <v>236424</v>
      </c>
      <c r="J23" s="416">
        <v>240860</v>
      </c>
      <c r="L23" s="416">
        <v>2687</v>
      </c>
      <c r="M23" s="416">
        <v>2801</v>
      </c>
      <c r="N23" s="416">
        <v>2926</v>
      </c>
      <c r="P23" s="416">
        <v>52676</v>
      </c>
      <c r="Q23" s="416">
        <v>59615</v>
      </c>
      <c r="R23" s="416">
        <v>59933</v>
      </c>
    </row>
    <row r="24" spans="1:18">
      <c r="A24" s="662"/>
      <c r="B24" s="415" t="s">
        <v>380</v>
      </c>
      <c r="C24" s="416">
        <v>250134</v>
      </c>
      <c r="D24" s="416">
        <v>243718</v>
      </c>
      <c r="E24" s="417">
        <v>440</v>
      </c>
      <c r="F24" s="417">
        <v>678</v>
      </c>
      <c r="H24" s="416">
        <v>168231</v>
      </c>
      <c r="I24" s="416">
        <v>170023</v>
      </c>
      <c r="J24" s="416">
        <v>171469</v>
      </c>
      <c r="L24" s="416">
        <v>2040</v>
      </c>
      <c r="M24" s="416">
        <v>2185</v>
      </c>
      <c r="N24" s="416">
        <v>2264</v>
      </c>
      <c r="P24" s="416">
        <v>34478</v>
      </c>
      <c r="Q24" s="416">
        <v>33228</v>
      </c>
      <c r="R24" s="416">
        <v>34083</v>
      </c>
    </row>
    <row r="25" spans="1:18">
      <c r="A25" s="662"/>
      <c r="B25" s="415" t="s">
        <v>381</v>
      </c>
      <c r="C25" s="416">
        <v>110799</v>
      </c>
      <c r="D25" s="416">
        <v>110102</v>
      </c>
      <c r="E25" s="417">
        <v>2277</v>
      </c>
      <c r="F25" s="417">
        <v>2214</v>
      </c>
      <c r="H25" s="416">
        <v>108499</v>
      </c>
      <c r="I25" s="416">
        <v>111495</v>
      </c>
      <c r="J25" s="416">
        <v>113747</v>
      </c>
      <c r="L25" s="416">
        <v>1353</v>
      </c>
      <c r="M25" s="416">
        <v>1458</v>
      </c>
      <c r="N25" s="416">
        <v>1555</v>
      </c>
      <c r="P25" s="416">
        <v>10935</v>
      </c>
      <c r="Q25" s="416">
        <v>9834</v>
      </c>
      <c r="R25" s="416">
        <v>10135</v>
      </c>
    </row>
    <row r="26" spans="1:18">
      <c r="A26" s="662"/>
      <c r="B26" s="415" t="s">
        <v>382</v>
      </c>
      <c r="C26" s="416">
        <v>188389</v>
      </c>
      <c r="D26" s="416">
        <v>182735</v>
      </c>
      <c r="E26" s="417">
        <v>20418</v>
      </c>
      <c r="F26" s="417">
        <v>15820</v>
      </c>
      <c r="H26" s="416">
        <v>170377</v>
      </c>
      <c r="I26" s="416">
        <v>174324</v>
      </c>
      <c r="J26" s="416">
        <v>178478</v>
      </c>
      <c r="L26" s="416">
        <v>2216</v>
      </c>
      <c r="M26" s="416">
        <v>2373</v>
      </c>
      <c r="N26" s="416">
        <v>2514</v>
      </c>
      <c r="P26" s="416">
        <v>59790</v>
      </c>
      <c r="Q26" s="416">
        <v>57516</v>
      </c>
      <c r="R26" s="416">
        <v>71780</v>
      </c>
    </row>
    <row r="27" spans="1:18">
      <c r="A27" s="662"/>
      <c r="B27" s="415" t="s">
        <v>383</v>
      </c>
      <c r="C27" s="428">
        <v>999097</v>
      </c>
      <c r="D27" s="416">
        <v>998029</v>
      </c>
      <c r="E27" s="417">
        <v>143625</v>
      </c>
      <c r="F27" s="417">
        <v>76213</v>
      </c>
      <c r="H27" s="416">
        <v>427947</v>
      </c>
      <c r="I27" s="416">
        <v>443115</v>
      </c>
      <c r="J27" s="416">
        <v>459625</v>
      </c>
      <c r="L27" s="416">
        <v>3884</v>
      </c>
      <c r="M27" s="416">
        <v>4190</v>
      </c>
      <c r="N27" s="416">
        <v>4335</v>
      </c>
      <c r="P27" s="416">
        <v>66017</v>
      </c>
      <c r="Q27" s="416">
        <v>80256</v>
      </c>
      <c r="R27" s="416">
        <v>85009</v>
      </c>
    </row>
    <row r="28" spans="1:18">
      <c r="A28" s="662"/>
      <c r="B28" s="419" t="s">
        <v>385</v>
      </c>
      <c r="C28" s="416">
        <v>414683</v>
      </c>
      <c r="D28" s="416">
        <v>404670</v>
      </c>
      <c r="E28" s="417">
        <v>667166</v>
      </c>
      <c r="F28" s="417">
        <v>487093</v>
      </c>
      <c r="H28" s="416">
        <v>477175</v>
      </c>
      <c r="I28" s="416">
        <v>490570</v>
      </c>
      <c r="J28" s="416">
        <v>505246</v>
      </c>
      <c r="L28" s="416">
        <v>4647</v>
      </c>
      <c r="M28" s="416">
        <v>4911</v>
      </c>
      <c r="N28" s="416">
        <v>5122</v>
      </c>
      <c r="P28" s="416">
        <v>102341</v>
      </c>
      <c r="Q28" s="416">
        <v>128552</v>
      </c>
      <c r="R28" s="416">
        <v>130514</v>
      </c>
    </row>
    <row r="29" spans="1:18">
      <c r="A29" s="663"/>
      <c r="B29" s="419" t="s">
        <v>386</v>
      </c>
      <c r="C29" s="416">
        <v>447064</v>
      </c>
      <c r="D29" s="416">
        <v>429848</v>
      </c>
      <c r="E29" s="417">
        <v>175494</v>
      </c>
      <c r="F29" s="417">
        <v>144199</v>
      </c>
      <c r="H29" s="416">
        <v>107080</v>
      </c>
      <c r="I29" s="416">
        <v>108201</v>
      </c>
      <c r="J29" s="416">
        <v>108965</v>
      </c>
      <c r="L29" s="416">
        <v>1402</v>
      </c>
      <c r="M29" s="416">
        <v>1476</v>
      </c>
      <c r="N29" s="416">
        <v>1496</v>
      </c>
      <c r="P29" s="416">
        <v>25361</v>
      </c>
      <c r="Q29" s="416">
        <v>26324</v>
      </c>
      <c r="R29" s="416">
        <v>27010</v>
      </c>
    </row>
    <row r="30" spans="1:18">
      <c r="A30" s="664" t="s">
        <v>384</v>
      </c>
      <c r="B30" s="424" t="s">
        <v>387</v>
      </c>
      <c r="C30" s="425">
        <v>567702</v>
      </c>
      <c r="D30" s="425">
        <v>548806</v>
      </c>
      <c r="E30" s="426">
        <v>686310</v>
      </c>
      <c r="F30" s="426">
        <v>518127</v>
      </c>
      <c r="G30" s="427"/>
      <c r="H30" s="425">
        <v>251262</v>
      </c>
      <c r="I30" s="425">
        <v>256628</v>
      </c>
      <c r="J30" s="425">
        <v>261530</v>
      </c>
      <c r="K30" s="427"/>
      <c r="L30" s="425">
        <v>2706</v>
      </c>
      <c r="M30" s="425">
        <v>2900</v>
      </c>
      <c r="N30" s="425">
        <v>2943</v>
      </c>
      <c r="O30" s="427"/>
      <c r="P30" s="425">
        <v>72807</v>
      </c>
      <c r="Q30" s="425">
        <v>75575</v>
      </c>
      <c r="R30" s="425">
        <v>83382</v>
      </c>
    </row>
    <row r="31" spans="1:18">
      <c r="A31" s="662"/>
      <c r="B31" s="419" t="s">
        <v>388</v>
      </c>
      <c r="C31" s="416">
        <v>745976</v>
      </c>
      <c r="D31" s="416">
        <v>740006</v>
      </c>
      <c r="E31" s="417">
        <v>52761</v>
      </c>
      <c r="F31" s="417">
        <v>45585</v>
      </c>
      <c r="H31" s="416">
        <v>290547</v>
      </c>
      <c r="I31" s="416">
        <v>297950</v>
      </c>
      <c r="J31" s="416">
        <v>306197</v>
      </c>
      <c r="L31" s="416">
        <v>2568</v>
      </c>
      <c r="M31" s="416">
        <v>2783</v>
      </c>
      <c r="N31" s="416">
        <v>2905</v>
      </c>
      <c r="P31" s="416">
        <v>31925</v>
      </c>
      <c r="Q31" s="416">
        <v>32766</v>
      </c>
      <c r="R31" s="416">
        <v>43622</v>
      </c>
    </row>
    <row r="32" spans="1:18">
      <c r="A32" s="662"/>
      <c r="B32" s="419" t="s">
        <v>389</v>
      </c>
      <c r="C32" s="416">
        <v>871595</v>
      </c>
      <c r="D32" s="416">
        <v>864380</v>
      </c>
      <c r="E32" s="417">
        <v>36847</v>
      </c>
      <c r="F32" s="417">
        <v>31775</v>
      </c>
      <c r="H32" s="416">
        <v>131555</v>
      </c>
      <c r="I32" s="416">
        <v>133390</v>
      </c>
      <c r="J32" s="416">
        <v>135142</v>
      </c>
      <c r="L32" s="416">
        <v>1137</v>
      </c>
      <c r="M32" s="416">
        <v>1234</v>
      </c>
      <c r="N32" s="416">
        <v>1304</v>
      </c>
      <c r="P32" s="416">
        <v>13661</v>
      </c>
      <c r="Q32" s="416">
        <v>16946</v>
      </c>
      <c r="R32" s="416">
        <v>16540</v>
      </c>
    </row>
    <row r="33" spans="1:18">
      <c r="A33" s="662"/>
      <c r="B33" s="419" t="s">
        <v>390</v>
      </c>
      <c r="C33" s="416">
        <v>570093</v>
      </c>
      <c r="D33" s="416">
        <v>560277</v>
      </c>
      <c r="E33" s="417">
        <v>529812</v>
      </c>
      <c r="F33" s="417">
        <v>464732</v>
      </c>
      <c r="H33" s="416">
        <v>236271</v>
      </c>
      <c r="I33" s="416">
        <v>238320</v>
      </c>
      <c r="J33" s="416">
        <v>240877</v>
      </c>
      <c r="L33" s="416">
        <v>2025</v>
      </c>
      <c r="M33" s="416">
        <v>2147</v>
      </c>
      <c r="N33" s="416">
        <v>2236</v>
      </c>
      <c r="P33" s="416">
        <v>31063</v>
      </c>
      <c r="Q33" s="416">
        <v>34651</v>
      </c>
      <c r="R33" s="416">
        <v>37387</v>
      </c>
    </row>
    <row r="34" spans="1:18">
      <c r="A34" s="662"/>
      <c r="B34" s="419" t="s">
        <v>391</v>
      </c>
      <c r="C34" s="416">
        <v>253492</v>
      </c>
      <c r="D34" s="416">
        <v>244042</v>
      </c>
      <c r="E34" s="417">
        <v>186155</v>
      </c>
      <c r="F34" s="417">
        <v>179912</v>
      </c>
      <c r="H34" s="416">
        <v>156494</v>
      </c>
      <c r="I34" s="416">
        <v>158650</v>
      </c>
      <c r="J34" s="416">
        <v>162050</v>
      </c>
      <c r="L34" s="416">
        <v>1420</v>
      </c>
      <c r="M34" s="416">
        <v>1466</v>
      </c>
      <c r="N34" s="416">
        <v>1539</v>
      </c>
      <c r="P34" s="416">
        <v>8541</v>
      </c>
      <c r="Q34" s="416">
        <v>10298</v>
      </c>
      <c r="R34" s="416">
        <v>11724</v>
      </c>
    </row>
    <row r="35" spans="1:18">
      <c r="A35" s="662"/>
      <c r="B35" s="419" t="s">
        <v>392</v>
      </c>
      <c r="C35" s="416">
        <v>93965</v>
      </c>
      <c r="D35" s="416">
        <v>95420</v>
      </c>
      <c r="E35" s="417">
        <v>169648</v>
      </c>
      <c r="F35" s="417">
        <v>166197</v>
      </c>
      <c r="H35" s="416">
        <v>72856</v>
      </c>
      <c r="I35" s="416">
        <v>73787</v>
      </c>
      <c r="J35" s="416">
        <v>75207</v>
      </c>
      <c r="L35" s="416">
        <v>631</v>
      </c>
      <c r="M35" s="416">
        <v>658</v>
      </c>
      <c r="N35" s="416">
        <v>675</v>
      </c>
      <c r="P35" s="416">
        <v>4515</v>
      </c>
      <c r="Q35" s="416">
        <v>6722</v>
      </c>
      <c r="R35" s="416">
        <v>7169</v>
      </c>
    </row>
    <row r="36" spans="1:18">
      <c r="C36" s="420"/>
      <c r="D36" s="421"/>
    </row>
    <row r="37" spans="1:18">
      <c r="A37" s="658" t="s">
        <v>393</v>
      </c>
      <c r="B37" s="411" t="s">
        <v>394</v>
      </c>
      <c r="C37" s="411">
        <f>SUM(C17:C29)/SUM(C17:C35)</f>
        <v>0.69064878528604601</v>
      </c>
      <c r="D37" s="411">
        <f t="shared" ref="D37:F37" si="1">SUM(D17:D29)/SUM(D17:D35)</f>
        <v>0.69137142756627978</v>
      </c>
      <c r="E37" s="411">
        <f t="shared" si="1"/>
        <v>0.37910013721932073</v>
      </c>
      <c r="F37" s="411">
        <f t="shared" si="1"/>
        <v>0.34175219708004601</v>
      </c>
      <c r="H37" s="411">
        <f>SUM(H17:H29)/SUM(H17:H35)</f>
        <v>0.76555406643490731</v>
      </c>
      <c r="I37" s="411">
        <f t="shared" ref="I37:J37" si="2">SUM(I17:I29)/SUM(I17:I35)</f>
        <v>0.76759823260534266</v>
      </c>
      <c r="J37" s="411">
        <f t="shared" si="2"/>
        <v>0.76884124973380596</v>
      </c>
      <c r="L37" s="411">
        <f>SUM(L17:L29)/SUM(L17:L35)</f>
        <v>0.79077051993136749</v>
      </c>
      <c r="M37" s="411">
        <f t="shared" ref="M37:N37" si="3">SUM(M17:M29)/SUM(M17:M35)</f>
        <v>0.79144763822092978</v>
      </c>
      <c r="N37" s="411">
        <f t="shared" si="3"/>
        <v>0.79333808336302103</v>
      </c>
      <c r="P37" s="411">
        <f>SUM(P17:P29)/SUM(P17:P35)</f>
        <v>0.76809542632329253</v>
      </c>
      <c r="Q37" s="411">
        <f t="shared" ref="Q37:R37" si="4">SUM(Q17:Q29)/SUM(Q17:Q35)</f>
        <v>0.76967201058979262</v>
      </c>
      <c r="R37" s="411">
        <f t="shared" si="4"/>
        <v>0.75959547593295951</v>
      </c>
    </row>
    <row r="38" spans="1:18">
      <c r="A38" s="658"/>
      <c r="B38" s="411" t="s">
        <v>395</v>
      </c>
      <c r="C38" s="411">
        <f>SUM(C30:C35)/SUM(C17:C35)</f>
        <v>0.30935121471395394</v>
      </c>
      <c r="D38" s="411">
        <f t="shared" ref="D38:F38" si="5">SUM(D30:D35)/SUM(D17:D35)</f>
        <v>0.30862857243372016</v>
      </c>
      <c r="E38" s="411">
        <f t="shared" si="5"/>
        <v>0.62089986278067932</v>
      </c>
      <c r="F38" s="411">
        <f t="shared" si="5"/>
        <v>0.65824780291995399</v>
      </c>
      <c r="H38" s="411">
        <f>SUM(H30:H35)/SUM(H17:H35)</f>
        <v>0.23444593356509275</v>
      </c>
      <c r="I38" s="411">
        <f t="shared" ref="I38:J38" si="6">SUM(I30:I35)/SUM(I17:I35)</f>
        <v>0.23240176739465729</v>
      </c>
      <c r="J38" s="411">
        <f t="shared" si="6"/>
        <v>0.23115875026619398</v>
      </c>
      <c r="L38" s="411">
        <f>SUM(L30:L35)/SUM(L17:L35)</f>
        <v>0.20922948006863254</v>
      </c>
      <c r="M38" s="411">
        <f t="shared" ref="M38:N38" si="7">SUM(M30:M35)/SUM(M17:M35)</f>
        <v>0.20855236177907019</v>
      </c>
      <c r="N38" s="411">
        <f t="shared" si="7"/>
        <v>0.20666191663697897</v>
      </c>
      <c r="P38" s="411">
        <f>SUM(P30:P35)/SUM(P17:P35)</f>
        <v>0.2319045736767075</v>
      </c>
      <c r="Q38" s="411">
        <f t="shared" ref="Q38:R38" si="8">SUM(Q30:Q35)/SUM(Q17:Q35)</f>
        <v>0.23032798941020738</v>
      </c>
      <c r="R38" s="411">
        <f t="shared" si="8"/>
        <v>0.24040452406704049</v>
      </c>
    </row>
    <row r="39" spans="1:18">
      <c r="A39" s="422"/>
    </row>
    <row r="40" spans="1:18">
      <c r="A40" s="422"/>
      <c r="C40" s="411">
        <v>2010</v>
      </c>
      <c r="D40" s="411">
        <v>2012</v>
      </c>
    </row>
    <row r="41" spans="1:18">
      <c r="A41" s="659" t="s">
        <v>396</v>
      </c>
      <c r="B41" s="411" t="s">
        <v>397</v>
      </c>
      <c r="C41" s="411">
        <v>14.391</v>
      </c>
      <c r="D41" s="411">
        <v>13.577999999999999</v>
      </c>
    </row>
    <row r="42" spans="1:18">
      <c r="A42" s="659"/>
      <c r="B42" s="411" t="s">
        <v>398</v>
      </c>
      <c r="C42" s="411">
        <v>20.29</v>
      </c>
      <c r="D42" s="411">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7E6F-5777-464E-84CD-110B08590820}">
  <dimension ref="A1:AB55"/>
  <sheetViews>
    <sheetView showGridLines="0" tabSelected="1" zoomScale="85" zoomScaleNormal="85" workbookViewId="0">
      <pane xSplit="3" ySplit="5" topLeftCell="K26" activePane="bottomRight" state="frozen"/>
      <selection activeCell="T29" sqref="T29"/>
      <selection pane="topRight" activeCell="T29" sqref="T29"/>
      <selection pane="bottomLeft" activeCell="T29" sqref="T29"/>
      <selection pane="bottomRight" activeCell="Q51" sqref="Q51"/>
    </sheetView>
  </sheetViews>
  <sheetFormatPr baseColWidth="10" defaultColWidth="9.1640625" defaultRowHeight="14"/>
  <cols>
    <col min="1" max="1" width="5.6640625" style="461" customWidth="1"/>
    <col min="2" max="2" width="35.6640625" style="461" customWidth="1"/>
    <col min="3" max="27" width="11.6640625" style="461" customWidth="1"/>
    <col min="28" max="28" width="14.33203125" style="461" customWidth="1"/>
    <col min="29" max="263" width="9.1640625" style="461"/>
    <col min="264" max="264" width="5.6640625" style="461" customWidth="1"/>
    <col min="265" max="265" width="35.6640625" style="461" customWidth="1"/>
    <col min="266" max="283" width="11.6640625" style="461" customWidth="1"/>
    <col min="284" max="519" width="9.1640625" style="461"/>
    <col min="520" max="520" width="5.6640625" style="461" customWidth="1"/>
    <col min="521" max="521" width="35.6640625" style="461" customWidth="1"/>
    <col min="522" max="539" width="11.6640625" style="461" customWidth="1"/>
    <col min="540" max="775" width="9.1640625" style="461"/>
    <col min="776" max="776" width="5.6640625" style="461" customWidth="1"/>
    <col min="777" max="777" width="35.6640625" style="461" customWidth="1"/>
    <col min="778" max="795" width="11.6640625" style="461" customWidth="1"/>
    <col min="796" max="1031" width="9.1640625" style="461"/>
    <col min="1032" max="1032" width="5.6640625" style="461" customWidth="1"/>
    <col min="1033" max="1033" width="35.6640625" style="461" customWidth="1"/>
    <col min="1034" max="1051" width="11.6640625" style="461" customWidth="1"/>
    <col min="1052" max="1287" width="9.1640625" style="461"/>
    <col min="1288" max="1288" width="5.6640625" style="461" customWidth="1"/>
    <col min="1289" max="1289" width="35.6640625" style="461" customWidth="1"/>
    <col min="1290" max="1307" width="11.6640625" style="461" customWidth="1"/>
    <col min="1308" max="1543" width="9.1640625" style="461"/>
    <col min="1544" max="1544" width="5.6640625" style="461" customWidth="1"/>
    <col min="1545" max="1545" width="35.6640625" style="461" customWidth="1"/>
    <col min="1546" max="1563" width="11.6640625" style="461" customWidth="1"/>
    <col min="1564" max="1799" width="9.1640625" style="461"/>
    <col min="1800" max="1800" width="5.6640625" style="461" customWidth="1"/>
    <col min="1801" max="1801" width="35.6640625" style="461" customWidth="1"/>
    <col min="1802" max="1819" width="11.6640625" style="461" customWidth="1"/>
    <col min="1820" max="2055" width="9.1640625" style="461"/>
    <col min="2056" max="2056" width="5.6640625" style="461" customWidth="1"/>
    <col min="2057" max="2057" width="35.6640625" style="461" customWidth="1"/>
    <col min="2058" max="2075" width="11.6640625" style="461" customWidth="1"/>
    <col min="2076" max="2311" width="9.1640625" style="461"/>
    <col min="2312" max="2312" width="5.6640625" style="461" customWidth="1"/>
    <col min="2313" max="2313" width="35.6640625" style="461" customWidth="1"/>
    <col min="2314" max="2331" width="11.6640625" style="461" customWidth="1"/>
    <col min="2332" max="2567" width="9.1640625" style="461"/>
    <col min="2568" max="2568" width="5.6640625" style="461" customWidth="1"/>
    <col min="2569" max="2569" width="35.6640625" style="461" customWidth="1"/>
    <col min="2570" max="2587" width="11.6640625" style="461" customWidth="1"/>
    <col min="2588" max="2823" width="9.1640625" style="461"/>
    <col min="2824" max="2824" width="5.6640625" style="461" customWidth="1"/>
    <col min="2825" max="2825" width="35.6640625" style="461" customWidth="1"/>
    <col min="2826" max="2843" width="11.6640625" style="461" customWidth="1"/>
    <col min="2844" max="3079" width="9.1640625" style="461"/>
    <col min="3080" max="3080" width="5.6640625" style="461" customWidth="1"/>
    <col min="3081" max="3081" width="35.6640625" style="461" customWidth="1"/>
    <col min="3082" max="3099" width="11.6640625" style="461" customWidth="1"/>
    <col min="3100" max="3335" width="9.1640625" style="461"/>
    <col min="3336" max="3336" width="5.6640625" style="461" customWidth="1"/>
    <col min="3337" max="3337" width="35.6640625" style="461" customWidth="1"/>
    <col min="3338" max="3355" width="11.6640625" style="461" customWidth="1"/>
    <col min="3356" max="3591" width="9.1640625" style="461"/>
    <col min="3592" max="3592" width="5.6640625" style="461" customWidth="1"/>
    <col min="3593" max="3593" width="35.6640625" style="461" customWidth="1"/>
    <col min="3594" max="3611" width="11.6640625" style="461" customWidth="1"/>
    <col min="3612" max="3847" width="9.1640625" style="461"/>
    <col min="3848" max="3848" width="5.6640625" style="461" customWidth="1"/>
    <col min="3849" max="3849" width="35.6640625" style="461" customWidth="1"/>
    <col min="3850" max="3867" width="11.6640625" style="461" customWidth="1"/>
    <col min="3868" max="4103" width="9.1640625" style="461"/>
    <col min="4104" max="4104" width="5.6640625" style="461" customWidth="1"/>
    <col min="4105" max="4105" width="35.6640625" style="461" customWidth="1"/>
    <col min="4106" max="4123" width="11.6640625" style="461" customWidth="1"/>
    <col min="4124" max="4359" width="9.1640625" style="461"/>
    <col min="4360" max="4360" width="5.6640625" style="461" customWidth="1"/>
    <col min="4361" max="4361" width="35.6640625" style="461" customWidth="1"/>
    <col min="4362" max="4379" width="11.6640625" style="461" customWidth="1"/>
    <col min="4380" max="4615" width="9.1640625" style="461"/>
    <col min="4616" max="4616" width="5.6640625" style="461" customWidth="1"/>
    <col min="4617" max="4617" width="35.6640625" style="461" customWidth="1"/>
    <col min="4618" max="4635" width="11.6640625" style="461" customWidth="1"/>
    <col min="4636" max="4871" width="9.1640625" style="461"/>
    <col min="4872" max="4872" width="5.6640625" style="461" customWidth="1"/>
    <col min="4873" max="4873" width="35.6640625" style="461" customWidth="1"/>
    <col min="4874" max="4891" width="11.6640625" style="461" customWidth="1"/>
    <col min="4892" max="5127" width="9.1640625" style="461"/>
    <col min="5128" max="5128" width="5.6640625" style="461" customWidth="1"/>
    <col min="5129" max="5129" width="35.6640625" style="461" customWidth="1"/>
    <col min="5130" max="5147" width="11.6640625" style="461" customWidth="1"/>
    <col min="5148" max="5383" width="9.1640625" style="461"/>
    <col min="5384" max="5384" width="5.6640625" style="461" customWidth="1"/>
    <col min="5385" max="5385" width="35.6640625" style="461" customWidth="1"/>
    <col min="5386" max="5403" width="11.6640625" style="461" customWidth="1"/>
    <col min="5404" max="5639" width="9.1640625" style="461"/>
    <col min="5640" max="5640" width="5.6640625" style="461" customWidth="1"/>
    <col min="5641" max="5641" width="35.6640625" style="461" customWidth="1"/>
    <col min="5642" max="5659" width="11.6640625" style="461" customWidth="1"/>
    <col min="5660" max="5895" width="9.1640625" style="461"/>
    <col min="5896" max="5896" width="5.6640625" style="461" customWidth="1"/>
    <col min="5897" max="5897" width="35.6640625" style="461" customWidth="1"/>
    <col min="5898" max="5915" width="11.6640625" style="461" customWidth="1"/>
    <col min="5916" max="6151" width="9.1640625" style="461"/>
    <col min="6152" max="6152" width="5.6640625" style="461" customWidth="1"/>
    <col min="6153" max="6153" width="35.6640625" style="461" customWidth="1"/>
    <col min="6154" max="6171" width="11.6640625" style="461" customWidth="1"/>
    <col min="6172" max="6407" width="9.1640625" style="461"/>
    <col min="6408" max="6408" width="5.6640625" style="461" customWidth="1"/>
    <col min="6409" max="6409" width="35.6640625" style="461" customWidth="1"/>
    <col min="6410" max="6427" width="11.6640625" style="461" customWidth="1"/>
    <col min="6428" max="6663" width="9.1640625" style="461"/>
    <col min="6664" max="6664" width="5.6640625" style="461" customWidth="1"/>
    <col min="6665" max="6665" width="35.6640625" style="461" customWidth="1"/>
    <col min="6666" max="6683" width="11.6640625" style="461" customWidth="1"/>
    <col min="6684" max="6919" width="9.1640625" style="461"/>
    <col min="6920" max="6920" width="5.6640625" style="461" customWidth="1"/>
    <col min="6921" max="6921" width="35.6640625" style="461" customWidth="1"/>
    <col min="6922" max="6939" width="11.6640625" style="461" customWidth="1"/>
    <col min="6940" max="7175" width="9.1640625" style="461"/>
    <col min="7176" max="7176" width="5.6640625" style="461" customWidth="1"/>
    <col min="7177" max="7177" width="35.6640625" style="461" customWidth="1"/>
    <col min="7178" max="7195" width="11.6640625" style="461" customWidth="1"/>
    <col min="7196" max="7431" width="9.1640625" style="461"/>
    <col min="7432" max="7432" width="5.6640625" style="461" customWidth="1"/>
    <col min="7433" max="7433" width="35.6640625" style="461" customWidth="1"/>
    <col min="7434" max="7451" width="11.6640625" style="461" customWidth="1"/>
    <col min="7452" max="7687" width="9.1640625" style="461"/>
    <col min="7688" max="7688" width="5.6640625" style="461" customWidth="1"/>
    <col min="7689" max="7689" width="35.6640625" style="461" customWidth="1"/>
    <col min="7690" max="7707" width="11.6640625" style="461" customWidth="1"/>
    <col min="7708" max="7943" width="9.1640625" style="461"/>
    <col min="7944" max="7944" width="5.6640625" style="461" customWidth="1"/>
    <col min="7945" max="7945" width="35.6640625" style="461" customWidth="1"/>
    <col min="7946" max="7963" width="11.6640625" style="461" customWidth="1"/>
    <col min="7964" max="8199" width="9.1640625" style="461"/>
    <col min="8200" max="8200" width="5.6640625" style="461" customWidth="1"/>
    <col min="8201" max="8201" width="35.6640625" style="461" customWidth="1"/>
    <col min="8202" max="8219" width="11.6640625" style="461" customWidth="1"/>
    <col min="8220" max="8455" width="9.1640625" style="461"/>
    <col min="8456" max="8456" width="5.6640625" style="461" customWidth="1"/>
    <col min="8457" max="8457" width="35.6640625" style="461" customWidth="1"/>
    <col min="8458" max="8475" width="11.6640625" style="461" customWidth="1"/>
    <col min="8476" max="8711" width="9.1640625" style="461"/>
    <col min="8712" max="8712" width="5.6640625" style="461" customWidth="1"/>
    <col min="8713" max="8713" width="35.6640625" style="461" customWidth="1"/>
    <col min="8714" max="8731" width="11.6640625" style="461" customWidth="1"/>
    <col min="8732" max="8967" width="9.1640625" style="461"/>
    <col min="8968" max="8968" width="5.6640625" style="461" customWidth="1"/>
    <col min="8969" max="8969" width="35.6640625" style="461" customWidth="1"/>
    <col min="8970" max="8987" width="11.6640625" style="461" customWidth="1"/>
    <col min="8988" max="9223" width="9.1640625" style="461"/>
    <col min="9224" max="9224" width="5.6640625" style="461" customWidth="1"/>
    <col min="9225" max="9225" width="35.6640625" style="461" customWidth="1"/>
    <col min="9226" max="9243" width="11.6640625" style="461" customWidth="1"/>
    <col min="9244" max="9479" width="9.1640625" style="461"/>
    <col min="9480" max="9480" width="5.6640625" style="461" customWidth="1"/>
    <col min="9481" max="9481" width="35.6640625" style="461" customWidth="1"/>
    <col min="9482" max="9499" width="11.6640625" style="461" customWidth="1"/>
    <col min="9500" max="9735" width="9.1640625" style="461"/>
    <col min="9736" max="9736" width="5.6640625" style="461" customWidth="1"/>
    <col min="9737" max="9737" width="35.6640625" style="461" customWidth="1"/>
    <col min="9738" max="9755" width="11.6640625" style="461" customWidth="1"/>
    <col min="9756" max="9991" width="9.1640625" style="461"/>
    <col min="9992" max="9992" width="5.6640625" style="461" customWidth="1"/>
    <col min="9993" max="9993" width="35.6640625" style="461" customWidth="1"/>
    <col min="9994" max="10011" width="11.6640625" style="461" customWidth="1"/>
    <col min="10012" max="10247" width="9.1640625" style="461"/>
    <col min="10248" max="10248" width="5.6640625" style="461" customWidth="1"/>
    <col min="10249" max="10249" width="35.6640625" style="461" customWidth="1"/>
    <col min="10250" max="10267" width="11.6640625" style="461" customWidth="1"/>
    <col min="10268" max="10503" width="9.1640625" style="461"/>
    <col min="10504" max="10504" width="5.6640625" style="461" customWidth="1"/>
    <col min="10505" max="10505" width="35.6640625" style="461" customWidth="1"/>
    <col min="10506" max="10523" width="11.6640625" style="461" customWidth="1"/>
    <col min="10524" max="10759" width="9.1640625" style="461"/>
    <col min="10760" max="10760" width="5.6640625" style="461" customWidth="1"/>
    <col min="10761" max="10761" width="35.6640625" style="461" customWidth="1"/>
    <col min="10762" max="10779" width="11.6640625" style="461" customWidth="1"/>
    <col min="10780" max="11015" width="9.1640625" style="461"/>
    <col min="11016" max="11016" width="5.6640625" style="461" customWidth="1"/>
    <col min="11017" max="11017" width="35.6640625" style="461" customWidth="1"/>
    <col min="11018" max="11035" width="11.6640625" style="461" customWidth="1"/>
    <col min="11036" max="11271" width="9.1640625" style="461"/>
    <col min="11272" max="11272" width="5.6640625" style="461" customWidth="1"/>
    <col min="11273" max="11273" width="35.6640625" style="461" customWidth="1"/>
    <col min="11274" max="11291" width="11.6640625" style="461" customWidth="1"/>
    <col min="11292" max="11527" width="9.1640625" style="461"/>
    <col min="11528" max="11528" width="5.6640625" style="461" customWidth="1"/>
    <col min="11529" max="11529" width="35.6640625" style="461" customWidth="1"/>
    <col min="11530" max="11547" width="11.6640625" style="461" customWidth="1"/>
    <col min="11548" max="11783" width="9.1640625" style="461"/>
    <col min="11784" max="11784" width="5.6640625" style="461" customWidth="1"/>
    <col min="11785" max="11785" width="35.6640625" style="461" customWidth="1"/>
    <col min="11786" max="11803" width="11.6640625" style="461" customWidth="1"/>
    <col min="11804" max="12039" width="9.1640625" style="461"/>
    <col min="12040" max="12040" width="5.6640625" style="461" customWidth="1"/>
    <col min="12041" max="12041" width="35.6640625" style="461" customWidth="1"/>
    <col min="12042" max="12059" width="11.6640625" style="461" customWidth="1"/>
    <col min="12060" max="12295" width="9.1640625" style="461"/>
    <col min="12296" max="12296" width="5.6640625" style="461" customWidth="1"/>
    <col min="12297" max="12297" width="35.6640625" style="461" customWidth="1"/>
    <col min="12298" max="12315" width="11.6640625" style="461" customWidth="1"/>
    <col min="12316" max="12551" width="9.1640625" style="461"/>
    <col min="12552" max="12552" width="5.6640625" style="461" customWidth="1"/>
    <col min="12553" max="12553" width="35.6640625" style="461" customWidth="1"/>
    <col min="12554" max="12571" width="11.6640625" style="461" customWidth="1"/>
    <col min="12572" max="12807" width="9.1640625" style="461"/>
    <col min="12808" max="12808" width="5.6640625" style="461" customWidth="1"/>
    <col min="12809" max="12809" width="35.6640625" style="461" customWidth="1"/>
    <col min="12810" max="12827" width="11.6640625" style="461" customWidth="1"/>
    <col min="12828" max="13063" width="9.1640625" style="461"/>
    <col min="13064" max="13064" width="5.6640625" style="461" customWidth="1"/>
    <col min="13065" max="13065" width="35.6640625" style="461" customWidth="1"/>
    <col min="13066" max="13083" width="11.6640625" style="461" customWidth="1"/>
    <col min="13084" max="13319" width="9.1640625" style="461"/>
    <col min="13320" max="13320" width="5.6640625" style="461" customWidth="1"/>
    <col min="13321" max="13321" width="35.6640625" style="461" customWidth="1"/>
    <col min="13322" max="13339" width="11.6640625" style="461" customWidth="1"/>
    <col min="13340" max="13575" width="9.1640625" style="461"/>
    <col min="13576" max="13576" width="5.6640625" style="461" customWidth="1"/>
    <col min="13577" max="13577" width="35.6640625" style="461" customWidth="1"/>
    <col min="13578" max="13595" width="11.6640625" style="461" customWidth="1"/>
    <col min="13596" max="13831" width="9.1640625" style="461"/>
    <col min="13832" max="13832" width="5.6640625" style="461" customWidth="1"/>
    <col min="13833" max="13833" width="35.6640625" style="461" customWidth="1"/>
    <col min="13834" max="13851" width="11.6640625" style="461" customWidth="1"/>
    <col min="13852" max="14087" width="9.1640625" style="461"/>
    <col min="14088" max="14088" width="5.6640625" style="461" customWidth="1"/>
    <col min="14089" max="14089" width="35.6640625" style="461" customWidth="1"/>
    <col min="14090" max="14107" width="11.6640625" style="461" customWidth="1"/>
    <col min="14108" max="14343" width="9.1640625" style="461"/>
    <col min="14344" max="14344" width="5.6640625" style="461" customWidth="1"/>
    <col min="14345" max="14345" width="35.6640625" style="461" customWidth="1"/>
    <col min="14346" max="14363" width="11.6640625" style="461" customWidth="1"/>
    <col min="14364" max="14599" width="9.1640625" style="461"/>
    <col min="14600" max="14600" width="5.6640625" style="461" customWidth="1"/>
    <col min="14601" max="14601" width="35.6640625" style="461" customWidth="1"/>
    <col min="14602" max="14619" width="11.6640625" style="461" customWidth="1"/>
    <col min="14620" max="14855" width="9.1640625" style="461"/>
    <col min="14856" max="14856" width="5.6640625" style="461" customWidth="1"/>
    <col min="14857" max="14857" width="35.6640625" style="461" customWidth="1"/>
    <col min="14858" max="14875" width="11.6640625" style="461" customWidth="1"/>
    <col min="14876" max="15111" width="9.1640625" style="461"/>
    <col min="15112" max="15112" width="5.6640625" style="461" customWidth="1"/>
    <col min="15113" max="15113" width="35.6640625" style="461" customWidth="1"/>
    <col min="15114" max="15131" width="11.6640625" style="461" customWidth="1"/>
    <col min="15132" max="15367" width="9.1640625" style="461"/>
    <col min="15368" max="15368" width="5.6640625" style="461" customWidth="1"/>
    <col min="15369" max="15369" width="35.6640625" style="461" customWidth="1"/>
    <col min="15370" max="15387" width="11.6640625" style="461" customWidth="1"/>
    <col min="15388" max="15623" width="9.1640625" style="461"/>
    <col min="15624" max="15624" width="5.6640625" style="461" customWidth="1"/>
    <col min="15625" max="15625" width="35.6640625" style="461" customWidth="1"/>
    <col min="15626" max="15643" width="11.6640625" style="461" customWidth="1"/>
    <col min="15644" max="15879" width="9.1640625" style="461"/>
    <col min="15880" max="15880" width="5.6640625" style="461" customWidth="1"/>
    <col min="15881" max="15881" width="35.6640625" style="461" customWidth="1"/>
    <col min="15882" max="15899" width="11.6640625" style="461" customWidth="1"/>
    <col min="15900" max="16135" width="9.1640625" style="461"/>
    <col min="16136" max="16136" width="5.6640625" style="461" customWidth="1"/>
    <col min="16137" max="16137" width="35.6640625" style="461" customWidth="1"/>
    <col min="16138" max="16155" width="11.6640625" style="461" customWidth="1"/>
    <col min="16156" max="16384" width="9.1640625" style="461"/>
  </cols>
  <sheetData>
    <row r="1" spans="1:28" ht="46" thickBot="1">
      <c r="A1" s="461" t="s">
        <v>450</v>
      </c>
      <c r="C1" s="461" t="s">
        <v>450</v>
      </c>
      <c r="D1" s="461" t="s">
        <v>55</v>
      </c>
      <c r="E1" s="461" t="s">
        <v>450</v>
      </c>
      <c r="F1" s="461" t="s">
        <v>450</v>
      </c>
      <c r="G1" s="461" t="s">
        <v>450</v>
      </c>
      <c r="H1" s="627" t="s">
        <v>594</v>
      </c>
      <c r="I1" s="461" t="s">
        <v>53</v>
      </c>
      <c r="J1" s="461" t="s">
        <v>79</v>
      </c>
      <c r="K1" s="461" t="s">
        <v>450</v>
      </c>
      <c r="L1" s="461" t="s">
        <v>450</v>
      </c>
      <c r="M1" s="461" t="s">
        <v>68</v>
      </c>
      <c r="N1" s="461" t="s">
        <v>54</v>
      </c>
      <c r="O1" s="461" t="s">
        <v>450</v>
      </c>
      <c r="P1" s="627" t="s">
        <v>448</v>
      </c>
      <c r="Q1" s="461" t="s">
        <v>51</v>
      </c>
      <c r="R1" s="631" t="s">
        <v>77</v>
      </c>
      <c r="S1" s="631" t="s">
        <v>589</v>
      </c>
      <c r="T1" s="631" t="s">
        <v>590</v>
      </c>
      <c r="U1" s="631" t="s">
        <v>597</v>
      </c>
      <c r="V1" s="631" t="s">
        <v>591</v>
      </c>
      <c r="W1" s="631" t="s">
        <v>78</v>
      </c>
      <c r="X1" s="631" t="s">
        <v>80</v>
      </c>
      <c r="Y1" s="461" t="s">
        <v>52</v>
      </c>
      <c r="Z1" s="461" t="s">
        <v>50</v>
      </c>
      <c r="AA1" s="461" t="s">
        <v>595</v>
      </c>
      <c r="AB1" s="461" t="s">
        <v>57</v>
      </c>
    </row>
    <row r="2" spans="1:28">
      <c r="B2" s="669" t="s">
        <v>429</v>
      </c>
      <c r="C2" s="669"/>
      <c r="D2" s="669"/>
      <c r="E2" s="669"/>
      <c r="F2" s="669"/>
      <c r="G2" s="669"/>
      <c r="H2" s="669"/>
      <c r="I2" s="669"/>
      <c r="J2" s="669"/>
      <c r="K2" s="669"/>
      <c r="L2" s="669"/>
      <c r="M2" s="669"/>
      <c r="N2" s="669"/>
      <c r="O2" s="669"/>
      <c r="P2" s="669"/>
      <c r="Q2" s="669"/>
      <c r="R2" s="669"/>
      <c r="S2" s="669"/>
      <c r="T2" s="669"/>
      <c r="U2" s="669"/>
      <c r="V2" s="669"/>
      <c r="W2" s="669"/>
      <c r="X2" s="669"/>
      <c r="Y2" s="669"/>
      <c r="Z2" s="669"/>
      <c r="AA2" s="669"/>
    </row>
    <row r="3" spans="1:28" ht="15" thickBot="1">
      <c r="B3" s="670" t="s">
        <v>430</v>
      </c>
      <c r="C3" s="670"/>
      <c r="D3" s="670"/>
      <c r="E3" s="670"/>
      <c r="F3" s="670"/>
      <c r="G3" s="670"/>
      <c r="H3" s="670"/>
      <c r="I3" s="670"/>
      <c r="J3" s="670"/>
      <c r="K3" s="670"/>
      <c r="L3" s="670"/>
      <c r="M3" s="670"/>
      <c r="N3" s="670"/>
      <c r="O3" s="670"/>
      <c r="P3" s="670"/>
      <c r="Q3" s="670"/>
      <c r="R3" s="670"/>
      <c r="S3" s="670"/>
      <c r="T3" s="670"/>
      <c r="U3" s="670"/>
      <c r="V3" s="670"/>
      <c r="W3" s="670"/>
      <c r="X3" s="670"/>
      <c r="Y3" s="670"/>
      <c r="Z3" s="670"/>
      <c r="AA3" s="670"/>
    </row>
    <row r="4" spans="1:28" s="462" customFormat="1" ht="19.5" customHeight="1">
      <c r="B4" s="671"/>
      <c r="C4" s="665" t="s">
        <v>431</v>
      </c>
      <c r="D4" s="621"/>
      <c r="E4" s="673" t="s">
        <v>432</v>
      </c>
      <c r="F4" s="665" t="s">
        <v>433</v>
      </c>
      <c r="G4" s="665" t="s">
        <v>434</v>
      </c>
      <c r="H4" s="675" t="s">
        <v>435</v>
      </c>
      <c r="I4" s="675"/>
      <c r="J4" s="675"/>
      <c r="K4" s="675"/>
      <c r="L4" s="675"/>
      <c r="M4" s="675"/>
      <c r="N4" s="675"/>
      <c r="O4" s="675"/>
      <c r="P4" s="675"/>
      <c r="Q4" s="665" t="s">
        <v>436</v>
      </c>
      <c r="R4" s="623"/>
      <c r="S4" s="623"/>
      <c r="T4" s="623"/>
      <c r="U4" s="623"/>
      <c r="V4" s="623"/>
      <c r="W4" s="623"/>
      <c r="X4" s="623"/>
      <c r="Y4" s="665" t="s">
        <v>438</v>
      </c>
      <c r="Z4" s="665" t="s">
        <v>439</v>
      </c>
      <c r="AA4" s="667" t="s">
        <v>588</v>
      </c>
      <c r="AB4" s="667" t="s">
        <v>57</v>
      </c>
    </row>
    <row r="5" spans="1:28" s="462" customFormat="1" ht="49.5" customHeight="1" thickBot="1">
      <c r="B5" s="672"/>
      <c r="C5" s="666"/>
      <c r="D5" s="622" t="s">
        <v>586</v>
      </c>
      <c r="E5" s="674"/>
      <c r="F5" s="666"/>
      <c r="G5" s="666"/>
      <c r="H5" s="627" t="s">
        <v>440</v>
      </c>
      <c r="I5" s="627" t="s">
        <v>441</v>
      </c>
      <c r="J5" s="627" t="s">
        <v>442</v>
      </c>
      <c r="K5" s="627" t="s">
        <v>443</v>
      </c>
      <c r="L5" s="627" t="s">
        <v>444</v>
      </c>
      <c r="M5" s="627" t="s">
        <v>445</v>
      </c>
      <c r="N5" s="627" t="s">
        <v>446</v>
      </c>
      <c r="O5" s="627" t="s">
        <v>447</v>
      </c>
      <c r="P5" s="627" t="s">
        <v>448</v>
      </c>
      <c r="Q5" s="666"/>
      <c r="R5" s="631" t="s">
        <v>77</v>
      </c>
      <c r="S5" s="631" t="s">
        <v>589</v>
      </c>
      <c r="T5" s="631" t="s">
        <v>590</v>
      </c>
      <c r="U5" s="631" t="s">
        <v>597</v>
      </c>
      <c r="V5" s="631" t="s">
        <v>591</v>
      </c>
      <c r="W5" s="631" t="s">
        <v>78</v>
      </c>
      <c r="X5" s="631" t="s">
        <v>80</v>
      </c>
      <c r="Y5" s="666"/>
      <c r="Z5" s="666"/>
      <c r="AA5" s="668"/>
      <c r="AB5" s="668"/>
    </row>
    <row r="6" spans="1:28" ht="15">
      <c r="B6" s="463" t="s">
        <v>449</v>
      </c>
      <c r="C6" s="464">
        <v>2858233.9</v>
      </c>
      <c r="D6" s="464"/>
      <c r="E6" s="464">
        <v>2190821.4</v>
      </c>
      <c r="F6" s="464" t="s">
        <v>450</v>
      </c>
      <c r="G6" s="464" t="s">
        <v>450</v>
      </c>
      <c r="H6" s="464"/>
      <c r="I6" s="464"/>
      <c r="J6" s="464"/>
      <c r="K6" s="464"/>
      <c r="L6" s="464"/>
      <c r="M6" s="464"/>
      <c r="N6" s="464"/>
      <c r="O6" s="464"/>
      <c r="P6" s="464"/>
      <c r="Q6" s="464">
        <v>651235.69999999995</v>
      </c>
      <c r="R6" s="464"/>
      <c r="S6" s="464"/>
      <c r="T6" s="464"/>
      <c r="U6" s="464"/>
      <c r="V6" s="464"/>
      <c r="W6" s="464"/>
      <c r="X6" s="464"/>
      <c r="Y6" s="464" t="s">
        <v>450</v>
      </c>
      <c r="Z6" s="464" t="s">
        <v>450</v>
      </c>
      <c r="AA6" s="465" t="s">
        <v>450</v>
      </c>
      <c r="AB6" s="503">
        <f t="shared" ref="AB6:AB37" si="0">SUM(H6:AA6)+D6</f>
        <v>651235.69999999995</v>
      </c>
    </row>
    <row r="7" spans="1:28">
      <c r="B7" s="466" t="s">
        <v>451</v>
      </c>
      <c r="C7" s="632">
        <v>1822.8</v>
      </c>
      <c r="D7" s="632"/>
      <c r="E7" s="632" t="s">
        <v>450</v>
      </c>
      <c r="F7" s="632" t="s">
        <v>450</v>
      </c>
      <c r="G7" s="632">
        <v>1124.3</v>
      </c>
      <c r="H7" s="632" t="s">
        <v>450</v>
      </c>
      <c r="I7" s="632">
        <v>4.7</v>
      </c>
      <c r="J7" s="632">
        <v>17.3</v>
      </c>
      <c r="K7" s="632" t="s">
        <v>450</v>
      </c>
      <c r="L7" s="632">
        <v>21.5</v>
      </c>
      <c r="M7" s="632">
        <v>4.3</v>
      </c>
      <c r="N7" s="632" t="s">
        <v>450</v>
      </c>
      <c r="O7" s="632" t="s">
        <v>450</v>
      </c>
      <c r="P7" s="632">
        <v>1076.5</v>
      </c>
      <c r="Q7" s="632" t="s">
        <v>450</v>
      </c>
      <c r="R7" s="632"/>
      <c r="S7" s="632"/>
      <c r="T7" s="632"/>
      <c r="U7" s="632"/>
      <c r="V7" s="632"/>
      <c r="W7" s="632"/>
      <c r="X7" s="632"/>
      <c r="Y7" s="632" t="s">
        <v>450</v>
      </c>
      <c r="Z7" s="632">
        <v>359.3</v>
      </c>
      <c r="AA7" s="467">
        <v>339.2</v>
      </c>
      <c r="AB7" s="503">
        <f t="shared" si="0"/>
        <v>1822.8</v>
      </c>
    </row>
    <row r="8" spans="1:28">
      <c r="B8" s="466" t="s">
        <v>452</v>
      </c>
      <c r="C8" s="632">
        <v>-2275745.2999999998</v>
      </c>
      <c r="D8" s="632"/>
      <c r="E8" s="632">
        <v>-1918023.4</v>
      </c>
      <c r="F8" s="632" t="s">
        <v>450</v>
      </c>
      <c r="G8" s="632">
        <v>-114385.3</v>
      </c>
      <c r="H8" s="632" t="s">
        <v>450</v>
      </c>
      <c r="I8" s="632">
        <v>-7393.6</v>
      </c>
      <c r="J8" s="632">
        <v>-8501.2000000000007</v>
      </c>
      <c r="K8" s="632">
        <v>-4947.7</v>
      </c>
      <c r="L8" s="632" t="s">
        <v>450</v>
      </c>
      <c r="M8" s="632">
        <v>-66944.3</v>
      </c>
      <c r="N8" s="632">
        <v>-7829.1</v>
      </c>
      <c r="O8" s="632">
        <v>-573.29999999999995</v>
      </c>
      <c r="P8" s="632">
        <v>-18196.099999999999</v>
      </c>
      <c r="Q8" s="632">
        <v>-241672</v>
      </c>
      <c r="R8" s="632"/>
      <c r="S8" s="632"/>
      <c r="T8" s="632"/>
      <c r="U8" s="632"/>
      <c r="V8" s="632"/>
      <c r="W8" s="632"/>
      <c r="X8" s="632"/>
      <c r="Y8" s="632" t="s">
        <v>450</v>
      </c>
      <c r="Z8" s="632">
        <v>-1664.6</v>
      </c>
      <c r="AA8" s="467" t="s">
        <v>450</v>
      </c>
      <c r="AB8" s="503">
        <f t="shared" si="0"/>
        <v>-357721.9</v>
      </c>
    </row>
    <row r="9" spans="1:28" ht="15">
      <c r="B9" s="468" t="s">
        <v>453</v>
      </c>
      <c r="C9" s="632">
        <v>-20059.5</v>
      </c>
      <c r="D9" s="632"/>
      <c r="E9" s="632" t="s">
        <v>450</v>
      </c>
      <c r="F9" s="632" t="s">
        <v>450</v>
      </c>
      <c r="G9" s="632">
        <v>-20059.5</v>
      </c>
      <c r="H9" s="632" t="s">
        <v>450</v>
      </c>
      <c r="I9" s="632" t="s">
        <v>450</v>
      </c>
      <c r="J9" s="632" t="s">
        <v>450</v>
      </c>
      <c r="K9" s="632">
        <v>-16928.5</v>
      </c>
      <c r="L9" s="632" t="s">
        <v>450</v>
      </c>
      <c r="M9" s="632">
        <v>-3131</v>
      </c>
      <c r="N9" s="632" t="s">
        <v>450</v>
      </c>
      <c r="O9" s="632" t="s">
        <v>450</v>
      </c>
      <c r="P9" s="632" t="s">
        <v>450</v>
      </c>
      <c r="Q9" s="632" t="s">
        <v>450</v>
      </c>
      <c r="R9" s="632"/>
      <c r="S9" s="632"/>
      <c r="T9" s="632"/>
      <c r="U9" s="632"/>
      <c r="V9" s="632"/>
      <c r="W9" s="632"/>
      <c r="X9" s="632"/>
      <c r="Y9" s="632" t="s">
        <v>450</v>
      </c>
      <c r="Z9" s="632" t="s">
        <v>450</v>
      </c>
      <c r="AA9" s="467" t="s">
        <v>450</v>
      </c>
      <c r="AB9" s="503">
        <f t="shared" si="0"/>
        <v>-20059.5</v>
      </c>
    </row>
    <row r="10" spans="1:28">
      <c r="B10" s="469" t="s">
        <v>454</v>
      </c>
      <c r="C10" s="632">
        <v>-3131</v>
      </c>
      <c r="D10" s="632"/>
      <c r="E10" s="632" t="s">
        <v>450</v>
      </c>
      <c r="F10" s="632" t="s">
        <v>450</v>
      </c>
      <c r="G10" s="632">
        <v>-3131</v>
      </c>
      <c r="H10" s="632" t="s">
        <v>450</v>
      </c>
      <c r="I10" s="632" t="s">
        <v>450</v>
      </c>
      <c r="J10" s="632" t="s">
        <v>450</v>
      </c>
      <c r="K10" s="632" t="s">
        <v>450</v>
      </c>
      <c r="L10" s="632" t="s">
        <v>450</v>
      </c>
      <c r="M10" s="632">
        <v>-3131</v>
      </c>
      <c r="N10" s="632" t="s">
        <v>450</v>
      </c>
      <c r="O10" s="632" t="s">
        <v>450</v>
      </c>
      <c r="P10" s="632" t="s">
        <v>450</v>
      </c>
      <c r="Q10" s="632" t="s">
        <v>450</v>
      </c>
      <c r="R10" s="632"/>
      <c r="S10" s="632"/>
      <c r="T10" s="632"/>
      <c r="U10" s="632"/>
      <c r="V10" s="632"/>
      <c r="W10" s="632"/>
      <c r="X10" s="632"/>
      <c r="Y10" s="632" t="s">
        <v>450</v>
      </c>
      <c r="Z10" s="632" t="s">
        <v>450</v>
      </c>
      <c r="AA10" s="467" t="s">
        <v>450</v>
      </c>
      <c r="AB10" s="503">
        <f t="shared" si="0"/>
        <v>-3131</v>
      </c>
    </row>
    <row r="11" spans="1:28">
      <c r="B11" s="469" t="s">
        <v>455</v>
      </c>
      <c r="C11" s="632">
        <v>-16928.5</v>
      </c>
      <c r="D11" s="632"/>
      <c r="E11" s="632" t="s">
        <v>450</v>
      </c>
      <c r="F11" s="632" t="s">
        <v>450</v>
      </c>
      <c r="G11" s="632">
        <v>-16928.5</v>
      </c>
      <c r="H11" s="632" t="s">
        <v>450</v>
      </c>
      <c r="I11" s="632" t="s">
        <v>450</v>
      </c>
      <c r="J11" s="632" t="s">
        <v>450</v>
      </c>
      <c r="K11" s="632">
        <v>-16928.5</v>
      </c>
      <c r="L11" s="632" t="s">
        <v>450</v>
      </c>
      <c r="M11" s="632" t="s">
        <v>450</v>
      </c>
      <c r="N11" s="632" t="s">
        <v>450</v>
      </c>
      <c r="O11" s="632" t="s">
        <v>450</v>
      </c>
      <c r="P11" s="632" t="s">
        <v>450</v>
      </c>
      <c r="Q11" s="632" t="s">
        <v>450</v>
      </c>
      <c r="R11" s="632"/>
      <c r="S11" s="632"/>
      <c r="T11" s="632"/>
      <c r="U11" s="632"/>
      <c r="V11" s="632"/>
      <c r="W11" s="632"/>
      <c r="X11" s="632"/>
      <c r="Y11" s="632" t="s">
        <v>450</v>
      </c>
      <c r="Z11" s="632" t="s">
        <v>450</v>
      </c>
      <c r="AA11" s="467" t="s">
        <v>450</v>
      </c>
      <c r="AB11" s="503">
        <f t="shared" si="0"/>
        <v>-16928.5</v>
      </c>
    </row>
    <row r="12" spans="1:28">
      <c r="B12" s="470" t="s">
        <v>456</v>
      </c>
      <c r="C12" s="632">
        <v>-38043.699999999997</v>
      </c>
      <c r="D12" s="632"/>
      <c r="E12" s="632">
        <v>1590.2</v>
      </c>
      <c r="F12" s="632" t="s">
        <v>450</v>
      </c>
      <c r="G12" s="632">
        <v>4202</v>
      </c>
      <c r="H12" s="632" t="s">
        <v>450</v>
      </c>
      <c r="I12" s="632">
        <v>227.6</v>
      </c>
      <c r="J12" s="632">
        <v>151.19999999999999</v>
      </c>
      <c r="K12" s="632">
        <v>86.3</v>
      </c>
      <c r="L12" s="632">
        <v>47.4</v>
      </c>
      <c r="M12" s="632">
        <v>934.2</v>
      </c>
      <c r="N12" s="632">
        <v>1397.6</v>
      </c>
      <c r="O12" s="632">
        <v>-348</v>
      </c>
      <c r="P12" s="632">
        <v>1705.7</v>
      </c>
      <c r="Q12" s="632">
        <v>-43876.1</v>
      </c>
      <c r="R12" s="632"/>
      <c r="S12" s="632"/>
      <c r="T12" s="632"/>
      <c r="U12" s="632"/>
      <c r="V12" s="632"/>
      <c r="W12" s="632"/>
      <c r="X12" s="632"/>
      <c r="Y12" s="632" t="s">
        <v>450</v>
      </c>
      <c r="Z12" s="632" t="s">
        <v>450</v>
      </c>
      <c r="AA12" s="467">
        <v>36</v>
      </c>
      <c r="AB12" s="503">
        <f t="shared" si="0"/>
        <v>-39638.1</v>
      </c>
    </row>
    <row r="13" spans="1:28">
      <c r="B13" s="471" t="s">
        <v>457</v>
      </c>
      <c r="C13" s="633">
        <v>526208.19999999995</v>
      </c>
      <c r="D13" s="633"/>
      <c r="E13" s="633">
        <v>274388.2</v>
      </c>
      <c r="F13" s="632" t="s">
        <v>450</v>
      </c>
      <c r="G13" s="633">
        <v>-129118.5</v>
      </c>
      <c r="H13" s="632" t="s">
        <v>450</v>
      </c>
      <c r="I13" s="632">
        <v>-7161.3</v>
      </c>
      <c r="J13" s="632">
        <v>-8332.7000000000007</v>
      </c>
      <c r="K13" s="632">
        <v>-21789.9</v>
      </c>
      <c r="L13" s="632">
        <v>68.900000000000006</v>
      </c>
      <c r="M13" s="632">
        <v>-69136.800000000003</v>
      </c>
      <c r="N13" s="632">
        <v>-6431.5</v>
      </c>
      <c r="O13" s="632">
        <v>-921.3</v>
      </c>
      <c r="P13" s="632">
        <v>-15413.9</v>
      </c>
      <c r="Q13" s="633">
        <v>365687.6</v>
      </c>
      <c r="R13" s="633"/>
      <c r="S13" s="633"/>
      <c r="T13" s="633"/>
      <c r="U13" s="633"/>
      <c r="V13" s="633"/>
      <c r="W13" s="633"/>
      <c r="X13" s="633"/>
      <c r="Y13" s="632" t="s">
        <v>450</v>
      </c>
      <c r="Z13" s="633">
        <v>-1305.3</v>
      </c>
      <c r="AA13" s="472">
        <v>375.2</v>
      </c>
      <c r="AB13" s="503">
        <f t="shared" si="0"/>
        <v>235639</v>
      </c>
    </row>
    <row r="14" spans="1:28">
      <c r="B14" s="473" t="s">
        <v>458</v>
      </c>
      <c r="C14" s="633">
        <v>11153</v>
      </c>
      <c r="D14" s="633"/>
      <c r="E14" s="633">
        <v>6459.9</v>
      </c>
      <c r="F14" s="632" t="s">
        <v>450</v>
      </c>
      <c r="G14" s="633">
        <v>3054.2</v>
      </c>
      <c r="H14" s="632" t="s">
        <v>450</v>
      </c>
      <c r="I14" s="632">
        <v>170.7</v>
      </c>
      <c r="J14" s="632">
        <v>1110.0999999999999</v>
      </c>
      <c r="K14" s="632" t="s">
        <v>450</v>
      </c>
      <c r="L14" s="632" t="s">
        <v>450</v>
      </c>
      <c r="M14" s="632">
        <v>1309.5999999999999</v>
      </c>
      <c r="N14" s="632">
        <v>89.2</v>
      </c>
      <c r="O14" s="632">
        <v>266.10000000000002</v>
      </c>
      <c r="P14" s="632">
        <v>108.5</v>
      </c>
      <c r="Q14" s="633">
        <v>1191.4000000000001</v>
      </c>
      <c r="R14" s="633"/>
      <c r="S14" s="633"/>
      <c r="T14" s="633"/>
      <c r="U14" s="633"/>
      <c r="V14" s="633"/>
      <c r="W14" s="633"/>
      <c r="X14" s="633"/>
      <c r="Y14" s="632" t="s">
        <v>450</v>
      </c>
      <c r="Z14" s="633">
        <v>447.5</v>
      </c>
      <c r="AA14" s="467" t="s">
        <v>450</v>
      </c>
      <c r="AB14" s="503">
        <f t="shared" si="0"/>
        <v>4693.0999999999995</v>
      </c>
    </row>
    <row r="15" spans="1:28">
      <c r="B15" s="473" t="s">
        <v>459</v>
      </c>
      <c r="C15" s="632" t="s">
        <v>450</v>
      </c>
      <c r="D15" s="632"/>
      <c r="E15" s="632" t="s">
        <v>450</v>
      </c>
      <c r="F15" s="633">
        <v>5728.5</v>
      </c>
      <c r="G15" s="633">
        <v>-5728.5</v>
      </c>
      <c r="H15" s="632" t="s">
        <v>450</v>
      </c>
      <c r="I15" s="632" t="s">
        <v>450</v>
      </c>
      <c r="J15" s="632" t="s">
        <v>450</v>
      </c>
      <c r="K15" s="632" t="s">
        <v>450</v>
      </c>
      <c r="L15" s="632" t="s">
        <v>450</v>
      </c>
      <c r="M15" s="632" t="s">
        <v>450</v>
      </c>
      <c r="N15" s="632" t="s">
        <v>450</v>
      </c>
      <c r="O15" s="632" t="s">
        <v>450</v>
      </c>
      <c r="P15" s="632">
        <v>-5728.5</v>
      </c>
      <c r="Q15" s="632" t="s">
        <v>450</v>
      </c>
      <c r="R15" s="632"/>
      <c r="S15" s="632"/>
      <c r="T15" s="632"/>
      <c r="U15" s="632"/>
      <c r="V15" s="632"/>
      <c r="W15" s="632"/>
      <c r="X15" s="632"/>
      <c r="Y15" s="632" t="s">
        <v>450</v>
      </c>
      <c r="Z15" s="632" t="s">
        <v>450</v>
      </c>
      <c r="AA15" s="467" t="s">
        <v>450</v>
      </c>
      <c r="AB15" s="503">
        <f t="shared" si="0"/>
        <v>-5728.5</v>
      </c>
    </row>
    <row r="16" spans="1:28">
      <c r="B16" s="473" t="s">
        <v>460</v>
      </c>
      <c r="C16" s="633">
        <v>-112884.5</v>
      </c>
      <c r="D16" s="633"/>
      <c r="E16" s="633">
        <v>-265872.7</v>
      </c>
      <c r="F16" s="633">
        <v>-5728.5</v>
      </c>
      <c r="G16" s="633">
        <v>265564.3</v>
      </c>
      <c r="H16" s="632">
        <v>11151</v>
      </c>
      <c r="I16" s="632">
        <v>11391.5</v>
      </c>
      <c r="J16" s="632">
        <v>53948.7</v>
      </c>
      <c r="K16" s="632">
        <v>25921.7</v>
      </c>
      <c r="L16" s="632" t="s">
        <v>450</v>
      </c>
      <c r="M16" s="632">
        <v>106008.8</v>
      </c>
      <c r="N16" s="632">
        <v>9596.2000000000007</v>
      </c>
      <c r="O16" s="632">
        <v>9888.9</v>
      </c>
      <c r="P16" s="632">
        <v>37657.5</v>
      </c>
      <c r="Q16" s="633">
        <v>-165512.9</v>
      </c>
      <c r="R16" s="633"/>
      <c r="S16" s="633"/>
      <c r="T16" s="633"/>
      <c r="U16" s="633"/>
      <c r="V16" s="633"/>
      <c r="W16" s="633"/>
      <c r="X16" s="633"/>
      <c r="Y16" s="633">
        <v>3788.8</v>
      </c>
      <c r="Z16" s="633">
        <v>67354.2</v>
      </c>
      <c r="AA16" s="472">
        <v>-69.2</v>
      </c>
      <c r="AB16" s="503">
        <f t="shared" si="0"/>
        <v>171125.20000000004</v>
      </c>
    </row>
    <row r="17" spans="2:28">
      <c r="B17" s="469" t="s">
        <v>461</v>
      </c>
      <c r="C17" s="632">
        <v>-59982.8</v>
      </c>
      <c r="D17" s="632"/>
      <c r="E17" s="632" t="s">
        <v>450</v>
      </c>
      <c r="F17" s="632" t="s">
        <v>450</v>
      </c>
      <c r="G17" s="632">
        <v>-136.5</v>
      </c>
      <c r="H17" s="632" t="s">
        <v>450</v>
      </c>
      <c r="I17" s="632" t="s">
        <v>450</v>
      </c>
      <c r="J17" s="632" t="s">
        <v>450</v>
      </c>
      <c r="K17" s="632" t="s">
        <v>450</v>
      </c>
      <c r="L17" s="632" t="s">
        <v>450</v>
      </c>
      <c r="M17" s="632">
        <v>-136.5</v>
      </c>
      <c r="N17" s="632" t="s">
        <v>450</v>
      </c>
      <c r="O17" s="632" t="s">
        <v>450</v>
      </c>
      <c r="P17" s="632" t="s">
        <v>450</v>
      </c>
      <c r="Q17" s="632">
        <v>-93861.2</v>
      </c>
      <c r="R17" s="632"/>
      <c r="S17" s="632"/>
      <c r="T17" s="632"/>
      <c r="U17" s="632"/>
      <c r="V17" s="632"/>
      <c r="W17" s="632"/>
      <c r="X17" s="632"/>
      <c r="Y17" s="632" t="s">
        <v>450</v>
      </c>
      <c r="Z17" s="632">
        <v>46423.4</v>
      </c>
      <c r="AA17" s="467" t="s">
        <v>450</v>
      </c>
      <c r="AB17" s="503">
        <f t="shared" si="0"/>
        <v>-47574.299999999996</v>
      </c>
    </row>
    <row r="18" spans="2:28">
      <c r="B18" s="469" t="s">
        <v>462</v>
      </c>
      <c r="C18" s="632">
        <v>-45894.1</v>
      </c>
      <c r="D18" s="632"/>
      <c r="E18" s="632" t="s">
        <v>450</v>
      </c>
      <c r="F18" s="632" t="s">
        <v>450</v>
      </c>
      <c r="G18" s="632">
        <v>-102</v>
      </c>
      <c r="H18" s="632" t="s">
        <v>450</v>
      </c>
      <c r="I18" s="632" t="s">
        <v>450</v>
      </c>
      <c r="J18" s="632" t="s">
        <v>450</v>
      </c>
      <c r="K18" s="632" t="s">
        <v>450</v>
      </c>
      <c r="L18" s="632" t="s">
        <v>450</v>
      </c>
      <c r="M18" s="632" t="s">
        <v>450</v>
      </c>
      <c r="N18" s="632">
        <v>-102</v>
      </c>
      <c r="O18" s="632" t="s">
        <v>450</v>
      </c>
      <c r="P18" s="632" t="s">
        <v>450</v>
      </c>
      <c r="Q18" s="632">
        <v>-68034.7</v>
      </c>
      <c r="R18" s="632"/>
      <c r="S18" s="632"/>
      <c r="T18" s="632"/>
      <c r="U18" s="632"/>
      <c r="V18" s="632"/>
      <c r="W18" s="632"/>
      <c r="X18" s="632"/>
      <c r="Y18" s="632">
        <v>1311.8</v>
      </c>
      <c r="Z18" s="632">
        <v>20930.8</v>
      </c>
      <c r="AA18" s="467" t="s">
        <v>450</v>
      </c>
      <c r="AB18" s="503">
        <f t="shared" si="0"/>
        <v>-45894.099999999991</v>
      </c>
    </row>
    <row r="19" spans="2:28">
      <c r="B19" s="469" t="s">
        <v>463</v>
      </c>
      <c r="C19" s="632">
        <v>-818.6</v>
      </c>
      <c r="D19" s="632"/>
      <c r="E19" s="632" t="s">
        <v>450</v>
      </c>
      <c r="F19" s="632" t="s">
        <v>450</v>
      </c>
      <c r="G19" s="632">
        <v>-131.69999999999999</v>
      </c>
      <c r="H19" s="632" t="s">
        <v>450</v>
      </c>
      <c r="I19" s="632" t="s">
        <v>450</v>
      </c>
      <c r="J19" s="632" t="s">
        <v>450</v>
      </c>
      <c r="K19" s="632" t="s">
        <v>450</v>
      </c>
      <c r="L19" s="632" t="s">
        <v>450</v>
      </c>
      <c r="M19" s="632" t="s">
        <v>450</v>
      </c>
      <c r="N19" s="632">
        <v>-131.69999999999999</v>
      </c>
      <c r="O19" s="632" t="s">
        <v>450</v>
      </c>
      <c r="P19" s="632" t="s">
        <v>450</v>
      </c>
      <c r="Q19" s="632">
        <v>-3163.9</v>
      </c>
      <c r="R19" s="632"/>
      <c r="S19" s="632"/>
      <c r="T19" s="632"/>
      <c r="U19" s="632"/>
      <c r="V19" s="632"/>
      <c r="W19" s="632"/>
      <c r="X19" s="632"/>
      <c r="Y19" s="632">
        <v>2477</v>
      </c>
      <c r="Z19" s="632" t="s">
        <v>450</v>
      </c>
      <c r="AA19" s="467" t="s">
        <v>450</v>
      </c>
      <c r="AB19" s="503">
        <f t="shared" si="0"/>
        <v>-818.59999999999991</v>
      </c>
    </row>
    <row r="20" spans="2:28">
      <c r="B20" s="469" t="s">
        <v>464</v>
      </c>
      <c r="C20" s="632">
        <v>2218.8000000000002</v>
      </c>
      <c r="D20" s="632"/>
      <c r="E20" s="632" t="s">
        <v>450</v>
      </c>
      <c r="F20" s="632" t="s">
        <v>450</v>
      </c>
      <c r="G20" s="632">
        <v>2671.9</v>
      </c>
      <c r="H20" s="632" t="s">
        <v>450</v>
      </c>
      <c r="I20" s="632">
        <v>1242.5</v>
      </c>
      <c r="J20" s="632" t="s">
        <v>450</v>
      </c>
      <c r="K20" s="632" t="s">
        <v>450</v>
      </c>
      <c r="L20" s="632" t="s">
        <v>450</v>
      </c>
      <c r="M20" s="632" t="s">
        <v>450</v>
      </c>
      <c r="N20" s="632" t="s">
        <v>450</v>
      </c>
      <c r="O20" s="632" t="s">
        <v>450</v>
      </c>
      <c r="P20" s="632">
        <v>1429.4</v>
      </c>
      <c r="Q20" s="632">
        <v>-453.1</v>
      </c>
      <c r="R20" s="632"/>
      <c r="S20" s="632"/>
      <c r="T20" s="632"/>
      <c r="U20" s="632"/>
      <c r="V20" s="632"/>
      <c r="W20" s="632"/>
      <c r="X20" s="632"/>
      <c r="Y20" s="632" t="s">
        <v>450</v>
      </c>
      <c r="Z20" s="632" t="s">
        <v>450</v>
      </c>
      <c r="AA20" s="467" t="s">
        <v>450</v>
      </c>
      <c r="AB20" s="503">
        <f t="shared" si="0"/>
        <v>2218.8000000000002</v>
      </c>
    </row>
    <row r="21" spans="2:28">
      <c r="B21" s="469" t="s">
        <v>465</v>
      </c>
      <c r="C21" s="632">
        <v>-69.2</v>
      </c>
      <c r="D21" s="632"/>
      <c r="E21" s="632" t="s">
        <v>450</v>
      </c>
      <c r="F21" s="632" t="s">
        <v>450</v>
      </c>
      <c r="G21" s="632" t="s">
        <v>450</v>
      </c>
      <c r="H21" s="632" t="s">
        <v>450</v>
      </c>
      <c r="I21" s="632" t="s">
        <v>450</v>
      </c>
      <c r="J21" s="632" t="s">
        <v>450</v>
      </c>
      <c r="K21" s="632" t="s">
        <v>450</v>
      </c>
      <c r="L21" s="632" t="s">
        <v>450</v>
      </c>
      <c r="M21" s="632" t="s">
        <v>450</v>
      </c>
      <c r="N21" s="632" t="s">
        <v>450</v>
      </c>
      <c r="O21" s="632" t="s">
        <v>450</v>
      </c>
      <c r="P21" s="632" t="s">
        <v>450</v>
      </c>
      <c r="Q21" s="632" t="s">
        <v>450</v>
      </c>
      <c r="R21" s="632"/>
      <c r="S21" s="632"/>
      <c r="T21" s="632"/>
      <c r="U21" s="632"/>
      <c r="V21" s="632"/>
      <c r="W21" s="632"/>
      <c r="X21" s="632"/>
      <c r="Y21" s="632" t="s">
        <v>450</v>
      </c>
      <c r="Z21" s="632" t="s">
        <v>450</v>
      </c>
      <c r="AA21" s="467">
        <v>-69.2</v>
      </c>
      <c r="AB21" s="503">
        <f t="shared" si="0"/>
        <v>-69.2</v>
      </c>
    </row>
    <row r="22" spans="2:28" ht="15">
      <c r="B22" s="474" t="s">
        <v>466</v>
      </c>
      <c r="C22" s="632">
        <v>-9210.2999999999993</v>
      </c>
      <c r="D22" s="632"/>
      <c r="E22" s="632">
        <v>-265872.7</v>
      </c>
      <c r="F22" s="632">
        <v>-5728.5</v>
      </c>
      <c r="G22" s="632">
        <v>262390.90000000002</v>
      </c>
      <c r="H22" s="632">
        <v>11151</v>
      </c>
      <c r="I22" s="632">
        <v>10149</v>
      </c>
      <c r="J22" s="632">
        <v>53948.7</v>
      </c>
      <c r="K22" s="632">
        <v>25921.7</v>
      </c>
      <c r="L22" s="632" t="s">
        <v>450</v>
      </c>
      <c r="M22" s="632">
        <v>106145.3</v>
      </c>
      <c r="N22" s="632">
        <v>9829.9</v>
      </c>
      <c r="O22" s="632">
        <v>9888.9</v>
      </c>
      <c r="P22" s="632">
        <v>35356.400000000001</v>
      </c>
      <c r="Q22" s="632" t="s">
        <v>450</v>
      </c>
      <c r="R22" s="632"/>
      <c r="S22" s="632"/>
      <c r="T22" s="632"/>
      <c r="U22" s="632"/>
      <c r="V22" s="632"/>
      <c r="W22" s="632"/>
      <c r="X22" s="632"/>
      <c r="Y22" s="632" t="s">
        <v>450</v>
      </c>
      <c r="Z22" s="632" t="s">
        <v>450</v>
      </c>
      <c r="AA22" s="467" t="s">
        <v>450</v>
      </c>
      <c r="AB22" s="503">
        <f t="shared" si="0"/>
        <v>262390.90000000002</v>
      </c>
    </row>
    <row r="23" spans="2:28" ht="15">
      <c r="B23" s="474" t="s">
        <v>467</v>
      </c>
      <c r="C23" s="632">
        <v>871.7</v>
      </c>
      <c r="D23" s="632"/>
      <c r="E23" s="632" t="s">
        <v>450</v>
      </c>
      <c r="F23" s="632" t="s">
        <v>450</v>
      </c>
      <c r="G23" s="632">
        <v>871.7</v>
      </c>
      <c r="H23" s="632" t="s">
        <v>450</v>
      </c>
      <c r="I23" s="632" t="s">
        <v>450</v>
      </c>
      <c r="J23" s="632" t="s">
        <v>450</v>
      </c>
      <c r="K23" s="632" t="s">
        <v>450</v>
      </c>
      <c r="L23" s="632" t="s">
        <v>450</v>
      </c>
      <c r="M23" s="632" t="s">
        <v>450</v>
      </c>
      <c r="N23" s="632" t="s">
        <v>450</v>
      </c>
      <c r="O23" s="632" t="s">
        <v>450</v>
      </c>
      <c r="P23" s="632">
        <v>871.7</v>
      </c>
      <c r="Q23" s="632" t="s">
        <v>450</v>
      </c>
      <c r="R23" s="632"/>
      <c r="S23" s="632"/>
      <c r="T23" s="632"/>
      <c r="U23" s="632"/>
      <c r="V23" s="632"/>
      <c r="W23" s="632"/>
      <c r="X23" s="632"/>
      <c r="Y23" s="632" t="s">
        <v>450</v>
      </c>
      <c r="Z23" s="632" t="s">
        <v>450</v>
      </c>
      <c r="AA23" s="467" t="s">
        <v>450</v>
      </c>
      <c r="AB23" s="503">
        <f t="shared" si="0"/>
        <v>871.7</v>
      </c>
    </row>
    <row r="24" spans="2:28">
      <c r="B24" s="469" t="s">
        <v>468</v>
      </c>
      <c r="C24" s="632" t="s">
        <v>450</v>
      </c>
      <c r="D24" s="632"/>
      <c r="E24" s="632" t="s">
        <v>450</v>
      </c>
      <c r="F24" s="632" t="s">
        <v>450</v>
      </c>
      <c r="G24" s="632" t="s">
        <v>450</v>
      </c>
      <c r="H24" s="632" t="s">
        <v>450</v>
      </c>
      <c r="I24" s="632" t="s">
        <v>450</v>
      </c>
      <c r="J24" s="632" t="s">
        <v>450</v>
      </c>
      <c r="K24" s="632" t="s">
        <v>450</v>
      </c>
      <c r="L24" s="632" t="s">
        <v>450</v>
      </c>
      <c r="M24" s="632" t="s">
        <v>450</v>
      </c>
      <c r="N24" s="632" t="s">
        <v>450</v>
      </c>
      <c r="O24" s="632" t="s">
        <v>450</v>
      </c>
      <c r="P24" s="632" t="s">
        <v>450</v>
      </c>
      <c r="Q24" s="632" t="s">
        <v>450</v>
      </c>
      <c r="R24" s="632"/>
      <c r="S24" s="632"/>
      <c r="T24" s="632"/>
      <c r="U24" s="632"/>
      <c r="V24" s="632"/>
      <c r="W24" s="632"/>
      <c r="X24" s="632"/>
      <c r="Y24" s="632" t="s">
        <v>450</v>
      </c>
      <c r="Z24" s="632" t="s">
        <v>450</v>
      </c>
      <c r="AA24" s="467" t="s">
        <v>450</v>
      </c>
      <c r="AB24" s="503">
        <f t="shared" si="0"/>
        <v>0</v>
      </c>
    </row>
    <row r="25" spans="2:28" ht="15">
      <c r="B25" s="475" t="s">
        <v>469</v>
      </c>
      <c r="C25" s="633">
        <v>38973.800000000003</v>
      </c>
      <c r="D25" s="633"/>
      <c r="E25" s="633">
        <v>168.1</v>
      </c>
      <c r="F25" s="632" t="s">
        <v>450</v>
      </c>
      <c r="G25" s="633">
        <v>17169.5</v>
      </c>
      <c r="H25" s="632">
        <v>11151</v>
      </c>
      <c r="I25" s="632" t="s">
        <v>450</v>
      </c>
      <c r="J25" s="632" t="s">
        <v>450</v>
      </c>
      <c r="K25" s="632" t="s">
        <v>450</v>
      </c>
      <c r="L25" s="632" t="s">
        <v>450</v>
      </c>
      <c r="M25" s="632">
        <v>85.3</v>
      </c>
      <c r="N25" s="632">
        <v>696.7</v>
      </c>
      <c r="O25" s="632" t="s">
        <v>450</v>
      </c>
      <c r="P25" s="632">
        <v>5236.5</v>
      </c>
      <c r="Q25" s="633">
        <v>12889.8</v>
      </c>
      <c r="R25" s="633"/>
      <c r="S25" s="633"/>
      <c r="T25" s="633"/>
      <c r="U25" s="633"/>
      <c r="V25" s="633"/>
      <c r="W25" s="633"/>
      <c r="X25" s="633"/>
      <c r="Y25" s="633">
        <v>974.7</v>
      </c>
      <c r="Z25" s="633">
        <v>7771.7</v>
      </c>
      <c r="AA25" s="467" t="s">
        <v>450</v>
      </c>
      <c r="AB25" s="503">
        <f t="shared" si="0"/>
        <v>38805.699999999997</v>
      </c>
    </row>
    <row r="26" spans="2:28" ht="15">
      <c r="B26" s="475" t="s">
        <v>470</v>
      </c>
      <c r="C26" s="633">
        <v>59811.7</v>
      </c>
      <c r="D26" s="633"/>
      <c r="E26" s="633">
        <v>1887.5</v>
      </c>
      <c r="F26" s="632" t="s">
        <v>450</v>
      </c>
      <c r="G26" s="633"/>
      <c r="H26" s="632" t="s">
        <v>450</v>
      </c>
      <c r="I26" s="632" t="s">
        <v>450</v>
      </c>
      <c r="J26" s="632" t="s">
        <v>450</v>
      </c>
      <c r="K26" s="632" t="s">
        <v>450</v>
      </c>
      <c r="L26" s="632" t="s">
        <v>450</v>
      </c>
      <c r="M26" s="632" t="s">
        <v>450</v>
      </c>
      <c r="N26" s="632" t="s">
        <v>450</v>
      </c>
      <c r="O26" s="632" t="s">
        <v>450</v>
      </c>
      <c r="P26" s="632" t="s">
        <v>450</v>
      </c>
      <c r="Q26" s="633">
        <v>43630</v>
      </c>
      <c r="R26" s="633"/>
      <c r="S26" s="633"/>
      <c r="T26" s="633"/>
      <c r="U26" s="633"/>
      <c r="V26" s="633"/>
      <c r="W26" s="633"/>
      <c r="X26" s="633"/>
      <c r="Y26" s="633">
        <v>505.8</v>
      </c>
      <c r="Z26" s="633">
        <v>13788.4</v>
      </c>
      <c r="AA26" s="467" t="s">
        <v>450</v>
      </c>
      <c r="AB26" s="503">
        <f t="shared" si="0"/>
        <v>57924.200000000004</v>
      </c>
    </row>
    <row r="27" spans="2:28" ht="15">
      <c r="B27" s="475" t="s">
        <v>471</v>
      </c>
      <c r="C27" s="633">
        <v>303385.2</v>
      </c>
      <c r="D27" s="633"/>
      <c r="E27" s="632" t="s">
        <v>450</v>
      </c>
      <c r="F27" s="632" t="s">
        <v>450</v>
      </c>
      <c r="G27" s="633">
        <v>110493.6</v>
      </c>
      <c r="H27" s="632"/>
      <c r="I27" s="632">
        <v>4059.5</v>
      </c>
      <c r="J27" s="632">
        <v>44505.9</v>
      </c>
      <c r="K27" s="632">
        <v>4131.8</v>
      </c>
      <c r="L27" s="632">
        <v>68.900000000000006</v>
      </c>
      <c r="M27" s="632">
        <v>35477.1</v>
      </c>
      <c r="N27" s="632">
        <v>2378.8000000000002</v>
      </c>
      <c r="O27" s="632">
        <v>8701.5</v>
      </c>
      <c r="P27" s="632">
        <v>11170.1</v>
      </c>
      <c r="Q27" s="633">
        <v>142463.5</v>
      </c>
      <c r="R27" s="633"/>
      <c r="S27" s="633"/>
      <c r="T27" s="633"/>
      <c r="U27" s="633"/>
      <c r="V27" s="633"/>
      <c r="W27" s="633"/>
      <c r="X27" s="633"/>
      <c r="Y27" s="633">
        <v>2308.3000000000002</v>
      </c>
      <c r="Z27" s="633">
        <v>44041.3</v>
      </c>
      <c r="AA27" s="472">
        <v>306</v>
      </c>
      <c r="AB27" s="503">
        <f t="shared" si="0"/>
        <v>299612.7</v>
      </c>
    </row>
    <row r="28" spans="2:28" ht="15">
      <c r="B28" s="475" t="s">
        <v>472</v>
      </c>
      <c r="C28" s="633">
        <v>280902.3</v>
      </c>
      <c r="D28" s="633"/>
      <c r="E28" s="632" t="s">
        <v>450</v>
      </c>
      <c r="F28" s="632" t="s">
        <v>450</v>
      </c>
      <c r="G28" s="633">
        <v>89661.8</v>
      </c>
      <c r="H28" s="632"/>
      <c r="I28" s="632">
        <v>3822.4</v>
      </c>
      <c r="J28" s="632">
        <v>44505.9</v>
      </c>
      <c r="K28" s="632">
        <v>3885.7</v>
      </c>
      <c r="L28" s="632">
        <v>68.900000000000006</v>
      </c>
      <c r="M28" s="632">
        <v>35477.1</v>
      </c>
      <c r="N28" s="632">
        <v>1869</v>
      </c>
      <c r="O28" s="632">
        <v>32.799999999999997</v>
      </c>
      <c r="P28" s="632"/>
      <c r="Q28" s="633">
        <v>140944.1</v>
      </c>
      <c r="R28" s="633"/>
      <c r="S28" s="633"/>
      <c r="T28" s="633"/>
      <c r="U28" s="633"/>
      <c r="V28" s="633"/>
      <c r="W28" s="633"/>
      <c r="X28" s="633"/>
      <c r="Y28" s="633">
        <v>2308.3000000000002</v>
      </c>
      <c r="Z28" s="633">
        <v>44041.3</v>
      </c>
      <c r="AA28" s="472">
        <v>174.1</v>
      </c>
      <c r="AB28" s="503">
        <f t="shared" si="0"/>
        <v>277129.59999999998</v>
      </c>
    </row>
    <row r="29" spans="2:28">
      <c r="B29" s="476" t="s">
        <v>473</v>
      </c>
      <c r="C29" s="634">
        <v>2372614.094</v>
      </c>
      <c r="D29" s="635">
        <v>137677.60399999999</v>
      </c>
      <c r="E29" s="634">
        <v>0</v>
      </c>
      <c r="F29" s="634" t="s">
        <v>587</v>
      </c>
      <c r="G29" s="634">
        <v>168128.35399999999</v>
      </c>
      <c r="H29" s="634">
        <v>15620.864</v>
      </c>
      <c r="I29" s="634">
        <v>10955.378000000001</v>
      </c>
      <c r="J29" s="634">
        <v>0</v>
      </c>
      <c r="K29" s="634">
        <v>0</v>
      </c>
      <c r="L29" s="634">
        <v>0</v>
      </c>
      <c r="M29" s="634">
        <v>72878.604999999996</v>
      </c>
      <c r="N29" s="634">
        <v>59432.603999999999</v>
      </c>
      <c r="O29" s="634">
        <v>0</v>
      </c>
      <c r="P29" s="634">
        <f>G29-SUM(H29:O29)</f>
        <v>9240.9029999999912</v>
      </c>
      <c r="Q29" s="634">
        <v>843797.61600000004</v>
      </c>
      <c r="R29" s="636">
        <v>6513</v>
      </c>
      <c r="S29" s="636">
        <v>0</v>
      </c>
      <c r="T29" s="636">
        <v>0</v>
      </c>
      <c r="U29" s="636">
        <v>0</v>
      </c>
      <c r="V29" s="636">
        <v>2021.52</v>
      </c>
      <c r="W29" s="636">
        <v>101118</v>
      </c>
      <c r="X29" s="636">
        <v>42652</v>
      </c>
      <c r="Y29" s="634">
        <v>146022</v>
      </c>
      <c r="Z29" s="634">
        <v>822618</v>
      </c>
      <c r="AA29" s="635">
        <v>102066</v>
      </c>
      <c r="AB29" s="503">
        <f t="shared" si="0"/>
        <v>2372614.094</v>
      </c>
    </row>
    <row r="30" spans="2:28" ht="15">
      <c r="B30" s="477" t="s">
        <v>474</v>
      </c>
      <c r="C30" s="635">
        <v>330774.06900000002</v>
      </c>
      <c r="D30" s="634">
        <v>29540.659</v>
      </c>
      <c r="E30" s="635">
        <v>0</v>
      </c>
      <c r="F30" s="635" t="s">
        <v>587</v>
      </c>
      <c r="G30" s="635">
        <v>4206.5839999999998</v>
      </c>
      <c r="H30" s="635">
        <v>0</v>
      </c>
      <c r="I30" s="635">
        <v>2623.7669999999998</v>
      </c>
      <c r="J30" s="635">
        <v>0</v>
      </c>
      <c r="K30" s="635">
        <v>0</v>
      </c>
      <c r="L30" s="635">
        <v>0</v>
      </c>
      <c r="M30" s="635">
        <v>1286.8499999999999</v>
      </c>
      <c r="N30" s="635">
        <v>201.74</v>
      </c>
      <c r="O30" s="635">
        <v>0</v>
      </c>
      <c r="P30" s="634">
        <f t="shared" ref="P30:P42" si="1">G30-SUM(H30:O30)</f>
        <v>94.226999999999862</v>
      </c>
      <c r="Q30" s="635">
        <v>99519.558000000005</v>
      </c>
      <c r="R30" s="637">
        <v>0</v>
      </c>
      <c r="S30" s="637">
        <v>0</v>
      </c>
      <c r="T30" s="637">
        <v>0</v>
      </c>
      <c r="U30" s="637">
        <v>0</v>
      </c>
      <c r="V30" s="638">
        <v>134.768</v>
      </c>
      <c r="W30" s="637">
        <v>0</v>
      </c>
      <c r="X30" s="637">
        <v>0</v>
      </c>
      <c r="Y30" s="635">
        <v>1774</v>
      </c>
      <c r="Z30" s="635">
        <v>97534.8</v>
      </c>
      <c r="AA30" s="634">
        <v>98063.7</v>
      </c>
      <c r="AB30" s="503">
        <f t="shared" si="0"/>
        <v>330774.06900000002</v>
      </c>
    </row>
    <row r="31" spans="2:28" ht="15">
      <c r="B31" s="477" t="s">
        <v>475</v>
      </c>
      <c r="C31" s="634">
        <v>588419.799</v>
      </c>
      <c r="D31" s="635">
        <v>21580.32</v>
      </c>
      <c r="E31" s="634">
        <v>0</v>
      </c>
      <c r="F31" s="634" t="s">
        <v>587</v>
      </c>
      <c r="G31" s="634">
        <v>62032.112000000001</v>
      </c>
      <c r="H31" s="634">
        <v>13158.88</v>
      </c>
      <c r="I31" s="634">
        <v>0</v>
      </c>
      <c r="J31" s="634">
        <v>0</v>
      </c>
      <c r="K31" s="634">
        <v>0</v>
      </c>
      <c r="L31" s="634">
        <v>0</v>
      </c>
      <c r="M31" s="634">
        <v>2916.86</v>
      </c>
      <c r="N31" s="634">
        <v>45956.372000000003</v>
      </c>
      <c r="O31" s="634">
        <v>0</v>
      </c>
      <c r="P31" s="634">
        <f t="shared" si="1"/>
        <v>0</v>
      </c>
      <c r="Q31" s="634">
        <v>224126.00700000001</v>
      </c>
      <c r="R31" s="636">
        <v>4839</v>
      </c>
      <c r="S31" s="636">
        <v>0</v>
      </c>
      <c r="T31" s="636">
        <v>0</v>
      </c>
      <c r="U31" s="636">
        <v>0</v>
      </c>
      <c r="V31" s="636">
        <v>168.46</v>
      </c>
      <c r="W31" s="636">
        <v>1701</v>
      </c>
      <c r="X31" s="636">
        <v>6545</v>
      </c>
      <c r="Y31" s="634">
        <v>75475</v>
      </c>
      <c r="Z31" s="634">
        <v>188413.2</v>
      </c>
      <c r="AA31" s="635">
        <v>3539.7</v>
      </c>
      <c r="AB31" s="503">
        <f t="shared" si="0"/>
        <v>588419.799</v>
      </c>
    </row>
    <row r="32" spans="2:28" ht="15">
      <c r="B32" s="477" t="s">
        <v>476</v>
      </c>
      <c r="C32" s="635">
        <v>89446.138000000006</v>
      </c>
      <c r="D32" s="634">
        <v>1043.671</v>
      </c>
      <c r="E32" s="635">
        <v>0</v>
      </c>
      <c r="F32" s="635" t="s">
        <v>587</v>
      </c>
      <c r="G32" s="635">
        <v>4189.7929999999997</v>
      </c>
      <c r="H32" s="635">
        <v>0</v>
      </c>
      <c r="I32" s="635">
        <v>184.124</v>
      </c>
      <c r="J32" s="635">
        <v>0</v>
      </c>
      <c r="K32" s="635">
        <v>0</v>
      </c>
      <c r="L32" s="635">
        <v>0</v>
      </c>
      <c r="M32" s="635">
        <v>1372.64</v>
      </c>
      <c r="N32" s="635">
        <v>968.35199999999998</v>
      </c>
      <c r="O32" s="635">
        <v>0</v>
      </c>
      <c r="P32" s="634">
        <f t="shared" si="1"/>
        <v>1664.6769999999997</v>
      </c>
      <c r="Q32" s="635">
        <v>32190.673999999999</v>
      </c>
      <c r="R32" s="637">
        <v>17</v>
      </c>
      <c r="S32" s="637">
        <v>0</v>
      </c>
      <c r="T32" s="637">
        <v>0</v>
      </c>
      <c r="U32" s="637">
        <v>0</v>
      </c>
      <c r="V32" s="637">
        <v>0</v>
      </c>
      <c r="W32" s="637">
        <v>0</v>
      </c>
      <c r="X32" s="637">
        <v>312</v>
      </c>
      <c r="Y32" s="635">
        <v>2571</v>
      </c>
      <c r="Z32" s="635">
        <v>49122</v>
      </c>
      <c r="AA32" s="634">
        <v>0</v>
      </c>
      <c r="AB32" s="503">
        <f t="shared" si="0"/>
        <v>89446.138000000006</v>
      </c>
    </row>
    <row r="33" spans="2:28" ht="15">
      <c r="B33" s="477" t="s">
        <v>477</v>
      </c>
      <c r="C33" s="634">
        <v>272879.16200000001</v>
      </c>
      <c r="D33" s="635">
        <v>56552.896000000001</v>
      </c>
      <c r="E33" s="634">
        <v>0</v>
      </c>
      <c r="F33" s="634" t="s">
        <v>587</v>
      </c>
      <c r="G33" s="634">
        <v>28630.937999999998</v>
      </c>
      <c r="H33" s="634">
        <v>0</v>
      </c>
      <c r="I33" s="634">
        <v>1242.837</v>
      </c>
      <c r="J33" s="634">
        <v>0</v>
      </c>
      <c r="K33" s="634">
        <v>0</v>
      </c>
      <c r="L33" s="634">
        <v>0</v>
      </c>
      <c r="M33" s="634">
        <v>12396.655000000001</v>
      </c>
      <c r="N33" s="634">
        <v>7746.8159999999998</v>
      </c>
      <c r="O33" s="634">
        <v>0</v>
      </c>
      <c r="P33" s="634">
        <f t="shared" si="1"/>
        <v>7244.6299999999974</v>
      </c>
      <c r="Q33" s="634">
        <v>102503.992</v>
      </c>
      <c r="R33" s="636">
        <v>17</v>
      </c>
      <c r="S33" s="636">
        <v>0</v>
      </c>
      <c r="T33" s="636">
        <v>0</v>
      </c>
      <c r="U33" s="636">
        <v>0</v>
      </c>
      <c r="V33" s="639">
        <v>1111.836</v>
      </c>
      <c r="W33" s="636">
        <v>6041</v>
      </c>
      <c r="X33" s="636">
        <v>33264</v>
      </c>
      <c r="Y33" s="634">
        <v>608</v>
      </c>
      <c r="Z33" s="634">
        <v>44042.400000000001</v>
      </c>
      <c r="AA33" s="635">
        <v>107.1</v>
      </c>
      <c r="AB33" s="503">
        <f t="shared" si="0"/>
        <v>272879.16200000001</v>
      </c>
    </row>
    <row r="34" spans="2:28" ht="15">
      <c r="B34" s="477" t="s">
        <v>478</v>
      </c>
      <c r="C34" s="635">
        <v>123559.23299999999</v>
      </c>
      <c r="D34" s="634">
        <v>687.6</v>
      </c>
      <c r="E34" s="635">
        <v>0</v>
      </c>
      <c r="F34" s="635" t="s">
        <v>587</v>
      </c>
      <c r="G34" s="635">
        <v>4004.915</v>
      </c>
      <c r="H34" s="635">
        <v>0</v>
      </c>
      <c r="I34" s="635">
        <v>230.155</v>
      </c>
      <c r="J34" s="635">
        <v>0</v>
      </c>
      <c r="K34" s="635">
        <v>0</v>
      </c>
      <c r="L34" s="635">
        <v>0</v>
      </c>
      <c r="M34" s="635">
        <v>3774.76</v>
      </c>
      <c r="N34" s="635">
        <v>0</v>
      </c>
      <c r="O34" s="635">
        <v>0</v>
      </c>
      <c r="P34" s="634">
        <f t="shared" si="1"/>
        <v>0</v>
      </c>
      <c r="Q34" s="635">
        <v>38022.741999999998</v>
      </c>
      <c r="R34" s="637">
        <v>0</v>
      </c>
      <c r="S34" s="637">
        <v>0</v>
      </c>
      <c r="T34" s="637">
        <v>0</v>
      </c>
      <c r="U34" s="637">
        <v>0</v>
      </c>
      <c r="V34" s="638">
        <v>101.07599999999999</v>
      </c>
      <c r="W34" s="637">
        <v>239</v>
      </c>
      <c r="X34" s="637">
        <v>0</v>
      </c>
      <c r="Y34" s="635">
        <v>15937</v>
      </c>
      <c r="Z34" s="635">
        <v>64216.800000000003</v>
      </c>
      <c r="AA34" s="634">
        <v>350.1</v>
      </c>
      <c r="AB34" s="503">
        <f t="shared" si="0"/>
        <v>123559.23300000001</v>
      </c>
    </row>
    <row r="35" spans="2:28" ht="15">
      <c r="B35" s="477" t="s">
        <v>342</v>
      </c>
      <c r="C35" s="634">
        <v>232432.842</v>
      </c>
      <c r="D35" s="635">
        <v>720.02099999999996</v>
      </c>
      <c r="E35" s="634">
        <v>0</v>
      </c>
      <c r="F35" s="634" t="s">
        <v>587</v>
      </c>
      <c r="G35" s="634">
        <v>23341.79</v>
      </c>
      <c r="H35" s="634">
        <v>0</v>
      </c>
      <c r="I35" s="634">
        <v>2439.643</v>
      </c>
      <c r="J35" s="634">
        <v>0</v>
      </c>
      <c r="K35" s="634">
        <v>0</v>
      </c>
      <c r="L35" s="634">
        <v>0</v>
      </c>
      <c r="M35" s="634">
        <v>20718.285</v>
      </c>
      <c r="N35" s="634">
        <v>121.044</v>
      </c>
      <c r="O35" s="634">
        <v>0</v>
      </c>
      <c r="P35" s="634">
        <f t="shared" si="1"/>
        <v>62.817999999999302</v>
      </c>
      <c r="Q35" s="634">
        <v>74901.570999999996</v>
      </c>
      <c r="R35" s="636">
        <v>33</v>
      </c>
      <c r="S35" s="636">
        <v>0</v>
      </c>
      <c r="T35" s="636">
        <v>0</v>
      </c>
      <c r="U35" s="636">
        <v>0</v>
      </c>
      <c r="V35" s="636">
        <v>168.46</v>
      </c>
      <c r="W35" s="636">
        <v>1648</v>
      </c>
      <c r="X35" s="636">
        <v>8</v>
      </c>
      <c r="Y35" s="634">
        <v>13136</v>
      </c>
      <c r="Z35" s="634">
        <v>118476</v>
      </c>
      <c r="AA35" s="635">
        <v>0</v>
      </c>
      <c r="AB35" s="503">
        <f t="shared" si="0"/>
        <v>232432.842</v>
      </c>
    </row>
    <row r="36" spans="2:28">
      <c r="B36" s="478" t="s">
        <v>479</v>
      </c>
      <c r="C36" s="635">
        <v>18503.191999999999</v>
      </c>
      <c r="D36" s="634">
        <v>2252.96</v>
      </c>
      <c r="E36" s="635">
        <v>0</v>
      </c>
      <c r="F36" s="635" t="s">
        <v>587</v>
      </c>
      <c r="G36" s="635">
        <v>1661.577</v>
      </c>
      <c r="H36" s="635">
        <v>0</v>
      </c>
      <c r="I36" s="635">
        <v>414.279</v>
      </c>
      <c r="J36" s="635">
        <v>0</v>
      </c>
      <c r="K36" s="635">
        <v>0</v>
      </c>
      <c r="L36" s="635">
        <v>0</v>
      </c>
      <c r="M36" s="635">
        <v>1072.375</v>
      </c>
      <c r="N36" s="635">
        <v>80.695999999999998</v>
      </c>
      <c r="O36" s="635">
        <v>0</v>
      </c>
      <c r="P36" s="634">
        <f t="shared" si="1"/>
        <v>94.227000000000089</v>
      </c>
      <c r="Q36" s="635">
        <v>6125.4709999999995</v>
      </c>
      <c r="R36" s="637">
        <v>0</v>
      </c>
      <c r="S36" s="637">
        <v>0</v>
      </c>
      <c r="T36" s="637">
        <v>0</v>
      </c>
      <c r="U36" s="637">
        <v>0</v>
      </c>
      <c r="V36" s="638">
        <v>67.384</v>
      </c>
      <c r="W36" s="637">
        <v>571</v>
      </c>
      <c r="X36" s="637">
        <v>0</v>
      </c>
      <c r="Y36" s="635">
        <v>56</v>
      </c>
      <c r="Z36" s="635">
        <v>7768.8</v>
      </c>
      <c r="AA36" s="634">
        <v>0</v>
      </c>
      <c r="AB36" s="503">
        <f t="shared" si="0"/>
        <v>18503.191999999999</v>
      </c>
    </row>
    <row r="37" spans="2:28">
      <c r="B37" s="478" t="s">
        <v>480</v>
      </c>
      <c r="C37" s="634">
        <v>201710.19500000001</v>
      </c>
      <c r="D37" s="635">
        <v>8542.4750000000004</v>
      </c>
      <c r="E37" s="634">
        <v>0</v>
      </c>
      <c r="F37" s="634" t="s">
        <v>587</v>
      </c>
      <c r="G37" s="634">
        <v>16688.75</v>
      </c>
      <c r="H37" s="634">
        <v>0</v>
      </c>
      <c r="I37" s="634">
        <v>1795.2090000000001</v>
      </c>
      <c r="J37" s="634">
        <v>0</v>
      </c>
      <c r="K37" s="634">
        <v>0</v>
      </c>
      <c r="L37" s="634">
        <v>0</v>
      </c>
      <c r="M37" s="634">
        <v>12997.184999999999</v>
      </c>
      <c r="N37" s="634">
        <v>1896.356</v>
      </c>
      <c r="O37" s="634">
        <v>0</v>
      </c>
      <c r="P37" s="634">
        <f t="shared" si="1"/>
        <v>0</v>
      </c>
      <c r="Q37" s="634">
        <v>105401.126</v>
      </c>
      <c r="R37" s="636">
        <v>583</v>
      </c>
      <c r="S37" s="636">
        <v>0</v>
      </c>
      <c r="T37" s="636">
        <v>0</v>
      </c>
      <c r="U37" s="636">
        <v>0</v>
      </c>
      <c r="V37" s="639">
        <v>235.84399999999999</v>
      </c>
      <c r="W37" s="636">
        <v>1184</v>
      </c>
      <c r="X37" s="636">
        <v>384</v>
      </c>
      <c r="Y37" s="634">
        <v>5601</v>
      </c>
      <c r="Z37" s="634">
        <v>63090</v>
      </c>
      <c r="AA37" s="635">
        <v>0</v>
      </c>
      <c r="AB37" s="503">
        <f t="shared" si="0"/>
        <v>201710.19500000001</v>
      </c>
    </row>
    <row r="38" spans="2:28">
      <c r="B38" s="478" t="s">
        <v>481</v>
      </c>
      <c r="C38" s="635">
        <v>262458.24099999998</v>
      </c>
      <c r="D38" s="634">
        <v>15931.112999999999</v>
      </c>
      <c r="E38" s="635">
        <v>0</v>
      </c>
      <c r="F38" s="635" t="s">
        <v>587</v>
      </c>
      <c r="G38" s="635">
        <v>4132.2299999999996</v>
      </c>
      <c r="H38" s="635">
        <v>0</v>
      </c>
      <c r="I38" s="635">
        <v>368.24799999999999</v>
      </c>
      <c r="J38" s="635">
        <v>0</v>
      </c>
      <c r="K38" s="635">
        <v>0</v>
      </c>
      <c r="L38" s="635">
        <v>0</v>
      </c>
      <c r="M38" s="635">
        <v>2916.86</v>
      </c>
      <c r="N38" s="635">
        <v>806.96</v>
      </c>
      <c r="O38" s="635">
        <v>0</v>
      </c>
      <c r="P38" s="634">
        <f t="shared" si="1"/>
        <v>40.161999999999352</v>
      </c>
      <c r="Q38" s="635">
        <v>94414.698000000004</v>
      </c>
      <c r="R38" s="637">
        <v>943</v>
      </c>
      <c r="S38" s="637">
        <v>0</v>
      </c>
      <c r="T38" s="637">
        <v>0</v>
      </c>
      <c r="U38" s="637">
        <v>0</v>
      </c>
      <c r="V38" s="637">
        <v>0</v>
      </c>
      <c r="W38" s="637">
        <v>39709</v>
      </c>
      <c r="X38" s="637">
        <v>2134</v>
      </c>
      <c r="Y38" s="635">
        <v>17725</v>
      </c>
      <c r="Z38" s="635">
        <v>87469.2</v>
      </c>
      <c r="AA38" s="634">
        <v>0</v>
      </c>
      <c r="AB38" s="503">
        <f t="shared" ref="AB38:AB55" si="2">SUM(H38:AA38)+D38</f>
        <v>262458.24100000004</v>
      </c>
    </row>
    <row r="39" spans="2:28" ht="15">
      <c r="B39" s="477" t="s">
        <v>482</v>
      </c>
      <c r="C39" s="634">
        <v>75463.909</v>
      </c>
      <c r="D39" s="635">
        <v>42.006</v>
      </c>
      <c r="E39" s="634">
        <v>0</v>
      </c>
      <c r="F39" s="634" t="s">
        <v>587</v>
      </c>
      <c r="G39" s="634">
        <v>2732.73</v>
      </c>
      <c r="H39" s="634">
        <v>0</v>
      </c>
      <c r="I39" s="634">
        <v>46.030999999999999</v>
      </c>
      <c r="J39" s="634">
        <v>0</v>
      </c>
      <c r="K39" s="634">
        <v>0</v>
      </c>
      <c r="L39" s="634">
        <v>0</v>
      </c>
      <c r="M39" s="634">
        <v>1758.6949999999999</v>
      </c>
      <c r="N39" s="634">
        <v>928.00400000000002</v>
      </c>
      <c r="O39" s="634">
        <v>0</v>
      </c>
      <c r="P39" s="634">
        <f t="shared" si="1"/>
        <v>0</v>
      </c>
      <c r="Q39" s="634">
        <v>6317.1729999999998</v>
      </c>
      <c r="R39" s="636">
        <v>0</v>
      </c>
      <c r="S39" s="636">
        <v>0</v>
      </c>
      <c r="T39" s="636">
        <v>0</v>
      </c>
      <c r="U39" s="636">
        <v>0</v>
      </c>
      <c r="V39" s="636">
        <v>0</v>
      </c>
      <c r="W39" s="636">
        <v>45952</v>
      </c>
      <c r="X39" s="636">
        <v>0</v>
      </c>
      <c r="Y39" s="634">
        <v>4184</v>
      </c>
      <c r="Z39" s="634">
        <v>16236</v>
      </c>
      <c r="AA39" s="635">
        <v>0</v>
      </c>
      <c r="AB39" s="503">
        <f t="shared" si="2"/>
        <v>75463.908999999985</v>
      </c>
    </row>
    <row r="40" spans="2:28">
      <c r="B40" s="478" t="s">
        <v>483</v>
      </c>
      <c r="C40" s="634">
        <v>24704.761999999999</v>
      </c>
      <c r="D40" s="635">
        <v>426.83199999999999</v>
      </c>
      <c r="E40" s="634">
        <v>0</v>
      </c>
      <c r="F40" s="634" t="s">
        <v>587</v>
      </c>
      <c r="G40" s="634">
        <v>1781.8030000000001</v>
      </c>
      <c r="H40" s="634">
        <v>0</v>
      </c>
      <c r="I40" s="634">
        <v>46.030999999999999</v>
      </c>
      <c r="J40" s="634">
        <v>0</v>
      </c>
      <c r="K40" s="634">
        <v>0</v>
      </c>
      <c r="L40" s="634">
        <v>0</v>
      </c>
      <c r="M40" s="634">
        <v>1372.64</v>
      </c>
      <c r="N40" s="634">
        <v>363.13200000000001</v>
      </c>
      <c r="O40" s="634">
        <v>0</v>
      </c>
      <c r="P40" s="634">
        <f t="shared" si="1"/>
        <v>0</v>
      </c>
      <c r="Q40" s="634">
        <v>10936.927</v>
      </c>
      <c r="R40" s="636">
        <v>15</v>
      </c>
      <c r="S40" s="636">
        <v>0</v>
      </c>
      <c r="T40" s="636">
        <v>0</v>
      </c>
      <c r="U40" s="636">
        <v>0</v>
      </c>
      <c r="V40" s="636">
        <v>0</v>
      </c>
      <c r="W40" s="636">
        <v>88</v>
      </c>
      <c r="X40" s="636">
        <v>0</v>
      </c>
      <c r="Y40" s="634">
        <v>2521</v>
      </c>
      <c r="Z40" s="634">
        <v>8935.2000000000007</v>
      </c>
      <c r="AA40" s="635">
        <v>0</v>
      </c>
      <c r="AB40" s="503">
        <f t="shared" si="2"/>
        <v>24704.761999999999</v>
      </c>
    </row>
    <row r="41" spans="2:28">
      <c r="B41" s="478" t="s">
        <v>253</v>
      </c>
      <c r="C41" s="635">
        <v>36138.853999999999</v>
      </c>
      <c r="D41" s="634">
        <v>0</v>
      </c>
      <c r="E41" s="635">
        <v>0</v>
      </c>
      <c r="F41" s="635" t="s">
        <v>587</v>
      </c>
      <c r="G41" s="635">
        <v>0</v>
      </c>
      <c r="H41" s="635">
        <v>0</v>
      </c>
      <c r="I41" s="635">
        <v>0</v>
      </c>
      <c r="J41" s="635">
        <v>0</v>
      </c>
      <c r="K41" s="635">
        <v>0</v>
      </c>
      <c r="L41" s="635">
        <v>0</v>
      </c>
      <c r="M41" s="635">
        <v>0</v>
      </c>
      <c r="N41" s="635">
        <v>0</v>
      </c>
      <c r="O41" s="635">
        <v>0</v>
      </c>
      <c r="P41" s="634">
        <f t="shared" si="1"/>
        <v>0</v>
      </c>
      <c r="Q41" s="635">
        <v>21828.853999999999</v>
      </c>
      <c r="R41" s="637">
        <v>0</v>
      </c>
      <c r="S41" s="637">
        <v>0</v>
      </c>
      <c r="T41" s="637">
        <v>0</v>
      </c>
      <c r="U41" s="637">
        <v>0</v>
      </c>
      <c r="V41" s="637">
        <v>0</v>
      </c>
      <c r="W41" s="637">
        <v>0</v>
      </c>
      <c r="X41" s="637">
        <v>0</v>
      </c>
      <c r="Y41" s="635">
        <v>0</v>
      </c>
      <c r="Z41" s="635">
        <v>14310</v>
      </c>
      <c r="AA41" s="634">
        <v>0</v>
      </c>
      <c r="AB41" s="503">
        <f t="shared" si="2"/>
        <v>36138.853999999999</v>
      </c>
    </row>
    <row r="42" spans="2:28" ht="15">
      <c r="B42" s="477" t="s">
        <v>484</v>
      </c>
      <c r="C42" s="635">
        <v>116123.69500000001</v>
      </c>
      <c r="D42" s="634">
        <v>357.05099999999999</v>
      </c>
      <c r="E42" s="635">
        <v>0</v>
      </c>
      <c r="F42" s="635" t="s">
        <v>587</v>
      </c>
      <c r="G42" s="635">
        <v>14725.132</v>
      </c>
      <c r="H42" s="635">
        <v>2461.9839999999999</v>
      </c>
      <c r="I42" s="635">
        <v>1565.0540000000001</v>
      </c>
      <c r="J42" s="635">
        <v>0</v>
      </c>
      <c r="K42" s="635">
        <v>0</v>
      </c>
      <c r="L42" s="635">
        <v>0</v>
      </c>
      <c r="M42" s="635">
        <v>10294.799999999999</v>
      </c>
      <c r="N42" s="635">
        <v>363.13200000000001</v>
      </c>
      <c r="O42" s="635">
        <v>0</v>
      </c>
      <c r="P42" s="634">
        <f t="shared" si="1"/>
        <v>40.162000000000262</v>
      </c>
      <c r="Q42" s="635">
        <v>27508.82</v>
      </c>
      <c r="R42" s="637">
        <v>66</v>
      </c>
      <c r="S42" s="637">
        <v>0</v>
      </c>
      <c r="T42" s="637">
        <v>0</v>
      </c>
      <c r="U42" s="637">
        <v>0</v>
      </c>
      <c r="V42" s="638">
        <v>33.692</v>
      </c>
      <c r="W42" s="637">
        <v>3985</v>
      </c>
      <c r="X42" s="637">
        <v>5</v>
      </c>
      <c r="Y42" s="635">
        <v>6434</v>
      </c>
      <c r="Z42" s="635">
        <v>63003.6</v>
      </c>
      <c r="AA42" s="634">
        <v>5.4</v>
      </c>
      <c r="AB42" s="503">
        <f t="shared" si="2"/>
        <v>116123.69500000001</v>
      </c>
    </row>
    <row r="43" spans="2:28" ht="15">
      <c r="B43" s="479" t="s">
        <v>485</v>
      </c>
      <c r="C43" s="633">
        <v>71350.899999999994</v>
      </c>
      <c r="D43" s="633"/>
      <c r="E43" s="632" t="s">
        <v>450</v>
      </c>
      <c r="F43" s="632" t="s">
        <v>450</v>
      </c>
      <c r="G43" s="633">
        <v>69214.7</v>
      </c>
      <c r="H43" s="632"/>
      <c r="I43" s="632">
        <v>901.1</v>
      </c>
      <c r="J43" s="632">
        <v>43978.9</v>
      </c>
      <c r="K43" s="632">
        <v>3881.4</v>
      </c>
      <c r="L43" s="632"/>
      <c r="M43" s="632">
        <v>20398.099999999999</v>
      </c>
      <c r="N43" s="632">
        <v>55.2</v>
      </c>
      <c r="O43" s="632"/>
      <c r="P43" s="632"/>
      <c r="Q43" s="633"/>
      <c r="R43" s="633"/>
      <c r="S43" s="633"/>
      <c r="T43" s="633"/>
      <c r="U43" s="633"/>
      <c r="V43" s="633"/>
      <c r="W43" s="633"/>
      <c r="X43" s="633"/>
      <c r="Y43" s="632"/>
      <c r="Z43" s="633">
        <v>1959.8</v>
      </c>
      <c r="AA43" s="472">
        <v>174.3</v>
      </c>
      <c r="AB43" s="503">
        <f t="shared" si="2"/>
        <v>71348.800000000003</v>
      </c>
    </row>
    <row r="44" spans="2:28">
      <c r="B44" s="478" t="s">
        <v>486</v>
      </c>
      <c r="C44" s="632">
        <v>64010.8</v>
      </c>
      <c r="D44" s="632"/>
      <c r="E44" s="632" t="s">
        <v>450</v>
      </c>
      <c r="F44" s="632" t="s">
        <v>450</v>
      </c>
      <c r="G44" s="632">
        <v>64010.8</v>
      </c>
      <c r="H44" s="632"/>
      <c r="I44" s="632">
        <v>896.4</v>
      </c>
      <c r="J44" s="632">
        <v>43978.9</v>
      </c>
      <c r="K44" s="632"/>
      <c r="L44" s="632"/>
      <c r="M44" s="632">
        <v>19135.5</v>
      </c>
      <c r="N44" s="632"/>
      <c r="O44" s="632"/>
      <c r="P44" s="632"/>
      <c r="Q44" s="632"/>
      <c r="R44" s="632"/>
      <c r="S44" s="632"/>
      <c r="T44" s="632"/>
      <c r="U44" s="632"/>
      <c r="V44" s="632"/>
      <c r="W44" s="632"/>
      <c r="X44" s="632"/>
      <c r="Y44" s="632"/>
      <c r="Z44" s="632"/>
      <c r="AA44" s="467"/>
      <c r="AB44" s="503">
        <f t="shared" si="2"/>
        <v>64010.8</v>
      </c>
    </row>
    <row r="45" spans="2:28" ht="15">
      <c r="B45" s="477" t="s">
        <v>487</v>
      </c>
      <c r="C45" s="632">
        <v>1875.8</v>
      </c>
      <c r="D45" s="632"/>
      <c r="E45" s="632" t="s">
        <v>450</v>
      </c>
      <c r="F45" s="632" t="s">
        <v>450</v>
      </c>
      <c r="G45" s="632">
        <v>140.6</v>
      </c>
      <c r="H45" s="632"/>
      <c r="I45" s="632"/>
      <c r="J45" s="632"/>
      <c r="K45" s="632"/>
      <c r="L45" s="632"/>
      <c r="M45" s="632">
        <v>102.4</v>
      </c>
      <c r="N45" s="632">
        <v>38.200000000000003</v>
      </c>
      <c r="O45" s="632"/>
      <c r="P45" s="632"/>
      <c r="Q45" s="632"/>
      <c r="R45" s="632"/>
      <c r="S45" s="632"/>
      <c r="T45" s="632"/>
      <c r="U45" s="632"/>
      <c r="V45" s="632"/>
      <c r="W45" s="632"/>
      <c r="X45" s="632"/>
      <c r="Y45" s="632"/>
      <c r="Z45" s="632">
        <v>1558.8</v>
      </c>
      <c r="AA45" s="467">
        <v>174.3</v>
      </c>
      <c r="AB45" s="503">
        <f t="shared" si="2"/>
        <v>1873.7</v>
      </c>
    </row>
    <row r="46" spans="2:28">
      <c r="B46" s="478" t="s">
        <v>488</v>
      </c>
      <c r="C46" s="632">
        <v>3881.4</v>
      </c>
      <c r="D46" s="632"/>
      <c r="E46" s="632" t="s">
        <v>450</v>
      </c>
      <c r="F46" s="632" t="s">
        <v>450</v>
      </c>
      <c r="G46" s="632">
        <v>3881.4</v>
      </c>
      <c r="H46" s="632"/>
      <c r="I46" s="632"/>
      <c r="J46" s="632"/>
      <c r="K46" s="632">
        <v>3881.4</v>
      </c>
      <c r="L46" s="632"/>
      <c r="M46" s="632"/>
      <c r="N46" s="632"/>
      <c r="O46" s="632"/>
      <c r="P46" s="632"/>
      <c r="Q46" s="632"/>
      <c r="R46" s="632"/>
      <c r="S46" s="632"/>
      <c r="T46" s="632"/>
      <c r="U46" s="632"/>
      <c r="V46" s="632"/>
      <c r="W46" s="632"/>
      <c r="X46" s="632"/>
      <c r="Y46" s="632"/>
      <c r="Z46" s="632"/>
      <c r="AA46" s="467"/>
      <c r="AB46" s="503">
        <f t="shared" si="2"/>
        <v>3881.4</v>
      </c>
    </row>
    <row r="47" spans="2:28">
      <c r="B47" s="478" t="s">
        <v>489</v>
      </c>
      <c r="C47" s="632">
        <v>1177.2</v>
      </c>
      <c r="D47" s="632"/>
      <c r="E47" s="632" t="s">
        <v>450</v>
      </c>
      <c r="F47" s="632" t="s">
        <v>450</v>
      </c>
      <c r="G47" s="632">
        <v>1177.2</v>
      </c>
      <c r="H47" s="632"/>
      <c r="I47" s="632"/>
      <c r="J47" s="632"/>
      <c r="K47" s="632"/>
      <c r="L47" s="632"/>
      <c r="M47" s="632">
        <v>1160.2</v>
      </c>
      <c r="N47" s="632">
        <v>17</v>
      </c>
      <c r="O47" s="632"/>
      <c r="P47" s="632"/>
      <c r="Q47" s="632"/>
      <c r="R47" s="632"/>
      <c r="S47" s="632"/>
      <c r="T47" s="632"/>
      <c r="U47" s="632"/>
      <c r="V47" s="632"/>
      <c r="W47" s="632"/>
      <c r="X47" s="632"/>
      <c r="Y47" s="632"/>
      <c r="Z47" s="632"/>
      <c r="AA47" s="467"/>
      <c r="AB47" s="503">
        <f t="shared" si="2"/>
        <v>1177.2</v>
      </c>
    </row>
    <row r="48" spans="2:28">
      <c r="B48" s="478" t="s">
        <v>490</v>
      </c>
      <c r="C48" s="632">
        <v>405.7</v>
      </c>
      <c r="D48" s="632"/>
      <c r="E48" s="632" t="s">
        <v>450</v>
      </c>
      <c r="F48" s="632" t="s">
        <v>450</v>
      </c>
      <c r="G48" s="632">
        <v>4.7</v>
      </c>
      <c r="H48" s="632"/>
      <c r="I48" s="632">
        <v>4.7</v>
      </c>
      <c r="J48" s="632"/>
      <c r="K48" s="632"/>
      <c r="L48" s="632"/>
      <c r="M48" s="632"/>
      <c r="N48" s="632"/>
      <c r="O48" s="632"/>
      <c r="P48" s="632"/>
      <c r="Q48" s="632"/>
      <c r="R48" s="632"/>
      <c r="S48" s="632"/>
      <c r="T48" s="632"/>
      <c r="U48" s="632"/>
      <c r="V48" s="632"/>
      <c r="W48" s="632"/>
      <c r="X48" s="632"/>
      <c r="Y48" s="632"/>
      <c r="Z48" s="632">
        <v>401</v>
      </c>
      <c r="AA48" s="467"/>
      <c r="AB48" s="503">
        <f t="shared" si="2"/>
        <v>405.7</v>
      </c>
    </row>
    <row r="49" spans="2:28" ht="15">
      <c r="B49" s="480" t="s">
        <v>491</v>
      </c>
      <c r="C49" s="632" t="s">
        <v>450</v>
      </c>
      <c r="D49" s="632"/>
      <c r="E49" s="632" t="s">
        <v>450</v>
      </c>
      <c r="F49" s="632" t="s">
        <v>450</v>
      </c>
      <c r="G49" s="632" t="s">
        <v>450</v>
      </c>
      <c r="H49" s="632"/>
      <c r="I49" s="632"/>
      <c r="J49" s="632"/>
      <c r="K49" s="632"/>
      <c r="L49" s="632"/>
      <c r="M49" s="632"/>
      <c r="N49" s="632"/>
      <c r="O49" s="632"/>
      <c r="P49" s="632"/>
      <c r="Q49" s="632"/>
      <c r="R49" s="632"/>
      <c r="S49" s="632"/>
      <c r="T49" s="632"/>
      <c r="U49" s="632"/>
      <c r="V49" s="632"/>
      <c r="W49" s="632"/>
      <c r="X49" s="632"/>
      <c r="Y49" s="632"/>
      <c r="Z49" s="632"/>
      <c r="AA49" s="467"/>
      <c r="AB49" s="503">
        <f t="shared" si="2"/>
        <v>0</v>
      </c>
    </row>
    <row r="50" spans="2:28" ht="15">
      <c r="B50" s="479" t="s">
        <v>492</v>
      </c>
      <c r="C50" s="633">
        <v>176172.2</v>
      </c>
      <c r="D50" s="633"/>
      <c r="E50" s="632" t="s">
        <v>450</v>
      </c>
      <c r="F50" s="632" t="s">
        <v>450</v>
      </c>
      <c r="G50" s="633">
        <v>17222.8</v>
      </c>
      <c r="H50" s="632"/>
      <c r="I50" s="632">
        <v>2674.8</v>
      </c>
      <c r="J50" s="632">
        <v>527</v>
      </c>
      <c r="K50" s="632"/>
      <c r="L50" s="632">
        <v>64.599999999999994</v>
      </c>
      <c r="M50" s="632">
        <v>13807.7</v>
      </c>
      <c r="N50" s="632">
        <v>148.69999999999999</v>
      </c>
      <c r="O50" s="632"/>
      <c r="P50" s="632"/>
      <c r="Q50" s="633">
        <v>117125.4</v>
      </c>
      <c r="R50" s="633"/>
      <c r="S50" s="633"/>
      <c r="T50" s="633"/>
      <c r="U50" s="633"/>
      <c r="V50" s="633"/>
      <c r="W50" s="633"/>
      <c r="X50" s="633"/>
      <c r="Y50" s="633">
        <v>2301.6</v>
      </c>
      <c r="Z50" s="633">
        <v>35754.1</v>
      </c>
      <c r="AA50" s="472"/>
      <c r="AB50" s="503">
        <f t="shared" si="2"/>
        <v>172403.90000000002</v>
      </c>
    </row>
    <row r="51" spans="2:28" ht="15">
      <c r="B51" s="477" t="s">
        <v>493</v>
      </c>
      <c r="C51" s="634">
        <v>53893.033000000003</v>
      </c>
      <c r="D51" s="635">
        <v>0</v>
      </c>
      <c r="E51" s="634">
        <v>0</v>
      </c>
      <c r="F51" s="634" t="s">
        <v>587</v>
      </c>
      <c r="G51" s="634">
        <v>0</v>
      </c>
      <c r="H51" s="634">
        <v>0</v>
      </c>
      <c r="I51" s="634">
        <v>0</v>
      </c>
      <c r="J51" s="634">
        <v>0</v>
      </c>
      <c r="K51" s="634">
        <v>0</v>
      </c>
      <c r="L51" s="634">
        <v>0</v>
      </c>
      <c r="M51" s="634">
        <v>0</v>
      </c>
      <c r="N51" s="634">
        <v>0</v>
      </c>
      <c r="O51" s="634">
        <v>0</v>
      </c>
      <c r="P51" s="634">
        <f t="shared" ref="P51" si="3">G51-SUM(H51:O51)</f>
        <v>0</v>
      </c>
      <c r="Q51" s="634">
        <v>13816.061</v>
      </c>
      <c r="R51" s="636">
        <v>11864</v>
      </c>
      <c r="S51" s="636">
        <v>0</v>
      </c>
      <c r="T51" s="636">
        <v>594.30399999999997</v>
      </c>
      <c r="U51" s="636">
        <v>0</v>
      </c>
      <c r="V51" s="639">
        <v>977.06799999999998</v>
      </c>
      <c r="W51" s="636">
        <v>5457</v>
      </c>
      <c r="X51" s="636">
        <v>0</v>
      </c>
      <c r="Y51" s="634">
        <v>0</v>
      </c>
      <c r="Z51" s="634">
        <v>21153.599999999999</v>
      </c>
      <c r="AA51" s="635">
        <v>0</v>
      </c>
      <c r="AB51" s="503">
        <f t="shared" si="2"/>
        <v>53862.032999999996</v>
      </c>
    </row>
    <row r="52" spans="2:28">
      <c r="B52" s="478" t="s">
        <v>494</v>
      </c>
      <c r="C52" s="632">
        <v>18409.8</v>
      </c>
      <c r="D52" s="632"/>
      <c r="E52" s="632" t="s">
        <v>450</v>
      </c>
      <c r="F52" s="632" t="s">
        <v>450</v>
      </c>
      <c r="G52" s="632">
        <v>357.1</v>
      </c>
      <c r="H52" s="632"/>
      <c r="I52" s="632">
        <v>118.6</v>
      </c>
      <c r="J52" s="632"/>
      <c r="K52" s="632"/>
      <c r="L52" s="632"/>
      <c r="M52" s="632">
        <v>136.5</v>
      </c>
      <c r="N52" s="632">
        <v>102</v>
      </c>
      <c r="O52" s="632"/>
      <c r="P52" s="632"/>
      <c r="Q52" s="632">
        <v>3816.2</v>
      </c>
      <c r="R52" s="632"/>
      <c r="S52" s="632"/>
      <c r="T52" s="632"/>
      <c r="U52" s="632"/>
      <c r="V52" s="632"/>
      <c r="W52" s="632"/>
      <c r="X52" s="632"/>
      <c r="Y52" s="632">
        <v>930.4</v>
      </c>
      <c r="Z52" s="632">
        <v>12637.8</v>
      </c>
      <c r="AA52" s="467"/>
      <c r="AB52" s="503">
        <f t="shared" si="2"/>
        <v>17741.5</v>
      </c>
    </row>
    <row r="53" spans="2:28">
      <c r="B53" s="478" t="s">
        <v>495</v>
      </c>
      <c r="C53" s="632">
        <v>140738.5</v>
      </c>
      <c r="D53" s="632"/>
      <c r="E53" s="632" t="s">
        <v>450</v>
      </c>
      <c r="F53" s="632" t="s">
        <v>450</v>
      </c>
      <c r="G53" s="632">
        <v>3192</v>
      </c>
      <c r="H53" s="632"/>
      <c r="I53" s="632">
        <v>2546.6999999999998</v>
      </c>
      <c r="J53" s="632">
        <v>51.8</v>
      </c>
      <c r="K53" s="632"/>
      <c r="L53" s="632">
        <v>64.599999999999994</v>
      </c>
      <c r="M53" s="632">
        <v>528.9</v>
      </c>
      <c r="N53" s="632"/>
      <c r="O53" s="632"/>
      <c r="P53" s="632"/>
      <c r="Q53" s="632">
        <v>112410.8</v>
      </c>
      <c r="R53" s="632"/>
      <c r="S53" s="632"/>
      <c r="T53" s="632"/>
      <c r="U53" s="632"/>
      <c r="V53" s="632"/>
      <c r="W53" s="632"/>
      <c r="X53" s="632"/>
      <c r="Y53" s="632">
        <v>1371.2</v>
      </c>
      <c r="Z53" s="632">
        <v>20719.099999999999</v>
      </c>
      <c r="AA53" s="467"/>
      <c r="AB53" s="503">
        <f t="shared" si="2"/>
        <v>137693.1</v>
      </c>
    </row>
    <row r="54" spans="2:28">
      <c r="B54" s="478" t="s">
        <v>496</v>
      </c>
      <c r="C54" s="632" t="s">
        <v>450</v>
      </c>
      <c r="D54" s="632"/>
      <c r="E54" s="632" t="s">
        <v>450</v>
      </c>
      <c r="F54" s="632" t="s">
        <v>450</v>
      </c>
      <c r="G54" s="632" t="s">
        <v>450</v>
      </c>
      <c r="H54" s="632"/>
      <c r="I54" s="632"/>
      <c r="J54" s="632"/>
      <c r="K54" s="632"/>
      <c r="L54" s="632"/>
      <c r="M54" s="632"/>
      <c r="N54" s="632"/>
      <c r="O54" s="632"/>
      <c r="P54" s="632"/>
      <c r="Q54" s="632"/>
      <c r="R54" s="632"/>
      <c r="S54" s="632"/>
      <c r="T54" s="632"/>
      <c r="U54" s="632"/>
      <c r="V54" s="632"/>
      <c r="W54" s="632"/>
      <c r="X54" s="632"/>
      <c r="Y54" s="632"/>
      <c r="Z54" s="632"/>
      <c r="AA54" s="467"/>
      <c r="AB54" s="503">
        <f t="shared" si="2"/>
        <v>0</v>
      </c>
    </row>
    <row r="55" spans="2:28" ht="16" thickBot="1">
      <c r="B55" s="481" t="s">
        <v>497</v>
      </c>
      <c r="C55" s="482">
        <v>22482.9</v>
      </c>
      <c r="D55" s="482"/>
      <c r="E55" s="483" t="s">
        <v>450</v>
      </c>
      <c r="F55" s="483" t="s">
        <v>450</v>
      </c>
      <c r="G55" s="482">
        <v>20831.8</v>
      </c>
      <c r="H55" s="483"/>
      <c r="I55" s="483">
        <v>237.1</v>
      </c>
      <c r="J55" s="483"/>
      <c r="K55" s="483">
        <v>246.1</v>
      </c>
      <c r="L55" s="483"/>
      <c r="M55" s="483"/>
      <c r="N55" s="483">
        <v>509.8</v>
      </c>
      <c r="O55" s="483">
        <v>8668.7000000000007</v>
      </c>
      <c r="P55" s="483">
        <v>11170.1</v>
      </c>
      <c r="Q55" s="482">
        <v>1519.4</v>
      </c>
      <c r="R55" s="482"/>
      <c r="S55" s="482"/>
      <c r="T55" s="482"/>
      <c r="U55" s="482"/>
      <c r="V55" s="482"/>
      <c r="W55" s="482"/>
      <c r="X55" s="482"/>
      <c r="Y55" s="483"/>
      <c r="Z55" s="483"/>
      <c r="AA55" s="484">
        <v>131.69999999999999</v>
      </c>
      <c r="AB55" s="503">
        <f t="shared" si="2"/>
        <v>22482.900000000005</v>
      </c>
    </row>
  </sheetData>
  <mergeCells count="13">
    <mergeCell ref="Z4:Z5"/>
    <mergeCell ref="AA4:AA5"/>
    <mergeCell ref="AB4:AB5"/>
    <mergeCell ref="B2:AA2"/>
    <mergeCell ref="B3:AA3"/>
    <mergeCell ref="B4:B5"/>
    <mergeCell ref="C4:C5"/>
    <mergeCell ref="E4:E5"/>
    <mergeCell ref="F4:F5"/>
    <mergeCell ref="G4:G5"/>
    <mergeCell ref="H4:P4"/>
    <mergeCell ref="Q4:Q5"/>
    <mergeCell ref="Y4:Y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29352-0ED4-B942-AC9F-2F26691E80B6}">
  <dimension ref="B1:AB55"/>
  <sheetViews>
    <sheetView showGridLines="0" tabSelected="1" workbookViewId="0">
      <pane xSplit="3" ySplit="5" topLeftCell="L36" activePane="bottomRight" state="frozen"/>
      <selection activeCell="Q51" sqref="Q51"/>
      <selection pane="topRight" activeCell="Q51" sqref="Q51"/>
      <selection pane="bottomLeft" activeCell="Q51" sqref="Q51"/>
      <selection pane="bottomRight" activeCell="Q51" sqref="Q51"/>
    </sheetView>
  </sheetViews>
  <sheetFormatPr baseColWidth="10" defaultColWidth="9.1640625" defaultRowHeight="14"/>
  <cols>
    <col min="1" max="1" width="5.6640625" style="485" customWidth="1"/>
    <col min="2" max="2" width="31.5" style="485" bestFit="1" customWidth="1"/>
    <col min="3" max="4" width="11.6640625" style="485" customWidth="1"/>
    <col min="5" max="5" width="12" style="485" customWidth="1"/>
    <col min="6" max="27" width="11.6640625" style="485" customWidth="1"/>
    <col min="28" max="28" width="13.5" style="461" customWidth="1"/>
    <col min="29" max="263" width="9.1640625" style="485"/>
    <col min="264" max="264" width="5.6640625" style="485" customWidth="1"/>
    <col min="265" max="265" width="31.5" style="485" bestFit="1" customWidth="1"/>
    <col min="266" max="266" width="11.6640625" style="485" customWidth="1"/>
    <col min="267" max="267" width="12" style="485" customWidth="1"/>
    <col min="268" max="283" width="11.6640625" style="485" customWidth="1"/>
    <col min="284" max="519" width="9.1640625" style="485"/>
    <col min="520" max="520" width="5.6640625" style="485" customWidth="1"/>
    <col min="521" max="521" width="31.5" style="485" bestFit="1" customWidth="1"/>
    <col min="522" max="522" width="11.6640625" style="485" customWidth="1"/>
    <col min="523" max="523" width="12" style="485" customWidth="1"/>
    <col min="524" max="539" width="11.6640625" style="485" customWidth="1"/>
    <col min="540" max="775" width="9.1640625" style="485"/>
    <col min="776" max="776" width="5.6640625" style="485" customWidth="1"/>
    <col min="777" max="777" width="31.5" style="485" bestFit="1" customWidth="1"/>
    <col min="778" max="778" width="11.6640625" style="485" customWidth="1"/>
    <col min="779" max="779" width="12" style="485" customWidth="1"/>
    <col min="780" max="795" width="11.6640625" style="485" customWidth="1"/>
    <col min="796" max="1031" width="9.1640625" style="485"/>
    <col min="1032" max="1032" width="5.6640625" style="485" customWidth="1"/>
    <col min="1033" max="1033" width="31.5" style="485" bestFit="1" customWidth="1"/>
    <col min="1034" max="1034" width="11.6640625" style="485" customWidth="1"/>
    <col min="1035" max="1035" width="12" style="485" customWidth="1"/>
    <col min="1036" max="1051" width="11.6640625" style="485" customWidth="1"/>
    <col min="1052" max="1287" width="9.1640625" style="485"/>
    <col min="1288" max="1288" width="5.6640625" style="485" customWidth="1"/>
    <col min="1289" max="1289" width="31.5" style="485" bestFit="1" customWidth="1"/>
    <col min="1290" max="1290" width="11.6640625" style="485" customWidth="1"/>
    <col min="1291" max="1291" width="12" style="485" customWidth="1"/>
    <col min="1292" max="1307" width="11.6640625" style="485" customWidth="1"/>
    <col min="1308" max="1543" width="9.1640625" style="485"/>
    <col min="1544" max="1544" width="5.6640625" style="485" customWidth="1"/>
    <col min="1545" max="1545" width="31.5" style="485" bestFit="1" customWidth="1"/>
    <col min="1546" max="1546" width="11.6640625" style="485" customWidth="1"/>
    <col min="1547" max="1547" width="12" style="485" customWidth="1"/>
    <col min="1548" max="1563" width="11.6640625" style="485" customWidth="1"/>
    <col min="1564" max="1799" width="9.1640625" style="485"/>
    <col min="1800" max="1800" width="5.6640625" style="485" customWidth="1"/>
    <col min="1801" max="1801" width="31.5" style="485" bestFit="1" customWidth="1"/>
    <col min="1802" max="1802" width="11.6640625" style="485" customWidth="1"/>
    <col min="1803" max="1803" width="12" style="485" customWidth="1"/>
    <col min="1804" max="1819" width="11.6640625" style="485" customWidth="1"/>
    <col min="1820" max="2055" width="9.1640625" style="485"/>
    <col min="2056" max="2056" width="5.6640625" style="485" customWidth="1"/>
    <col min="2057" max="2057" width="31.5" style="485" bestFit="1" customWidth="1"/>
    <col min="2058" max="2058" width="11.6640625" style="485" customWidth="1"/>
    <col min="2059" max="2059" width="12" style="485" customWidth="1"/>
    <col min="2060" max="2075" width="11.6640625" style="485" customWidth="1"/>
    <col min="2076" max="2311" width="9.1640625" style="485"/>
    <col min="2312" max="2312" width="5.6640625" style="485" customWidth="1"/>
    <col min="2313" max="2313" width="31.5" style="485" bestFit="1" customWidth="1"/>
    <col min="2314" max="2314" width="11.6640625" style="485" customWidth="1"/>
    <col min="2315" max="2315" width="12" style="485" customWidth="1"/>
    <col min="2316" max="2331" width="11.6640625" style="485" customWidth="1"/>
    <col min="2332" max="2567" width="9.1640625" style="485"/>
    <col min="2568" max="2568" width="5.6640625" style="485" customWidth="1"/>
    <col min="2569" max="2569" width="31.5" style="485" bestFit="1" customWidth="1"/>
    <col min="2570" max="2570" width="11.6640625" style="485" customWidth="1"/>
    <col min="2571" max="2571" width="12" style="485" customWidth="1"/>
    <col min="2572" max="2587" width="11.6640625" style="485" customWidth="1"/>
    <col min="2588" max="2823" width="9.1640625" style="485"/>
    <col min="2824" max="2824" width="5.6640625" style="485" customWidth="1"/>
    <col min="2825" max="2825" width="31.5" style="485" bestFit="1" customWidth="1"/>
    <col min="2826" max="2826" width="11.6640625" style="485" customWidth="1"/>
    <col min="2827" max="2827" width="12" style="485" customWidth="1"/>
    <col min="2828" max="2843" width="11.6640625" style="485" customWidth="1"/>
    <col min="2844" max="3079" width="9.1640625" style="485"/>
    <col min="3080" max="3080" width="5.6640625" style="485" customWidth="1"/>
    <col min="3081" max="3081" width="31.5" style="485" bestFit="1" customWidth="1"/>
    <col min="3082" max="3082" width="11.6640625" style="485" customWidth="1"/>
    <col min="3083" max="3083" width="12" style="485" customWidth="1"/>
    <col min="3084" max="3099" width="11.6640625" style="485" customWidth="1"/>
    <col min="3100" max="3335" width="9.1640625" style="485"/>
    <col min="3336" max="3336" width="5.6640625" style="485" customWidth="1"/>
    <col min="3337" max="3337" width="31.5" style="485" bestFit="1" customWidth="1"/>
    <col min="3338" max="3338" width="11.6640625" style="485" customWidth="1"/>
    <col min="3339" max="3339" width="12" style="485" customWidth="1"/>
    <col min="3340" max="3355" width="11.6640625" style="485" customWidth="1"/>
    <col min="3356" max="3591" width="9.1640625" style="485"/>
    <col min="3592" max="3592" width="5.6640625" style="485" customWidth="1"/>
    <col min="3593" max="3593" width="31.5" style="485" bestFit="1" customWidth="1"/>
    <col min="3594" max="3594" width="11.6640625" style="485" customWidth="1"/>
    <col min="3595" max="3595" width="12" style="485" customWidth="1"/>
    <col min="3596" max="3611" width="11.6640625" style="485" customWidth="1"/>
    <col min="3612" max="3847" width="9.1640625" style="485"/>
    <col min="3848" max="3848" width="5.6640625" style="485" customWidth="1"/>
    <col min="3849" max="3849" width="31.5" style="485" bestFit="1" customWidth="1"/>
    <col min="3850" max="3850" width="11.6640625" style="485" customWidth="1"/>
    <col min="3851" max="3851" width="12" style="485" customWidth="1"/>
    <col min="3852" max="3867" width="11.6640625" style="485" customWidth="1"/>
    <col min="3868" max="4103" width="9.1640625" style="485"/>
    <col min="4104" max="4104" width="5.6640625" style="485" customWidth="1"/>
    <col min="4105" max="4105" width="31.5" style="485" bestFit="1" customWidth="1"/>
    <col min="4106" max="4106" width="11.6640625" style="485" customWidth="1"/>
    <col min="4107" max="4107" width="12" style="485" customWidth="1"/>
    <col min="4108" max="4123" width="11.6640625" style="485" customWidth="1"/>
    <col min="4124" max="4359" width="9.1640625" style="485"/>
    <col min="4360" max="4360" width="5.6640625" style="485" customWidth="1"/>
    <col min="4361" max="4361" width="31.5" style="485" bestFit="1" customWidth="1"/>
    <col min="4362" max="4362" width="11.6640625" style="485" customWidth="1"/>
    <col min="4363" max="4363" width="12" style="485" customWidth="1"/>
    <col min="4364" max="4379" width="11.6640625" style="485" customWidth="1"/>
    <col min="4380" max="4615" width="9.1640625" style="485"/>
    <col min="4616" max="4616" width="5.6640625" style="485" customWidth="1"/>
    <col min="4617" max="4617" width="31.5" style="485" bestFit="1" customWidth="1"/>
    <col min="4618" max="4618" width="11.6640625" style="485" customWidth="1"/>
    <col min="4619" max="4619" width="12" style="485" customWidth="1"/>
    <col min="4620" max="4635" width="11.6640625" style="485" customWidth="1"/>
    <col min="4636" max="4871" width="9.1640625" style="485"/>
    <col min="4872" max="4872" width="5.6640625" style="485" customWidth="1"/>
    <col min="4873" max="4873" width="31.5" style="485" bestFit="1" customWidth="1"/>
    <col min="4874" max="4874" width="11.6640625" style="485" customWidth="1"/>
    <col min="4875" max="4875" width="12" style="485" customWidth="1"/>
    <col min="4876" max="4891" width="11.6640625" style="485" customWidth="1"/>
    <col min="4892" max="5127" width="9.1640625" style="485"/>
    <col min="5128" max="5128" width="5.6640625" style="485" customWidth="1"/>
    <col min="5129" max="5129" width="31.5" style="485" bestFit="1" customWidth="1"/>
    <col min="5130" max="5130" width="11.6640625" style="485" customWidth="1"/>
    <col min="5131" max="5131" width="12" style="485" customWidth="1"/>
    <col min="5132" max="5147" width="11.6640625" style="485" customWidth="1"/>
    <col min="5148" max="5383" width="9.1640625" style="485"/>
    <col min="5384" max="5384" width="5.6640625" style="485" customWidth="1"/>
    <col min="5385" max="5385" width="31.5" style="485" bestFit="1" customWidth="1"/>
    <col min="5386" max="5386" width="11.6640625" style="485" customWidth="1"/>
    <col min="5387" max="5387" width="12" style="485" customWidth="1"/>
    <col min="5388" max="5403" width="11.6640625" style="485" customWidth="1"/>
    <col min="5404" max="5639" width="9.1640625" style="485"/>
    <col min="5640" max="5640" width="5.6640625" style="485" customWidth="1"/>
    <col min="5641" max="5641" width="31.5" style="485" bestFit="1" customWidth="1"/>
    <col min="5642" max="5642" width="11.6640625" style="485" customWidth="1"/>
    <col min="5643" max="5643" width="12" style="485" customWidth="1"/>
    <col min="5644" max="5659" width="11.6640625" style="485" customWidth="1"/>
    <col min="5660" max="5895" width="9.1640625" style="485"/>
    <col min="5896" max="5896" width="5.6640625" style="485" customWidth="1"/>
    <col min="5897" max="5897" width="31.5" style="485" bestFit="1" customWidth="1"/>
    <col min="5898" max="5898" width="11.6640625" style="485" customWidth="1"/>
    <col min="5899" max="5899" width="12" style="485" customWidth="1"/>
    <col min="5900" max="5915" width="11.6640625" style="485" customWidth="1"/>
    <col min="5916" max="6151" width="9.1640625" style="485"/>
    <col min="6152" max="6152" width="5.6640625" style="485" customWidth="1"/>
    <col min="6153" max="6153" width="31.5" style="485" bestFit="1" customWidth="1"/>
    <col min="6154" max="6154" width="11.6640625" style="485" customWidth="1"/>
    <col min="6155" max="6155" width="12" style="485" customWidth="1"/>
    <col min="6156" max="6171" width="11.6640625" style="485" customWidth="1"/>
    <col min="6172" max="6407" width="9.1640625" style="485"/>
    <col min="6408" max="6408" width="5.6640625" style="485" customWidth="1"/>
    <col min="6409" max="6409" width="31.5" style="485" bestFit="1" customWidth="1"/>
    <col min="6410" max="6410" width="11.6640625" style="485" customWidth="1"/>
    <col min="6411" max="6411" width="12" style="485" customWidth="1"/>
    <col min="6412" max="6427" width="11.6640625" style="485" customWidth="1"/>
    <col min="6428" max="6663" width="9.1640625" style="485"/>
    <col min="6664" max="6664" width="5.6640625" style="485" customWidth="1"/>
    <col min="6665" max="6665" width="31.5" style="485" bestFit="1" customWidth="1"/>
    <col min="6666" max="6666" width="11.6640625" style="485" customWidth="1"/>
    <col min="6667" max="6667" width="12" style="485" customWidth="1"/>
    <col min="6668" max="6683" width="11.6640625" style="485" customWidth="1"/>
    <col min="6684" max="6919" width="9.1640625" style="485"/>
    <col min="6920" max="6920" width="5.6640625" style="485" customWidth="1"/>
    <col min="6921" max="6921" width="31.5" style="485" bestFit="1" customWidth="1"/>
    <col min="6922" max="6922" width="11.6640625" style="485" customWidth="1"/>
    <col min="6923" max="6923" width="12" style="485" customWidth="1"/>
    <col min="6924" max="6939" width="11.6640625" style="485" customWidth="1"/>
    <col min="6940" max="7175" width="9.1640625" style="485"/>
    <col min="7176" max="7176" width="5.6640625" style="485" customWidth="1"/>
    <col min="7177" max="7177" width="31.5" style="485" bestFit="1" customWidth="1"/>
    <col min="7178" max="7178" width="11.6640625" style="485" customWidth="1"/>
    <col min="7179" max="7179" width="12" style="485" customWidth="1"/>
    <col min="7180" max="7195" width="11.6640625" style="485" customWidth="1"/>
    <col min="7196" max="7431" width="9.1640625" style="485"/>
    <col min="7432" max="7432" width="5.6640625" style="485" customWidth="1"/>
    <col min="7433" max="7433" width="31.5" style="485" bestFit="1" customWidth="1"/>
    <col min="7434" max="7434" width="11.6640625" style="485" customWidth="1"/>
    <col min="7435" max="7435" width="12" style="485" customWidth="1"/>
    <col min="7436" max="7451" width="11.6640625" style="485" customWidth="1"/>
    <col min="7452" max="7687" width="9.1640625" style="485"/>
    <col min="7688" max="7688" width="5.6640625" style="485" customWidth="1"/>
    <col min="7689" max="7689" width="31.5" style="485" bestFit="1" customWidth="1"/>
    <col min="7690" max="7690" width="11.6640625" style="485" customWidth="1"/>
    <col min="7691" max="7691" width="12" style="485" customWidth="1"/>
    <col min="7692" max="7707" width="11.6640625" style="485" customWidth="1"/>
    <col min="7708" max="7943" width="9.1640625" style="485"/>
    <col min="7944" max="7944" width="5.6640625" style="485" customWidth="1"/>
    <col min="7945" max="7945" width="31.5" style="485" bestFit="1" customWidth="1"/>
    <col min="7946" max="7946" width="11.6640625" style="485" customWidth="1"/>
    <col min="7947" max="7947" width="12" style="485" customWidth="1"/>
    <col min="7948" max="7963" width="11.6640625" style="485" customWidth="1"/>
    <col min="7964" max="8199" width="9.1640625" style="485"/>
    <col min="8200" max="8200" width="5.6640625" style="485" customWidth="1"/>
    <col min="8201" max="8201" width="31.5" style="485" bestFit="1" customWidth="1"/>
    <col min="8202" max="8202" width="11.6640625" style="485" customWidth="1"/>
    <col min="8203" max="8203" width="12" style="485" customWidth="1"/>
    <col min="8204" max="8219" width="11.6640625" style="485" customWidth="1"/>
    <col min="8220" max="8455" width="9.1640625" style="485"/>
    <col min="8456" max="8456" width="5.6640625" style="485" customWidth="1"/>
    <col min="8457" max="8457" width="31.5" style="485" bestFit="1" customWidth="1"/>
    <col min="8458" max="8458" width="11.6640625" style="485" customWidth="1"/>
    <col min="8459" max="8459" width="12" style="485" customWidth="1"/>
    <col min="8460" max="8475" width="11.6640625" style="485" customWidth="1"/>
    <col min="8476" max="8711" width="9.1640625" style="485"/>
    <col min="8712" max="8712" width="5.6640625" style="485" customWidth="1"/>
    <col min="8713" max="8713" width="31.5" style="485" bestFit="1" customWidth="1"/>
    <col min="8714" max="8714" width="11.6640625" style="485" customWidth="1"/>
    <col min="8715" max="8715" width="12" style="485" customWidth="1"/>
    <col min="8716" max="8731" width="11.6640625" style="485" customWidth="1"/>
    <col min="8732" max="8967" width="9.1640625" style="485"/>
    <col min="8968" max="8968" width="5.6640625" style="485" customWidth="1"/>
    <col min="8969" max="8969" width="31.5" style="485" bestFit="1" customWidth="1"/>
    <col min="8970" max="8970" width="11.6640625" style="485" customWidth="1"/>
    <col min="8971" max="8971" width="12" style="485" customWidth="1"/>
    <col min="8972" max="8987" width="11.6640625" style="485" customWidth="1"/>
    <col min="8988" max="9223" width="9.1640625" style="485"/>
    <col min="9224" max="9224" width="5.6640625" style="485" customWidth="1"/>
    <col min="9225" max="9225" width="31.5" style="485" bestFit="1" customWidth="1"/>
    <col min="9226" max="9226" width="11.6640625" style="485" customWidth="1"/>
    <col min="9227" max="9227" width="12" style="485" customWidth="1"/>
    <col min="9228" max="9243" width="11.6640625" style="485" customWidth="1"/>
    <col min="9244" max="9479" width="9.1640625" style="485"/>
    <col min="9480" max="9480" width="5.6640625" style="485" customWidth="1"/>
    <col min="9481" max="9481" width="31.5" style="485" bestFit="1" customWidth="1"/>
    <col min="9482" max="9482" width="11.6640625" style="485" customWidth="1"/>
    <col min="9483" max="9483" width="12" style="485" customWidth="1"/>
    <col min="9484" max="9499" width="11.6640625" style="485" customWidth="1"/>
    <col min="9500" max="9735" width="9.1640625" style="485"/>
    <col min="9736" max="9736" width="5.6640625" style="485" customWidth="1"/>
    <col min="9737" max="9737" width="31.5" style="485" bestFit="1" customWidth="1"/>
    <col min="9738" max="9738" width="11.6640625" style="485" customWidth="1"/>
    <col min="9739" max="9739" width="12" style="485" customWidth="1"/>
    <col min="9740" max="9755" width="11.6640625" style="485" customWidth="1"/>
    <col min="9756" max="9991" width="9.1640625" style="485"/>
    <col min="9992" max="9992" width="5.6640625" style="485" customWidth="1"/>
    <col min="9993" max="9993" width="31.5" style="485" bestFit="1" customWidth="1"/>
    <col min="9994" max="9994" width="11.6640625" style="485" customWidth="1"/>
    <col min="9995" max="9995" width="12" style="485" customWidth="1"/>
    <col min="9996" max="10011" width="11.6640625" style="485" customWidth="1"/>
    <col min="10012" max="10247" width="9.1640625" style="485"/>
    <col min="10248" max="10248" width="5.6640625" style="485" customWidth="1"/>
    <col min="10249" max="10249" width="31.5" style="485" bestFit="1" customWidth="1"/>
    <col min="10250" max="10250" width="11.6640625" style="485" customWidth="1"/>
    <col min="10251" max="10251" width="12" style="485" customWidth="1"/>
    <col min="10252" max="10267" width="11.6640625" style="485" customWidth="1"/>
    <col min="10268" max="10503" width="9.1640625" style="485"/>
    <col min="10504" max="10504" width="5.6640625" style="485" customWidth="1"/>
    <col min="10505" max="10505" width="31.5" style="485" bestFit="1" customWidth="1"/>
    <col min="10506" max="10506" width="11.6640625" style="485" customWidth="1"/>
    <col min="10507" max="10507" width="12" style="485" customWidth="1"/>
    <col min="10508" max="10523" width="11.6640625" style="485" customWidth="1"/>
    <col min="10524" max="10759" width="9.1640625" style="485"/>
    <col min="10760" max="10760" width="5.6640625" style="485" customWidth="1"/>
    <col min="10761" max="10761" width="31.5" style="485" bestFit="1" customWidth="1"/>
    <col min="10762" max="10762" width="11.6640625" style="485" customWidth="1"/>
    <col min="10763" max="10763" width="12" style="485" customWidth="1"/>
    <col min="10764" max="10779" width="11.6640625" style="485" customWidth="1"/>
    <col min="10780" max="11015" width="9.1640625" style="485"/>
    <col min="11016" max="11016" width="5.6640625" style="485" customWidth="1"/>
    <col min="11017" max="11017" width="31.5" style="485" bestFit="1" customWidth="1"/>
    <col min="11018" max="11018" width="11.6640625" style="485" customWidth="1"/>
    <col min="11019" max="11019" width="12" style="485" customWidth="1"/>
    <col min="11020" max="11035" width="11.6640625" style="485" customWidth="1"/>
    <col min="11036" max="11271" width="9.1640625" style="485"/>
    <col min="11272" max="11272" width="5.6640625" style="485" customWidth="1"/>
    <col min="11273" max="11273" width="31.5" style="485" bestFit="1" customWidth="1"/>
    <col min="11274" max="11274" width="11.6640625" style="485" customWidth="1"/>
    <col min="11275" max="11275" width="12" style="485" customWidth="1"/>
    <col min="11276" max="11291" width="11.6640625" style="485" customWidth="1"/>
    <col min="11292" max="11527" width="9.1640625" style="485"/>
    <col min="11528" max="11528" width="5.6640625" style="485" customWidth="1"/>
    <col min="11529" max="11529" width="31.5" style="485" bestFit="1" customWidth="1"/>
    <col min="11530" max="11530" width="11.6640625" style="485" customWidth="1"/>
    <col min="11531" max="11531" width="12" style="485" customWidth="1"/>
    <col min="11532" max="11547" width="11.6640625" style="485" customWidth="1"/>
    <col min="11548" max="11783" width="9.1640625" style="485"/>
    <col min="11784" max="11784" width="5.6640625" style="485" customWidth="1"/>
    <col min="11785" max="11785" width="31.5" style="485" bestFit="1" customWidth="1"/>
    <col min="11786" max="11786" width="11.6640625" style="485" customWidth="1"/>
    <col min="11787" max="11787" width="12" style="485" customWidth="1"/>
    <col min="11788" max="11803" width="11.6640625" style="485" customWidth="1"/>
    <col min="11804" max="12039" width="9.1640625" style="485"/>
    <col min="12040" max="12040" width="5.6640625" style="485" customWidth="1"/>
    <col min="12041" max="12041" width="31.5" style="485" bestFit="1" customWidth="1"/>
    <col min="12042" max="12042" width="11.6640625" style="485" customWidth="1"/>
    <col min="12043" max="12043" width="12" style="485" customWidth="1"/>
    <col min="12044" max="12059" width="11.6640625" style="485" customWidth="1"/>
    <col min="12060" max="12295" width="9.1640625" style="485"/>
    <col min="12296" max="12296" width="5.6640625" style="485" customWidth="1"/>
    <col min="12297" max="12297" width="31.5" style="485" bestFit="1" customWidth="1"/>
    <col min="12298" max="12298" width="11.6640625" style="485" customWidth="1"/>
    <col min="12299" max="12299" width="12" style="485" customWidth="1"/>
    <col min="12300" max="12315" width="11.6640625" style="485" customWidth="1"/>
    <col min="12316" max="12551" width="9.1640625" style="485"/>
    <col min="12552" max="12552" width="5.6640625" style="485" customWidth="1"/>
    <col min="12553" max="12553" width="31.5" style="485" bestFit="1" customWidth="1"/>
    <col min="12554" max="12554" width="11.6640625" style="485" customWidth="1"/>
    <col min="12555" max="12555" width="12" style="485" customWidth="1"/>
    <col min="12556" max="12571" width="11.6640625" style="485" customWidth="1"/>
    <col min="12572" max="12807" width="9.1640625" style="485"/>
    <col min="12808" max="12808" width="5.6640625" style="485" customWidth="1"/>
    <col min="12809" max="12809" width="31.5" style="485" bestFit="1" customWidth="1"/>
    <col min="12810" max="12810" width="11.6640625" style="485" customWidth="1"/>
    <col min="12811" max="12811" width="12" style="485" customWidth="1"/>
    <col min="12812" max="12827" width="11.6640625" style="485" customWidth="1"/>
    <col min="12828" max="13063" width="9.1640625" style="485"/>
    <col min="13064" max="13064" width="5.6640625" style="485" customWidth="1"/>
    <col min="13065" max="13065" width="31.5" style="485" bestFit="1" customWidth="1"/>
    <col min="13066" max="13066" width="11.6640625" style="485" customWidth="1"/>
    <col min="13067" max="13067" width="12" style="485" customWidth="1"/>
    <col min="13068" max="13083" width="11.6640625" style="485" customWidth="1"/>
    <col min="13084" max="13319" width="9.1640625" style="485"/>
    <col min="13320" max="13320" width="5.6640625" style="485" customWidth="1"/>
    <col min="13321" max="13321" width="31.5" style="485" bestFit="1" customWidth="1"/>
    <col min="13322" max="13322" width="11.6640625" style="485" customWidth="1"/>
    <col min="13323" max="13323" width="12" style="485" customWidth="1"/>
    <col min="13324" max="13339" width="11.6640625" style="485" customWidth="1"/>
    <col min="13340" max="13575" width="9.1640625" style="485"/>
    <col min="13576" max="13576" width="5.6640625" style="485" customWidth="1"/>
    <col min="13577" max="13577" width="31.5" style="485" bestFit="1" customWidth="1"/>
    <col min="13578" max="13578" width="11.6640625" style="485" customWidth="1"/>
    <col min="13579" max="13579" width="12" style="485" customWidth="1"/>
    <col min="13580" max="13595" width="11.6640625" style="485" customWidth="1"/>
    <col min="13596" max="13831" width="9.1640625" style="485"/>
    <col min="13832" max="13832" width="5.6640625" style="485" customWidth="1"/>
    <col min="13833" max="13833" width="31.5" style="485" bestFit="1" customWidth="1"/>
    <col min="13834" max="13834" width="11.6640625" style="485" customWidth="1"/>
    <col min="13835" max="13835" width="12" style="485" customWidth="1"/>
    <col min="13836" max="13851" width="11.6640625" style="485" customWidth="1"/>
    <col min="13852" max="14087" width="9.1640625" style="485"/>
    <col min="14088" max="14088" width="5.6640625" style="485" customWidth="1"/>
    <col min="14089" max="14089" width="31.5" style="485" bestFit="1" customWidth="1"/>
    <col min="14090" max="14090" width="11.6640625" style="485" customWidth="1"/>
    <col min="14091" max="14091" width="12" style="485" customWidth="1"/>
    <col min="14092" max="14107" width="11.6640625" style="485" customWidth="1"/>
    <col min="14108" max="14343" width="9.1640625" style="485"/>
    <col min="14344" max="14344" width="5.6640625" style="485" customWidth="1"/>
    <col min="14345" max="14345" width="31.5" style="485" bestFit="1" customWidth="1"/>
    <col min="14346" max="14346" width="11.6640625" style="485" customWidth="1"/>
    <col min="14347" max="14347" width="12" style="485" customWidth="1"/>
    <col min="14348" max="14363" width="11.6640625" style="485" customWidth="1"/>
    <col min="14364" max="14599" width="9.1640625" style="485"/>
    <col min="14600" max="14600" width="5.6640625" style="485" customWidth="1"/>
    <col min="14601" max="14601" width="31.5" style="485" bestFit="1" customWidth="1"/>
    <col min="14602" max="14602" width="11.6640625" style="485" customWidth="1"/>
    <col min="14603" max="14603" width="12" style="485" customWidth="1"/>
    <col min="14604" max="14619" width="11.6640625" style="485" customWidth="1"/>
    <col min="14620" max="14855" width="9.1640625" style="485"/>
    <col min="14856" max="14856" width="5.6640625" style="485" customWidth="1"/>
    <col min="14857" max="14857" width="31.5" style="485" bestFit="1" customWidth="1"/>
    <col min="14858" max="14858" width="11.6640625" style="485" customWidth="1"/>
    <col min="14859" max="14859" width="12" style="485" customWidth="1"/>
    <col min="14860" max="14875" width="11.6640625" style="485" customWidth="1"/>
    <col min="14876" max="15111" width="9.1640625" style="485"/>
    <col min="15112" max="15112" width="5.6640625" style="485" customWidth="1"/>
    <col min="15113" max="15113" width="31.5" style="485" bestFit="1" customWidth="1"/>
    <col min="15114" max="15114" width="11.6640625" style="485" customWidth="1"/>
    <col min="15115" max="15115" width="12" style="485" customWidth="1"/>
    <col min="15116" max="15131" width="11.6640625" style="485" customWidth="1"/>
    <col min="15132" max="15367" width="9.1640625" style="485"/>
    <col min="15368" max="15368" width="5.6640625" style="485" customWidth="1"/>
    <col min="15369" max="15369" width="31.5" style="485" bestFit="1" customWidth="1"/>
    <col min="15370" max="15370" width="11.6640625" style="485" customWidth="1"/>
    <col min="15371" max="15371" width="12" style="485" customWidth="1"/>
    <col min="15372" max="15387" width="11.6640625" style="485" customWidth="1"/>
    <col min="15388" max="15623" width="9.1640625" style="485"/>
    <col min="15624" max="15624" width="5.6640625" style="485" customWidth="1"/>
    <col min="15625" max="15625" width="31.5" style="485" bestFit="1" customWidth="1"/>
    <col min="15626" max="15626" width="11.6640625" style="485" customWidth="1"/>
    <col min="15627" max="15627" width="12" style="485" customWidth="1"/>
    <col min="15628" max="15643" width="11.6640625" style="485" customWidth="1"/>
    <col min="15644" max="15879" width="9.1640625" style="485"/>
    <col min="15880" max="15880" width="5.6640625" style="485" customWidth="1"/>
    <col min="15881" max="15881" width="31.5" style="485" bestFit="1" customWidth="1"/>
    <col min="15882" max="15882" width="11.6640625" style="485" customWidth="1"/>
    <col min="15883" max="15883" width="12" style="485" customWidth="1"/>
    <col min="15884" max="15899" width="11.6640625" style="485" customWidth="1"/>
    <col min="15900" max="16135" width="9.1640625" style="485"/>
    <col min="16136" max="16136" width="5.6640625" style="485" customWidth="1"/>
    <col min="16137" max="16137" width="31.5" style="485" bestFit="1" customWidth="1"/>
    <col min="16138" max="16138" width="11.6640625" style="485" customWidth="1"/>
    <col min="16139" max="16139" width="12" style="485" customWidth="1"/>
    <col min="16140" max="16155" width="11.6640625" style="485" customWidth="1"/>
    <col min="16156" max="16384" width="9.1640625" style="485"/>
  </cols>
  <sheetData>
    <row r="1" spans="2:28" s="461" customFormat="1" ht="46" thickBot="1">
      <c r="D1" s="461" t="s">
        <v>55</v>
      </c>
      <c r="H1" s="461" t="s">
        <v>594</v>
      </c>
      <c r="I1" s="461" t="s">
        <v>53</v>
      </c>
      <c r="J1" s="461" t="s">
        <v>79</v>
      </c>
      <c r="M1" s="461" t="s">
        <v>68</v>
      </c>
      <c r="N1" s="461" t="s">
        <v>54</v>
      </c>
      <c r="P1" s="487" t="s">
        <v>448</v>
      </c>
      <c r="Q1" s="461" t="s">
        <v>51</v>
      </c>
      <c r="R1" s="631" t="s">
        <v>77</v>
      </c>
      <c r="S1" s="631" t="s">
        <v>589</v>
      </c>
      <c r="T1" s="631" t="s">
        <v>590</v>
      </c>
      <c r="U1" s="631" t="s">
        <v>597</v>
      </c>
      <c r="V1" s="631" t="s">
        <v>591</v>
      </c>
      <c r="W1" s="631" t="s">
        <v>78</v>
      </c>
      <c r="X1" s="631" t="s">
        <v>80</v>
      </c>
      <c r="Y1" s="461" t="s">
        <v>52</v>
      </c>
      <c r="Z1" s="461" t="s">
        <v>50</v>
      </c>
      <c r="AA1" s="461" t="s">
        <v>595</v>
      </c>
      <c r="AB1" s="461" t="s">
        <v>57</v>
      </c>
    </row>
    <row r="2" spans="2:28">
      <c r="B2" s="669" t="s">
        <v>498</v>
      </c>
      <c r="C2" s="669"/>
      <c r="D2" s="669"/>
      <c r="E2" s="669"/>
      <c r="F2" s="669"/>
      <c r="G2" s="669"/>
      <c r="H2" s="669"/>
      <c r="I2" s="669"/>
      <c r="J2" s="669"/>
      <c r="K2" s="669"/>
      <c r="L2" s="669"/>
      <c r="M2" s="669"/>
      <c r="N2" s="669"/>
      <c r="O2" s="669"/>
      <c r="P2" s="669"/>
      <c r="Q2" s="669"/>
      <c r="R2" s="669"/>
      <c r="S2" s="669"/>
      <c r="T2" s="669"/>
      <c r="U2" s="669"/>
      <c r="V2" s="669"/>
      <c r="W2" s="669"/>
      <c r="X2" s="669"/>
      <c r="Y2" s="669"/>
      <c r="Z2" s="669"/>
      <c r="AA2" s="669"/>
    </row>
    <row r="3" spans="2:28" ht="15" thickBot="1">
      <c r="B3" s="670" t="s">
        <v>430</v>
      </c>
      <c r="C3" s="670"/>
      <c r="D3" s="670"/>
      <c r="E3" s="670"/>
      <c r="F3" s="670"/>
      <c r="G3" s="670"/>
      <c r="H3" s="670"/>
      <c r="I3" s="670"/>
      <c r="J3" s="670"/>
      <c r="K3" s="670"/>
      <c r="L3" s="670"/>
      <c r="M3" s="670"/>
      <c r="N3" s="670"/>
      <c r="O3" s="670"/>
      <c r="P3" s="670"/>
      <c r="Q3" s="670"/>
      <c r="R3" s="670"/>
      <c r="S3" s="670"/>
      <c r="T3" s="670"/>
      <c r="U3" s="670"/>
      <c r="V3" s="670"/>
      <c r="W3" s="670"/>
      <c r="X3" s="670"/>
      <c r="Y3" s="670"/>
      <c r="Z3" s="670"/>
      <c r="AA3" s="670"/>
    </row>
    <row r="4" spans="2:28" s="486" customFormat="1" ht="18.75" customHeight="1">
      <c r="B4" s="680"/>
      <c r="C4" s="676" t="s">
        <v>431</v>
      </c>
      <c r="D4" s="628"/>
      <c r="E4" s="676" t="s">
        <v>432</v>
      </c>
      <c r="F4" s="676" t="s">
        <v>433</v>
      </c>
      <c r="G4" s="676" t="s">
        <v>434</v>
      </c>
      <c r="H4" s="682" t="s">
        <v>435</v>
      </c>
      <c r="I4" s="683"/>
      <c r="J4" s="683"/>
      <c r="K4" s="683"/>
      <c r="L4" s="683"/>
      <c r="M4" s="683"/>
      <c r="N4" s="683"/>
      <c r="O4" s="683"/>
      <c r="P4" s="684"/>
      <c r="Q4" s="676" t="s">
        <v>436</v>
      </c>
      <c r="R4" s="628"/>
      <c r="S4" s="628"/>
      <c r="T4" s="628"/>
      <c r="U4" s="628"/>
      <c r="V4" s="628"/>
      <c r="W4" s="628"/>
      <c r="X4" s="628"/>
      <c r="Y4" s="676" t="s">
        <v>438</v>
      </c>
      <c r="Z4" s="676" t="s">
        <v>439</v>
      </c>
      <c r="AA4" s="678" t="s">
        <v>592</v>
      </c>
      <c r="AB4" s="678" t="s">
        <v>57</v>
      </c>
    </row>
    <row r="5" spans="2:28" s="489" customFormat="1" ht="50.25" customHeight="1" thickBot="1">
      <c r="B5" s="681"/>
      <c r="C5" s="677"/>
      <c r="D5" s="629" t="s">
        <v>586</v>
      </c>
      <c r="E5" s="677"/>
      <c r="F5" s="677"/>
      <c r="G5" s="677"/>
      <c r="H5" s="487" t="s">
        <v>440</v>
      </c>
      <c r="I5" s="487" t="s">
        <v>441</v>
      </c>
      <c r="J5" s="487" t="s">
        <v>442</v>
      </c>
      <c r="K5" s="487" t="s">
        <v>443</v>
      </c>
      <c r="L5" s="487" t="s">
        <v>444</v>
      </c>
      <c r="M5" s="487" t="s">
        <v>499</v>
      </c>
      <c r="N5" s="488" t="s">
        <v>500</v>
      </c>
      <c r="O5" s="487" t="s">
        <v>447</v>
      </c>
      <c r="P5" s="487" t="s">
        <v>448</v>
      </c>
      <c r="Q5" s="677"/>
      <c r="R5" s="631" t="s">
        <v>77</v>
      </c>
      <c r="S5" s="631" t="s">
        <v>589</v>
      </c>
      <c r="T5" s="631" t="s">
        <v>590</v>
      </c>
      <c r="U5" s="631" t="s">
        <v>597</v>
      </c>
      <c r="V5" s="631" t="s">
        <v>591</v>
      </c>
      <c r="W5" s="631" t="s">
        <v>78</v>
      </c>
      <c r="X5" s="631" t="s">
        <v>80</v>
      </c>
      <c r="Y5" s="677"/>
      <c r="Z5" s="677"/>
      <c r="AA5" s="679"/>
      <c r="AB5" s="679"/>
    </row>
    <row r="6" spans="2:28" ht="15">
      <c r="B6" s="463" t="s">
        <v>449</v>
      </c>
      <c r="C6" s="490">
        <v>2557914.5</v>
      </c>
      <c r="D6" s="490"/>
      <c r="E6" s="490">
        <v>1793930</v>
      </c>
      <c r="F6" s="490" t="s">
        <v>450</v>
      </c>
      <c r="G6" s="490" t="s">
        <v>450</v>
      </c>
      <c r="H6" s="490" t="s">
        <v>450</v>
      </c>
      <c r="I6" s="490" t="s">
        <v>450</v>
      </c>
      <c r="J6" s="490" t="s">
        <v>450</v>
      </c>
      <c r="K6" s="490" t="s">
        <v>450</v>
      </c>
      <c r="L6" s="490" t="s">
        <v>450</v>
      </c>
      <c r="M6" s="490" t="s">
        <v>450</v>
      </c>
      <c r="N6" s="490" t="s">
        <v>450</v>
      </c>
      <c r="O6" s="490" t="s">
        <v>450</v>
      </c>
      <c r="P6" s="490" t="s">
        <v>450</v>
      </c>
      <c r="Q6" s="490">
        <v>751362.1</v>
      </c>
      <c r="R6" s="490"/>
      <c r="S6" s="490"/>
      <c r="T6" s="490"/>
      <c r="U6" s="490"/>
      <c r="V6" s="490"/>
      <c r="W6" s="490"/>
      <c r="X6" s="490"/>
      <c r="Y6" s="490" t="s">
        <v>450</v>
      </c>
      <c r="Z6" s="490" t="s">
        <v>450</v>
      </c>
      <c r="AA6" s="491" t="s">
        <v>450</v>
      </c>
      <c r="AB6" s="503">
        <f t="shared" ref="AB6:AB37" si="0">SUM(H6:AA6)+D6</f>
        <v>751362.1</v>
      </c>
    </row>
    <row r="7" spans="2:28">
      <c r="B7" s="466" t="s">
        <v>451</v>
      </c>
      <c r="C7" s="640">
        <v>12895.3</v>
      </c>
      <c r="D7" s="640"/>
      <c r="E7" s="640" t="s">
        <v>450</v>
      </c>
      <c r="F7" s="640" t="s">
        <v>450</v>
      </c>
      <c r="G7" s="640">
        <v>11847.4</v>
      </c>
      <c r="H7" s="640" t="s">
        <v>450</v>
      </c>
      <c r="I7" s="640" t="s">
        <v>450</v>
      </c>
      <c r="J7" s="640">
        <v>1978.4</v>
      </c>
      <c r="K7" s="640" t="s">
        <v>450</v>
      </c>
      <c r="L7" s="640">
        <v>624.29999999999995</v>
      </c>
      <c r="M7" s="640">
        <v>528.9</v>
      </c>
      <c r="N7" s="640">
        <v>5734.8</v>
      </c>
      <c r="O7" s="640" t="s">
        <v>450</v>
      </c>
      <c r="P7" s="640">
        <v>2981</v>
      </c>
      <c r="Q7" s="640" t="s">
        <v>450</v>
      </c>
      <c r="R7" s="640"/>
      <c r="S7" s="640"/>
      <c r="T7" s="640"/>
      <c r="U7" s="640"/>
      <c r="V7" s="640"/>
      <c r="W7" s="640"/>
      <c r="X7" s="640"/>
      <c r="Y7" s="640" t="s">
        <v>450</v>
      </c>
      <c r="Z7" s="640">
        <v>387</v>
      </c>
      <c r="AA7" s="492">
        <v>660.9</v>
      </c>
      <c r="AB7" s="503">
        <f t="shared" si="0"/>
        <v>12895.3</v>
      </c>
    </row>
    <row r="8" spans="2:28">
      <c r="B8" s="466" t="s">
        <v>452</v>
      </c>
      <c r="C8" s="640">
        <v>-1928627.4</v>
      </c>
      <c r="D8" s="640"/>
      <c r="E8" s="640">
        <v>-1513026</v>
      </c>
      <c r="F8" s="640" t="s">
        <v>450</v>
      </c>
      <c r="G8" s="640">
        <v>-96495.9</v>
      </c>
      <c r="H8" s="640" t="s">
        <v>450</v>
      </c>
      <c r="I8" s="640">
        <v>-735.1</v>
      </c>
      <c r="J8" s="640">
        <v>-203</v>
      </c>
      <c r="K8" s="640">
        <v>-10210.700000000001</v>
      </c>
      <c r="L8" s="640" t="s">
        <v>450</v>
      </c>
      <c r="M8" s="640">
        <v>-70595.7</v>
      </c>
      <c r="N8" s="640">
        <v>-4817.2</v>
      </c>
      <c r="O8" s="640" t="s">
        <v>450</v>
      </c>
      <c r="P8" s="640">
        <v>-9934.2000000000007</v>
      </c>
      <c r="Q8" s="640">
        <v>-318151.5</v>
      </c>
      <c r="R8" s="640"/>
      <c r="S8" s="640"/>
      <c r="T8" s="640"/>
      <c r="U8" s="640"/>
      <c r="V8" s="640"/>
      <c r="W8" s="640"/>
      <c r="X8" s="640"/>
      <c r="Y8" s="640" t="s">
        <v>450</v>
      </c>
      <c r="Z8" s="640">
        <v>-954</v>
      </c>
      <c r="AA8" s="492" t="s">
        <v>450</v>
      </c>
      <c r="AB8" s="503">
        <f t="shared" si="0"/>
        <v>-415601.4</v>
      </c>
    </row>
    <row r="9" spans="2:28" ht="15">
      <c r="B9" s="468" t="s">
        <v>453</v>
      </c>
      <c r="C9" s="640">
        <v>-13573.9</v>
      </c>
      <c r="D9" s="640"/>
      <c r="E9" s="640" t="s">
        <v>450</v>
      </c>
      <c r="F9" s="640" t="s">
        <v>450</v>
      </c>
      <c r="G9" s="640">
        <v>-13573.9</v>
      </c>
      <c r="H9" s="640" t="s">
        <v>450</v>
      </c>
      <c r="I9" s="640" t="s">
        <v>450</v>
      </c>
      <c r="J9" s="640" t="s">
        <v>450</v>
      </c>
      <c r="K9" s="640">
        <v>-11441.1</v>
      </c>
      <c r="L9" s="640" t="s">
        <v>450</v>
      </c>
      <c r="M9" s="640">
        <v>-2132.8000000000002</v>
      </c>
      <c r="N9" s="640" t="s">
        <v>450</v>
      </c>
      <c r="O9" s="640" t="s">
        <v>450</v>
      </c>
      <c r="P9" s="640" t="s">
        <v>450</v>
      </c>
      <c r="Q9" s="640" t="s">
        <v>450</v>
      </c>
      <c r="R9" s="640"/>
      <c r="S9" s="640"/>
      <c r="T9" s="640"/>
      <c r="U9" s="640"/>
      <c r="V9" s="640"/>
      <c r="W9" s="640"/>
      <c r="X9" s="640"/>
      <c r="Y9" s="640" t="s">
        <v>450</v>
      </c>
      <c r="Z9" s="640" t="s">
        <v>450</v>
      </c>
      <c r="AA9" s="492" t="s">
        <v>450</v>
      </c>
      <c r="AB9" s="503">
        <f t="shared" si="0"/>
        <v>-13573.900000000001</v>
      </c>
    </row>
    <row r="10" spans="2:28">
      <c r="B10" s="469" t="s">
        <v>454</v>
      </c>
      <c r="C10" s="640">
        <v>-2132.8000000000002</v>
      </c>
      <c r="D10" s="640"/>
      <c r="E10" s="640" t="s">
        <v>450</v>
      </c>
      <c r="F10" s="640" t="s">
        <v>450</v>
      </c>
      <c r="G10" s="640">
        <v>-2132.8000000000002</v>
      </c>
      <c r="H10" s="640" t="s">
        <v>450</v>
      </c>
      <c r="I10" s="640" t="s">
        <v>450</v>
      </c>
      <c r="J10" s="640" t="s">
        <v>450</v>
      </c>
      <c r="K10" s="640" t="s">
        <v>450</v>
      </c>
      <c r="L10" s="640" t="s">
        <v>450</v>
      </c>
      <c r="M10" s="640">
        <v>-2132.8000000000002</v>
      </c>
      <c r="N10" s="640" t="s">
        <v>450</v>
      </c>
      <c r="O10" s="640" t="s">
        <v>450</v>
      </c>
      <c r="P10" s="640" t="s">
        <v>450</v>
      </c>
      <c r="Q10" s="640" t="s">
        <v>450</v>
      </c>
      <c r="R10" s="640"/>
      <c r="S10" s="640"/>
      <c r="T10" s="640"/>
      <c r="U10" s="640"/>
      <c r="V10" s="640"/>
      <c r="W10" s="640"/>
      <c r="X10" s="640"/>
      <c r="Y10" s="640" t="s">
        <v>450</v>
      </c>
      <c r="Z10" s="640" t="s">
        <v>450</v>
      </c>
      <c r="AA10" s="492" t="s">
        <v>450</v>
      </c>
      <c r="AB10" s="503">
        <f t="shared" si="0"/>
        <v>-2132.8000000000002</v>
      </c>
    </row>
    <row r="11" spans="2:28">
      <c r="B11" s="469" t="s">
        <v>455</v>
      </c>
      <c r="C11" s="640">
        <v>-11441.1</v>
      </c>
      <c r="D11" s="640"/>
      <c r="E11" s="640" t="s">
        <v>450</v>
      </c>
      <c r="F11" s="640" t="s">
        <v>450</v>
      </c>
      <c r="G11" s="640">
        <v>-11441.1</v>
      </c>
      <c r="H11" s="640" t="s">
        <v>450</v>
      </c>
      <c r="I11" s="640" t="s">
        <v>450</v>
      </c>
      <c r="J11" s="640" t="s">
        <v>450</v>
      </c>
      <c r="K11" s="640">
        <v>-11441.1</v>
      </c>
      <c r="L11" s="640" t="s">
        <v>450</v>
      </c>
      <c r="M11" s="640" t="s">
        <v>450</v>
      </c>
      <c r="N11" s="640" t="s">
        <v>450</v>
      </c>
      <c r="O11" s="640" t="s">
        <v>450</v>
      </c>
      <c r="P11" s="640" t="s">
        <v>450</v>
      </c>
      <c r="Q11" s="640" t="s">
        <v>450</v>
      </c>
      <c r="R11" s="640"/>
      <c r="S11" s="640"/>
      <c r="T11" s="640"/>
      <c r="U11" s="640"/>
      <c r="V11" s="640"/>
      <c r="W11" s="640"/>
      <c r="X11" s="640"/>
      <c r="Y11" s="640" t="s">
        <v>450</v>
      </c>
      <c r="Z11" s="640" t="s">
        <v>450</v>
      </c>
      <c r="AA11" s="492" t="s">
        <v>450</v>
      </c>
      <c r="AB11" s="503">
        <f t="shared" si="0"/>
        <v>-11441.1</v>
      </c>
    </row>
    <row r="12" spans="2:28">
      <c r="B12" s="470" t="s">
        <v>456</v>
      </c>
      <c r="C12" s="640">
        <v>23320.1</v>
      </c>
      <c r="D12" s="640"/>
      <c r="E12" s="640">
        <v>2572.6999999999998</v>
      </c>
      <c r="F12" s="640" t="s">
        <v>450</v>
      </c>
      <c r="G12" s="640">
        <v>7955.7</v>
      </c>
      <c r="H12" s="640" t="s">
        <v>450</v>
      </c>
      <c r="I12" s="640">
        <v>-170.7</v>
      </c>
      <c r="J12" s="640">
        <v>2168.5</v>
      </c>
      <c r="K12" s="640">
        <v>354</v>
      </c>
      <c r="L12" s="640">
        <v>-43</v>
      </c>
      <c r="M12" s="640">
        <v>2218.1</v>
      </c>
      <c r="N12" s="640">
        <v>2663.5</v>
      </c>
      <c r="O12" s="640">
        <v>122.8</v>
      </c>
      <c r="P12" s="640">
        <v>642.5</v>
      </c>
      <c r="Q12" s="640">
        <v>12651.5</v>
      </c>
      <c r="R12" s="640"/>
      <c r="S12" s="640"/>
      <c r="T12" s="640"/>
      <c r="U12" s="640"/>
      <c r="V12" s="640"/>
      <c r="W12" s="640"/>
      <c r="X12" s="640"/>
      <c r="Y12" s="640" t="s">
        <v>450</v>
      </c>
      <c r="Z12" s="640" t="s">
        <v>450</v>
      </c>
      <c r="AA12" s="492">
        <v>102.4</v>
      </c>
      <c r="AB12" s="503">
        <f t="shared" si="0"/>
        <v>20709.600000000002</v>
      </c>
    </row>
    <row r="13" spans="2:28">
      <c r="B13" s="471" t="s">
        <v>457</v>
      </c>
      <c r="C13" s="641">
        <v>651928.6</v>
      </c>
      <c r="D13" s="641"/>
      <c r="E13" s="641">
        <v>283476.7</v>
      </c>
      <c r="F13" s="640" t="s">
        <v>450</v>
      </c>
      <c r="G13" s="641">
        <v>-90266.7</v>
      </c>
      <c r="H13" s="640" t="s">
        <v>450</v>
      </c>
      <c r="I13" s="640">
        <v>-905.8</v>
      </c>
      <c r="J13" s="640">
        <v>3943.9</v>
      </c>
      <c r="K13" s="640">
        <v>-21297.8</v>
      </c>
      <c r="L13" s="640">
        <v>581.29999999999995</v>
      </c>
      <c r="M13" s="640">
        <v>-69981.5</v>
      </c>
      <c r="N13" s="640">
        <v>3581.1</v>
      </c>
      <c r="O13" s="640">
        <v>122.8</v>
      </c>
      <c r="P13" s="640">
        <v>-6310.7</v>
      </c>
      <c r="Q13" s="641">
        <v>445862.1</v>
      </c>
      <c r="R13" s="641"/>
      <c r="S13" s="641"/>
      <c r="T13" s="641"/>
      <c r="U13" s="641"/>
      <c r="V13" s="641"/>
      <c r="W13" s="641"/>
      <c r="X13" s="641"/>
      <c r="Y13" s="640" t="s">
        <v>450</v>
      </c>
      <c r="Z13" s="641">
        <v>-567</v>
      </c>
      <c r="AA13" s="493">
        <v>763.3</v>
      </c>
      <c r="AB13" s="503">
        <f t="shared" si="0"/>
        <v>355791.7</v>
      </c>
    </row>
    <row r="14" spans="2:28">
      <c r="B14" s="473" t="s">
        <v>458</v>
      </c>
      <c r="C14" s="641">
        <v>6271</v>
      </c>
      <c r="D14" s="641"/>
      <c r="E14" s="641">
        <v>1585.9</v>
      </c>
      <c r="F14" s="640" t="s">
        <v>450</v>
      </c>
      <c r="G14" s="641">
        <v>2512.8000000000002</v>
      </c>
      <c r="H14" s="640" t="s">
        <v>450</v>
      </c>
      <c r="I14" s="640">
        <v>33.4</v>
      </c>
      <c r="J14" s="640">
        <v>846.7</v>
      </c>
      <c r="K14" s="640" t="s">
        <v>450</v>
      </c>
      <c r="L14" s="640">
        <v>86.1</v>
      </c>
      <c r="M14" s="640">
        <v>1032.2</v>
      </c>
      <c r="N14" s="640">
        <v>72.400000000000006</v>
      </c>
      <c r="O14" s="640">
        <v>429.9</v>
      </c>
      <c r="P14" s="640">
        <v>12.1</v>
      </c>
      <c r="Q14" s="641">
        <v>1785.3</v>
      </c>
      <c r="R14" s="641"/>
      <c r="S14" s="641"/>
      <c r="T14" s="641"/>
      <c r="U14" s="641"/>
      <c r="V14" s="641"/>
      <c r="W14" s="641"/>
      <c r="X14" s="641"/>
      <c r="Y14" s="640" t="s">
        <v>450</v>
      </c>
      <c r="Z14" s="641">
        <v>387</v>
      </c>
      <c r="AA14" s="492" t="s">
        <v>450</v>
      </c>
      <c r="AB14" s="503">
        <f t="shared" si="0"/>
        <v>4685.1000000000004</v>
      </c>
    </row>
    <row r="15" spans="2:28">
      <c r="B15" s="473" t="s">
        <v>459</v>
      </c>
      <c r="C15" s="640" t="s">
        <v>450</v>
      </c>
      <c r="D15" s="640"/>
      <c r="E15" s="640" t="s">
        <v>450</v>
      </c>
      <c r="F15" s="640" t="s">
        <v>450</v>
      </c>
      <c r="G15" s="640" t="s">
        <v>450</v>
      </c>
      <c r="H15" s="640" t="s">
        <v>450</v>
      </c>
      <c r="I15" s="640" t="s">
        <v>450</v>
      </c>
      <c r="J15" s="640" t="s">
        <v>450</v>
      </c>
      <c r="K15" s="640" t="s">
        <v>450</v>
      </c>
      <c r="L15" s="640" t="s">
        <v>450</v>
      </c>
      <c r="M15" s="640" t="s">
        <v>450</v>
      </c>
      <c r="N15" s="640" t="s">
        <v>450</v>
      </c>
      <c r="O15" s="640" t="s">
        <v>450</v>
      </c>
      <c r="P15" s="640" t="s">
        <v>450</v>
      </c>
      <c r="Q15" s="640" t="s">
        <v>450</v>
      </c>
      <c r="R15" s="640"/>
      <c r="S15" s="640"/>
      <c r="T15" s="640"/>
      <c r="U15" s="640"/>
      <c r="V15" s="640"/>
      <c r="W15" s="640"/>
      <c r="X15" s="640"/>
      <c r="Y15" s="640" t="s">
        <v>450</v>
      </c>
      <c r="Z15" s="640" t="s">
        <v>450</v>
      </c>
      <c r="AA15" s="492" t="s">
        <v>450</v>
      </c>
      <c r="AB15" s="503">
        <f t="shared" si="0"/>
        <v>0</v>
      </c>
    </row>
    <row r="16" spans="2:28">
      <c r="B16" s="473" t="s">
        <v>460</v>
      </c>
      <c r="C16" s="641">
        <v>-159995.5</v>
      </c>
      <c r="D16" s="641"/>
      <c r="E16" s="641">
        <v>-279456</v>
      </c>
      <c r="F16" s="640" t="s">
        <v>450</v>
      </c>
      <c r="G16" s="641">
        <v>253727.1</v>
      </c>
      <c r="H16" s="640">
        <v>9170.6</v>
      </c>
      <c r="I16" s="640">
        <v>8171.4</v>
      </c>
      <c r="J16" s="640">
        <v>52868.800000000003</v>
      </c>
      <c r="K16" s="640">
        <v>29725.3</v>
      </c>
      <c r="L16" s="640" t="s">
        <v>450</v>
      </c>
      <c r="M16" s="640">
        <v>116800.7</v>
      </c>
      <c r="N16" s="640">
        <v>-2756.9</v>
      </c>
      <c r="O16" s="640">
        <v>7034.9</v>
      </c>
      <c r="P16" s="640">
        <v>32712.3</v>
      </c>
      <c r="Q16" s="641">
        <v>-220267.1</v>
      </c>
      <c r="R16" s="641"/>
      <c r="S16" s="641"/>
      <c r="T16" s="641"/>
      <c r="U16" s="641"/>
      <c r="V16" s="641"/>
      <c r="W16" s="641"/>
      <c r="X16" s="641"/>
      <c r="Y16" s="641">
        <v>6501.1</v>
      </c>
      <c r="Z16" s="641">
        <v>88878.2</v>
      </c>
      <c r="AA16" s="492" t="s">
        <v>450</v>
      </c>
      <c r="AB16" s="503">
        <f t="shared" si="0"/>
        <v>128839.29999999996</v>
      </c>
    </row>
    <row r="17" spans="2:28">
      <c r="B17" s="469" t="s">
        <v>461</v>
      </c>
      <c r="C17" s="640">
        <v>-90683.7</v>
      </c>
      <c r="D17" s="640"/>
      <c r="E17" s="640" t="s">
        <v>450</v>
      </c>
      <c r="F17" s="640" t="s">
        <v>450</v>
      </c>
      <c r="G17" s="640">
        <v>-2396.6</v>
      </c>
      <c r="H17" s="640" t="s">
        <v>450</v>
      </c>
      <c r="I17" s="640" t="s">
        <v>450</v>
      </c>
      <c r="J17" s="640" t="s">
        <v>450</v>
      </c>
      <c r="K17" s="640" t="s">
        <v>450</v>
      </c>
      <c r="L17" s="640" t="s">
        <v>450</v>
      </c>
      <c r="M17" s="640">
        <v>-174.9</v>
      </c>
      <c r="N17" s="640">
        <v>-2221.6999999999998</v>
      </c>
      <c r="O17" s="640" t="s">
        <v>450</v>
      </c>
      <c r="P17" s="640" t="s">
        <v>450</v>
      </c>
      <c r="Q17" s="640">
        <v>-139135.6</v>
      </c>
      <c r="R17" s="640"/>
      <c r="S17" s="640"/>
      <c r="T17" s="640"/>
      <c r="U17" s="640"/>
      <c r="V17" s="640"/>
      <c r="W17" s="640"/>
      <c r="X17" s="640"/>
      <c r="Y17" s="640" t="s">
        <v>450</v>
      </c>
      <c r="Z17" s="640">
        <v>59813.3</v>
      </c>
      <c r="AA17" s="492" t="s">
        <v>450</v>
      </c>
      <c r="AB17" s="503">
        <f t="shared" si="0"/>
        <v>-81718.900000000009</v>
      </c>
    </row>
    <row r="18" spans="2:28">
      <c r="B18" s="469" t="s">
        <v>462</v>
      </c>
      <c r="C18" s="640">
        <v>-57810.3</v>
      </c>
      <c r="D18" s="640"/>
      <c r="E18" s="640" t="s">
        <v>450</v>
      </c>
      <c r="F18" s="640" t="s">
        <v>450</v>
      </c>
      <c r="G18" s="640">
        <v>-14315.8</v>
      </c>
      <c r="H18" s="640" t="s">
        <v>450</v>
      </c>
      <c r="I18" s="640" t="s">
        <v>450</v>
      </c>
      <c r="J18" s="640" t="s">
        <v>450</v>
      </c>
      <c r="K18" s="640" t="s">
        <v>450</v>
      </c>
      <c r="L18" s="640" t="s">
        <v>450</v>
      </c>
      <c r="M18" s="640">
        <v>-17</v>
      </c>
      <c r="N18" s="640">
        <v>-14298.8</v>
      </c>
      <c r="O18" s="640" t="s">
        <v>450</v>
      </c>
      <c r="P18" s="640" t="s">
        <v>450</v>
      </c>
      <c r="Q18" s="640">
        <v>-73635.899999999994</v>
      </c>
      <c r="R18" s="640"/>
      <c r="S18" s="640"/>
      <c r="T18" s="640"/>
      <c r="U18" s="640"/>
      <c r="V18" s="640"/>
      <c r="W18" s="640"/>
      <c r="X18" s="640"/>
      <c r="Y18" s="640">
        <v>1076.5</v>
      </c>
      <c r="Z18" s="640">
        <v>29064.9</v>
      </c>
      <c r="AA18" s="492" t="s">
        <v>450</v>
      </c>
      <c r="AB18" s="503">
        <f t="shared" si="0"/>
        <v>-57810.299999999996</v>
      </c>
    </row>
    <row r="19" spans="2:28">
      <c r="B19" s="469" t="s">
        <v>463</v>
      </c>
      <c r="C19" s="640">
        <v>-1814.6</v>
      </c>
      <c r="D19" s="640"/>
      <c r="E19" s="640" t="s">
        <v>450</v>
      </c>
      <c r="F19" s="640" t="s">
        <v>450</v>
      </c>
      <c r="G19" s="640">
        <v>-17</v>
      </c>
      <c r="H19" s="640" t="s">
        <v>450</v>
      </c>
      <c r="I19" s="640" t="s">
        <v>450</v>
      </c>
      <c r="J19" s="640" t="s">
        <v>450</v>
      </c>
      <c r="K19" s="640" t="s">
        <v>450</v>
      </c>
      <c r="L19" s="640" t="s">
        <v>450</v>
      </c>
      <c r="M19" s="640">
        <v>-4.3</v>
      </c>
      <c r="N19" s="640">
        <v>-12.7</v>
      </c>
      <c r="O19" s="640" t="s">
        <v>450</v>
      </c>
      <c r="P19" s="640" t="s">
        <v>450</v>
      </c>
      <c r="Q19" s="640">
        <v>-7222.2</v>
      </c>
      <c r="R19" s="640"/>
      <c r="S19" s="640"/>
      <c r="T19" s="640"/>
      <c r="U19" s="640"/>
      <c r="V19" s="640"/>
      <c r="W19" s="640"/>
      <c r="X19" s="640"/>
      <c r="Y19" s="640">
        <v>5424.6</v>
      </c>
      <c r="Z19" s="640" t="s">
        <v>450</v>
      </c>
      <c r="AA19" s="492" t="s">
        <v>450</v>
      </c>
      <c r="AB19" s="503">
        <f t="shared" si="0"/>
        <v>-1814.5999999999995</v>
      </c>
    </row>
    <row r="20" spans="2:28">
      <c r="B20" s="469" t="s">
        <v>464</v>
      </c>
      <c r="C20" s="640">
        <v>1524.6</v>
      </c>
      <c r="D20" s="640"/>
      <c r="E20" s="640" t="s">
        <v>450</v>
      </c>
      <c r="F20" s="640" t="s">
        <v>450</v>
      </c>
      <c r="G20" s="640">
        <v>1798</v>
      </c>
      <c r="H20" s="640" t="s">
        <v>450</v>
      </c>
      <c r="I20" s="640">
        <v>711.4</v>
      </c>
      <c r="J20" s="640" t="s">
        <v>450</v>
      </c>
      <c r="K20" s="640" t="s">
        <v>450</v>
      </c>
      <c r="L20" s="640" t="s">
        <v>450</v>
      </c>
      <c r="M20" s="640" t="s">
        <v>450</v>
      </c>
      <c r="N20" s="640" t="s">
        <v>450</v>
      </c>
      <c r="O20" s="640" t="s">
        <v>450</v>
      </c>
      <c r="P20" s="640">
        <v>1086.5999999999999</v>
      </c>
      <c r="Q20" s="640">
        <v>-273.39999999999998</v>
      </c>
      <c r="R20" s="640"/>
      <c r="S20" s="640"/>
      <c r="T20" s="640"/>
      <c r="U20" s="640"/>
      <c r="V20" s="640"/>
      <c r="W20" s="640"/>
      <c r="X20" s="640"/>
      <c r="Y20" s="640" t="s">
        <v>450</v>
      </c>
      <c r="Z20" s="640" t="s">
        <v>450</v>
      </c>
      <c r="AA20" s="492" t="s">
        <v>450</v>
      </c>
      <c r="AB20" s="503">
        <f t="shared" si="0"/>
        <v>1524.6</v>
      </c>
    </row>
    <row r="21" spans="2:28">
      <c r="B21" s="469" t="s">
        <v>465</v>
      </c>
      <c r="C21" s="640" t="s">
        <v>450</v>
      </c>
      <c r="D21" s="640"/>
      <c r="E21" s="640" t="s">
        <v>450</v>
      </c>
      <c r="F21" s="640" t="s">
        <v>450</v>
      </c>
      <c r="G21" s="640" t="s">
        <v>450</v>
      </c>
      <c r="H21" s="640" t="s">
        <v>450</v>
      </c>
      <c r="I21" s="640" t="s">
        <v>450</v>
      </c>
      <c r="J21" s="640" t="s">
        <v>450</v>
      </c>
      <c r="K21" s="640" t="s">
        <v>450</v>
      </c>
      <c r="L21" s="640" t="s">
        <v>450</v>
      </c>
      <c r="M21" s="640" t="s">
        <v>450</v>
      </c>
      <c r="N21" s="640" t="s">
        <v>450</v>
      </c>
      <c r="O21" s="640" t="s">
        <v>450</v>
      </c>
      <c r="P21" s="640" t="s">
        <v>450</v>
      </c>
      <c r="Q21" s="640" t="s">
        <v>450</v>
      </c>
      <c r="R21" s="640"/>
      <c r="S21" s="640"/>
      <c r="T21" s="640"/>
      <c r="U21" s="640"/>
      <c r="V21" s="640"/>
      <c r="W21" s="640"/>
      <c r="X21" s="640"/>
      <c r="Y21" s="640" t="s">
        <v>450</v>
      </c>
      <c r="Z21" s="640" t="s">
        <v>450</v>
      </c>
      <c r="AA21" s="492" t="s">
        <v>450</v>
      </c>
      <c r="AB21" s="503">
        <f t="shared" si="0"/>
        <v>0</v>
      </c>
    </row>
    <row r="22" spans="2:28" ht="15">
      <c r="B22" s="474" t="s">
        <v>466</v>
      </c>
      <c r="C22" s="640">
        <v>-11785.7</v>
      </c>
      <c r="D22" s="640"/>
      <c r="E22" s="640">
        <v>-279456</v>
      </c>
      <c r="F22" s="640" t="s">
        <v>450</v>
      </c>
      <c r="G22" s="640">
        <v>267670.3</v>
      </c>
      <c r="H22" s="640">
        <v>9170.6</v>
      </c>
      <c r="I22" s="640">
        <v>7460</v>
      </c>
      <c r="J22" s="640">
        <v>52868.800000000003</v>
      </c>
      <c r="K22" s="640">
        <v>29725.3</v>
      </c>
      <c r="L22" s="640" t="s">
        <v>450</v>
      </c>
      <c r="M22" s="640">
        <v>116996.9</v>
      </c>
      <c r="N22" s="640">
        <v>13776.3</v>
      </c>
      <c r="O22" s="640">
        <v>7034.9</v>
      </c>
      <c r="P22" s="640">
        <v>30637.5</v>
      </c>
      <c r="Q22" s="640" t="s">
        <v>450</v>
      </c>
      <c r="R22" s="640"/>
      <c r="S22" s="640"/>
      <c r="T22" s="640"/>
      <c r="U22" s="640"/>
      <c r="V22" s="640"/>
      <c r="W22" s="640"/>
      <c r="X22" s="640"/>
      <c r="Y22" s="640" t="s">
        <v>450</v>
      </c>
      <c r="Z22" s="640" t="s">
        <v>450</v>
      </c>
      <c r="AA22" s="492" t="s">
        <v>450</v>
      </c>
      <c r="AB22" s="503">
        <f t="shared" si="0"/>
        <v>267670.29999999993</v>
      </c>
    </row>
    <row r="23" spans="2:28" ht="15">
      <c r="B23" s="474" t="s">
        <v>467</v>
      </c>
      <c r="C23" s="640">
        <v>988.2</v>
      </c>
      <c r="D23" s="640"/>
      <c r="E23" s="640" t="s">
        <v>450</v>
      </c>
      <c r="F23" s="640" t="s">
        <v>450</v>
      </c>
      <c r="G23" s="640">
        <v>988.2</v>
      </c>
      <c r="H23" s="640" t="s">
        <v>450</v>
      </c>
      <c r="I23" s="640" t="s">
        <v>450</v>
      </c>
      <c r="J23" s="640" t="s">
        <v>450</v>
      </c>
      <c r="K23" s="640" t="s">
        <v>450</v>
      </c>
      <c r="L23" s="640" t="s">
        <v>450</v>
      </c>
      <c r="M23" s="640" t="s">
        <v>450</v>
      </c>
      <c r="N23" s="640" t="s">
        <v>450</v>
      </c>
      <c r="O23" s="640" t="s">
        <v>450</v>
      </c>
      <c r="P23" s="640">
        <v>988.2</v>
      </c>
      <c r="Q23" s="640" t="s">
        <v>450</v>
      </c>
      <c r="R23" s="640"/>
      <c r="S23" s="640"/>
      <c r="T23" s="640"/>
      <c r="U23" s="640"/>
      <c r="V23" s="640"/>
      <c r="W23" s="640"/>
      <c r="X23" s="640"/>
      <c r="Y23" s="640" t="s">
        <v>450</v>
      </c>
      <c r="Z23" s="640" t="s">
        <v>450</v>
      </c>
      <c r="AA23" s="492" t="s">
        <v>450</v>
      </c>
      <c r="AB23" s="503">
        <f t="shared" si="0"/>
        <v>988.2</v>
      </c>
    </row>
    <row r="24" spans="2:28" ht="15" thickBot="1">
      <c r="B24" s="469" t="s">
        <v>468</v>
      </c>
      <c r="C24" s="640">
        <v>-414</v>
      </c>
      <c r="D24" s="640"/>
      <c r="E24" s="640" t="s">
        <v>450</v>
      </c>
      <c r="F24" s="640" t="s">
        <v>450</v>
      </c>
      <c r="G24" s="640" t="s">
        <v>450</v>
      </c>
      <c r="H24" s="627"/>
      <c r="I24" s="640" t="s">
        <v>450</v>
      </c>
      <c r="J24" s="640" t="s">
        <v>450</v>
      </c>
      <c r="K24" s="640" t="s">
        <v>450</v>
      </c>
      <c r="L24" s="640" t="s">
        <v>450</v>
      </c>
      <c r="M24" s="640" t="s">
        <v>450</v>
      </c>
      <c r="N24" s="640" t="s">
        <v>450</v>
      </c>
      <c r="O24" s="640" t="s">
        <v>450</v>
      </c>
      <c r="P24" s="640" t="s">
        <v>450</v>
      </c>
      <c r="Q24" s="640" t="s">
        <v>450</v>
      </c>
      <c r="R24" s="640"/>
      <c r="S24" s="640"/>
      <c r="T24" s="640"/>
      <c r="U24" s="640"/>
      <c r="V24" s="640"/>
      <c r="W24" s="640"/>
      <c r="X24" s="640"/>
      <c r="Y24" s="640" t="s">
        <v>450</v>
      </c>
      <c r="Z24" s="640" t="s">
        <v>450</v>
      </c>
      <c r="AA24" s="492" t="s">
        <v>450</v>
      </c>
      <c r="AB24" s="503">
        <f t="shared" si="0"/>
        <v>0</v>
      </c>
    </row>
    <row r="25" spans="2:28" ht="15">
      <c r="B25" s="475" t="s">
        <v>469</v>
      </c>
      <c r="C25" s="641">
        <v>48858</v>
      </c>
      <c r="D25" s="641"/>
      <c r="E25" s="641">
        <v>491.3</v>
      </c>
      <c r="F25" s="640" t="s">
        <v>450</v>
      </c>
      <c r="G25" s="641">
        <v>13938.9</v>
      </c>
      <c r="H25" s="640">
        <v>9170.6</v>
      </c>
      <c r="I25" s="640" t="s">
        <v>450</v>
      </c>
      <c r="J25" s="640" t="s">
        <v>450</v>
      </c>
      <c r="K25" s="640" t="s">
        <v>450</v>
      </c>
      <c r="L25" s="640" t="s">
        <v>450</v>
      </c>
      <c r="M25" s="640" t="s">
        <v>450</v>
      </c>
      <c r="N25" s="640" t="s">
        <v>450</v>
      </c>
      <c r="O25" s="640" t="s">
        <v>450</v>
      </c>
      <c r="P25" s="640">
        <v>4768.3</v>
      </c>
      <c r="Q25" s="641">
        <v>19647.2</v>
      </c>
      <c r="R25" s="641"/>
      <c r="S25" s="641"/>
      <c r="T25" s="641"/>
      <c r="U25" s="641"/>
      <c r="V25" s="641"/>
      <c r="W25" s="641"/>
      <c r="X25" s="641"/>
      <c r="Y25" s="641">
        <v>612.1</v>
      </c>
      <c r="Z25" s="641">
        <v>14168.5</v>
      </c>
      <c r="AA25" s="492" t="s">
        <v>450</v>
      </c>
      <c r="AB25" s="503">
        <f t="shared" si="0"/>
        <v>48366.700000000004</v>
      </c>
    </row>
    <row r="26" spans="2:28" ht="15">
      <c r="B26" s="475" t="s">
        <v>470</v>
      </c>
      <c r="C26" s="641">
        <v>55461.8</v>
      </c>
      <c r="D26" s="641"/>
      <c r="E26" s="641">
        <v>1943.5</v>
      </c>
      <c r="F26" s="640" t="s">
        <v>450</v>
      </c>
      <c r="G26" s="640" t="s">
        <v>450</v>
      </c>
      <c r="H26" s="640" t="s">
        <v>450</v>
      </c>
      <c r="I26" s="640" t="s">
        <v>450</v>
      </c>
      <c r="J26" s="640" t="s">
        <v>450</v>
      </c>
      <c r="K26" s="640" t="s">
        <v>450</v>
      </c>
      <c r="L26" s="640" t="s">
        <v>450</v>
      </c>
      <c r="M26" s="640" t="s">
        <v>450</v>
      </c>
      <c r="N26" s="640" t="s">
        <v>450</v>
      </c>
      <c r="O26" s="640" t="s">
        <v>450</v>
      </c>
      <c r="P26" s="640" t="s">
        <v>450</v>
      </c>
      <c r="Q26" s="641">
        <v>42458.2</v>
      </c>
      <c r="R26" s="641"/>
      <c r="S26" s="641"/>
      <c r="T26" s="641"/>
      <c r="U26" s="641"/>
      <c r="V26" s="641"/>
      <c r="W26" s="641"/>
      <c r="X26" s="641"/>
      <c r="Y26" s="641">
        <v>733.1</v>
      </c>
      <c r="Z26" s="641">
        <v>10327</v>
      </c>
      <c r="AA26" s="492" t="s">
        <v>450</v>
      </c>
      <c r="AB26" s="503">
        <f t="shared" si="0"/>
        <v>53518.299999999996</v>
      </c>
    </row>
    <row r="27" spans="2:28" ht="15">
      <c r="B27" s="475" t="s">
        <v>471</v>
      </c>
      <c r="C27" s="641">
        <v>381342.3</v>
      </c>
      <c r="D27" s="641"/>
      <c r="E27" s="640" t="s">
        <v>450</v>
      </c>
      <c r="F27" s="640" t="s">
        <v>450</v>
      </c>
      <c r="G27" s="641">
        <v>147008.70000000001</v>
      </c>
      <c r="H27" s="640"/>
      <c r="I27" s="640">
        <v>7232.2</v>
      </c>
      <c r="J27" s="640">
        <v>55966</v>
      </c>
      <c r="K27" s="640">
        <v>8427.5</v>
      </c>
      <c r="L27" s="640">
        <v>495.2</v>
      </c>
      <c r="M27" s="640">
        <v>45787</v>
      </c>
      <c r="N27" s="640">
        <v>751.8</v>
      </c>
      <c r="O27" s="640">
        <v>6727.8</v>
      </c>
      <c r="P27" s="640">
        <v>21621.200000000001</v>
      </c>
      <c r="Q27" s="641">
        <v>161704.29999999999</v>
      </c>
      <c r="R27" s="641"/>
      <c r="S27" s="641"/>
      <c r="T27" s="641"/>
      <c r="U27" s="641"/>
      <c r="V27" s="641"/>
      <c r="W27" s="641"/>
      <c r="X27" s="641"/>
      <c r="Y27" s="641">
        <v>5155.8999999999996</v>
      </c>
      <c r="Z27" s="641">
        <v>63428.7</v>
      </c>
      <c r="AA27" s="493">
        <v>763.3</v>
      </c>
      <c r="AB27" s="503">
        <f t="shared" si="0"/>
        <v>378060.9</v>
      </c>
    </row>
    <row r="28" spans="2:28" ht="15">
      <c r="B28" s="475" t="s">
        <v>472</v>
      </c>
      <c r="C28" s="641">
        <v>344985</v>
      </c>
      <c r="D28" s="641"/>
      <c r="E28" s="640" t="s">
        <v>450</v>
      </c>
      <c r="F28" s="640" t="s">
        <v>450</v>
      </c>
      <c r="G28" s="641">
        <v>112682.9</v>
      </c>
      <c r="H28" s="640"/>
      <c r="I28" s="640">
        <v>2119.8000000000002</v>
      </c>
      <c r="J28" s="640">
        <v>55966</v>
      </c>
      <c r="K28" s="640">
        <v>8151.2</v>
      </c>
      <c r="L28" s="640">
        <v>68.900000000000006</v>
      </c>
      <c r="M28" s="640">
        <v>45710.2</v>
      </c>
      <c r="N28" s="640">
        <v>666.8</v>
      </c>
      <c r="O28" s="640"/>
      <c r="P28" s="640"/>
      <c r="Q28" s="641">
        <v>160306</v>
      </c>
      <c r="R28" s="641"/>
      <c r="S28" s="641"/>
      <c r="T28" s="641"/>
      <c r="U28" s="641"/>
      <c r="V28" s="641"/>
      <c r="W28" s="641"/>
      <c r="X28" s="641"/>
      <c r="Y28" s="641">
        <v>5155.8999999999996</v>
      </c>
      <c r="Z28" s="641">
        <v>63428.7</v>
      </c>
      <c r="AA28" s="493">
        <v>130.1</v>
      </c>
      <c r="AB28" s="503">
        <f t="shared" si="0"/>
        <v>341703.60000000003</v>
      </c>
    </row>
    <row r="29" spans="2:28">
      <c r="B29" s="476" t="s">
        <v>473</v>
      </c>
      <c r="C29" s="642">
        <v>2347437.8429999999</v>
      </c>
      <c r="D29" s="643">
        <v>165986.215</v>
      </c>
      <c r="E29" s="642">
        <v>0</v>
      </c>
      <c r="F29" s="642" t="s">
        <v>587</v>
      </c>
      <c r="G29" s="642">
        <v>124772.26700000001</v>
      </c>
      <c r="H29" s="642">
        <v>17354.07</v>
      </c>
      <c r="I29" s="642">
        <v>3810.7440000000001</v>
      </c>
      <c r="J29" s="642">
        <v>0</v>
      </c>
      <c r="K29" s="642">
        <v>0</v>
      </c>
      <c r="L29" s="642">
        <v>0</v>
      </c>
      <c r="M29" s="642">
        <v>31425.475999999999</v>
      </c>
      <c r="N29" s="642">
        <v>59921.184999999998</v>
      </c>
      <c r="O29" s="642">
        <v>0</v>
      </c>
      <c r="P29" s="642">
        <f>G29-SUM(H29:O29)</f>
        <v>12260.792000000016</v>
      </c>
      <c r="Q29" s="642">
        <v>803822.4</v>
      </c>
      <c r="R29" s="642">
        <v>2526</v>
      </c>
      <c r="S29" s="642">
        <v>0</v>
      </c>
      <c r="T29" s="642">
        <v>0</v>
      </c>
      <c r="U29" s="642">
        <v>0</v>
      </c>
      <c r="V29" s="638">
        <v>788.36099999999999</v>
      </c>
      <c r="W29" s="637">
        <v>90388</v>
      </c>
      <c r="X29" s="642">
        <v>58874</v>
      </c>
      <c r="Y29" s="642">
        <v>173430</v>
      </c>
      <c r="Z29" s="642">
        <v>823770</v>
      </c>
      <c r="AA29" s="636">
        <v>103080.6</v>
      </c>
      <c r="AB29" s="503">
        <f t="shared" si="0"/>
        <v>2347437.8429999999</v>
      </c>
    </row>
    <row r="30" spans="2:28" ht="15">
      <c r="B30" s="477" t="s">
        <v>474</v>
      </c>
      <c r="C30" s="643">
        <v>323693.26799999998</v>
      </c>
      <c r="D30" s="642">
        <v>38292.796000000002</v>
      </c>
      <c r="E30" s="643">
        <v>0</v>
      </c>
      <c r="F30" s="643" t="s">
        <v>587</v>
      </c>
      <c r="G30" s="643">
        <v>3491.672</v>
      </c>
      <c r="H30" s="643">
        <v>0</v>
      </c>
      <c r="I30" s="643">
        <v>45.366</v>
      </c>
      <c r="J30" s="643">
        <v>0</v>
      </c>
      <c r="K30" s="643">
        <v>0</v>
      </c>
      <c r="L30" s="643">
        <v>0</v>
      </c>
      <c r="M30" s="643">
        <v>3382.306</v>
      </c>
      <c r="N30" s="643">
        <v>0</v>
      </c>
      <c r="O30" s="643">
        <v>0</v>
      </c>
      <c r="P30" s="642">
        <f t="shared" ref="P30:P42" si="1">G30-SUM(H30:O30)</f>
        <v>64</v>
      </c>
      <c r="Q30" s="643">
        <v>88242.3</v>
      </c>
      <c r="R30" s="643">
        <v>1</v>
      </c>
      <c r="S30" s="643">
        <v>0</v>
      </c>
      <c r="T30" s="643">
        <v>0</v>
      </c>
      <c r="U30" s="643">
        <v>0</v>
      </c>
      <c r="V30" s="636">
        <v>0</v>
      </c>
      <c r="W30" s="636">
        <v>63</v>
      </c>
      <c r="X30" s="643">
        <v>0</v>
      </c>
      <c r="Y30" s="643">
        <v>1520</v>
      </c>
      <c r="Z30" s="643">
        <v>93826.8</v>
      </c>
      <c r="AA30" s="637">
        <v>98255.7</v>
      </c>
      <c r="AB30" s="503">
        <f t="shared" si="0"/>
        <v>323693.26800000004</v>
      </c>
    </row>
    <row r="31" spans="2:28" ht="15">
      <c r="B31" s="477" t="s">
        <v>475</v>
      </c>
      <c r="C31" s="642">
        <v>617383.64199999999</v>
      </c>
      <c r="D31" s="643">
        <v>41000.930999999997</v>
      </c>
      <c r="E31" s="642">
        <v>0</v>
      </c>
      <c r="F31" s="642" t="s">
        <v>587</v>
      </c>
      <c r="G31" s="642">
        <v>68586.876999999993</v>
      </c>
      <c r="H31" s="642">
        <v>13671.620999999999</v>
      </c>
      <c r="I31" s="642">
        <v>0</v>
      </c>
      <c r="J31" s="642">
        <v>0</v>
      </c>
      <c r="K31" s="642">
        <v>0</v>
      </c>
      <c r="L31" s="642">
        <v>0</v>
      </c>
      <c r="M31" s="642">
        <v>813.46600000000001</v>
      </c>
      <c r="N31" s="642">
        <v>53525.79</v>
      </c>
      <c r="O31" s="642">
        <v>0</v>
      </c>
      <c r="P31" s="642">
        <f t="shared" si="1"/>
        <v>575.99999999998545</v>
      </c>
      <c r="Q31" s="642">
        <v>204782.4</v>
      </c>
      <c r="R31" s="642">
        <v>381</v>
      </c>
      <c r="S31" s="642">
        <v>0</v>
      </c>
      <c r="T31" s="642">
        <v>0</v>
      </c>
      <c r="U31" s="642">
        <v>0</v>
      </c>
      <c r="V31" s="638">
        <v>356.03399999999999</v>
      </c>
      <c r="W31" s="637">
        <v>1409</v>
      </c>
      <c r="X31" s="642">
        <v>8685</v>
      </c>
      <c r="Y31" s="642">
        <v>97183</v>
      </c>
      <c r="Z31" s="642">
        <v>192474</v>
      </c>
      <c r="AA31" s="636">
        <v>2525.4</v>
      </c>
      <c r="AB31" s="503">
        <f t="shared" si="0"/>
        <v>617383.64199999999</v>
      </c>
    </row>
    <row r="32" spans="2:28" ht="15">
      <c r="B32" s="477" t="s">
        <v>476</v>
      </c>
      <c r="C32" s="643">
        <v>96839.25</v>
      </c>
      <c r="D32" s="642">
        <v>1343.058</v>
      </c>
      <c r="E32" s="643">
        <v>0</v>
      </c>
      <c r="F32" s="643" t="s">
        <v>587</v>
      </c>
      <c r="G32" s="643">
        <v>3138.9920000000002</v>
      </c>
      <c r="H32" s="643">
        <v>0</v>
      </c>
      <c r="I32" s="643">
        <v>90.731999999999999</v>
      </c>
      <c r="J32" s="643">
        <v>0</v>
      </c>
      <c r="K32" s="643">
        <v>0</v>
      </c>
      <c r="L32" s="643">
        <v>0</v>
      </c>
      <c r="M32" s="643">
        <v>642.21</v>
      </c>
      <c r="N32" s="643">
        <v>1222.05</v>
      </c>
      <c r="O32" s="643">
        <v>0</v>
      </c>
      <c r="P32" s="642">
        <f t="shared" si="1"/>
        <v>1184.0000000000002</v>
      </c>
      <c r="Q32" s="643">
        <v>33843.599999999999</v>
      </c>
      <c r="R32" s="643">
        <v>13</v>
      </c>
      <c r="S32" s="643">
        <v>0</v>
      </c>
      <c r="T32" s="643">
        <v>0</v>
      </c>
      <c r="U32" s="643">
        <v>0</v>
      </c>
      <c r="V32" s="636">
        <v>0</v>
      </c>
      <c r="W32" s="636">
        <v>0</v>
      </c>
      <c r="X32" s="643">
        <v>256</v>
      </c>
      <c r="Y32" s="643">
        <v>1109</v>
      </c>
      <c r="Z32" s="643">
        <v>57135.6</v>
      </c>
      <c r="AA32" s="637">
        <v>0</v>
      </c>
      <c r="AB32" s="503">
        <f t="shared" si="0"/>
        <v>96839.25</v>
      </c>
    </row>
    <row r="33" spans="2:28" ht="15">
      <c r="B33" s="477" t="s">
        <v>477</v>
      </c>
      <c r="C33" s="642">
        <v>274429.65700000001</v>
      </c>
      <c r="D33" s="643">
        <v>57791.9</v>
      </c>
      <c r="E33" s="642">
        <v>0</v>
      </c>
      <c r="F33" s="642" t="s">
        <v>587</v>
      </c>
      <c r="G33" s="642">
        <v>17193.571</v>
      </c>
      <c r="H33" s="642">
        <v>0</v>
      </c>
      <c r="I33" s="642">
        <v>453.66</v>
      </c>
      <c r="J33" s="642">
        <v>0</v>
      </c>
      <c r="K33" s="642">
        <v>0</v>
      </c>
      <c r="L33" s="642">
        <v>0</v>
      </c>
      <c r="M33" s="642">
        <v>3339.4920000000002</v>
      </c>
      <c r="N33" s="642">
        <v>3462.4749999999999</v>
      </c>
      <c r="O33" s="642">
        <v>0</v>
      </c>
      <c r="P33" s="642">
        <f t="shared" si="1"/>
        <v>9937.9439999999995</v>
      </c>
      <c r="Q33" s="642">
        <v>104013</v>
      </c>
      <c r="R33" s="642">
        <v>22</v>
      </c>
      <c r="S33" s="642">
        <v>0</v>
      </c>
      <c r="T33" s="642">
        <v>0</v>
      </c>
      <c r="U33" s="642">
        <v>0</v>
      </c>
      <c r="V33" s="638">
        <v>152.58600000000001</v>
      </c>
      <c r="W33" s="637">
        <v>5787</v>
      </c>
      <c r="X33" s="642">
        <v>44429</v>
      </c>
      <c r="Y33" s="642">
        <v>775</v>
      </c>
      <c r="Z33" s="642">
        <v>44265.599999999999</v>
      </c>
      <c r="AA33" s="636">
        <v>0</v>
      </c>
      <c r="AB33" s="503">
        <f t="shared" si="0"/>
        <v>274429.65700000001</v>
      </c>
    </row>
    <row r="34" spans="2:28" ht="15">
      <c r="B34" s="477" t="s">
        <v>478</v>
      </c>
      <c r="C34" s="643">
        <v>120490.32</v>
      </c>
      <c r="D34" s="642">
        <v>126.816</v>
      </c>
      <c r="E34" s="643">
        <v>0</v>
      </c>
      <c r="F34" s="643" t="s">
        <v>587</v>
      </c>
      <c r="G34" s="643">
        <v>1839.742</v>
      </c>
      <c r="H34" s="643">
        <v>0</v>
      </c>
      <c r="I34" s="643">
        <v>136.09800000000001</v>
      </c>
      <c r="J34" s="643">
        <v>0</v>
      </c>
      <c r="K34" s="643">
        <v>0</v>
      </c>
      <c r="L34" s="643">
        <v>0</v>
      </c>
      <c r="M34" s="643">
        <v>1626.932</v>
      </c>
      <c r="N34" s="643">
        <v>0</v>
      </c>
      <c r="O34" s="643">
        <v>0</v>
      </c>
      <c r="P34" s="642">
        <f t="shared" si="1"/>
        <v>76.711999999999989</v>
      </c>
      <c r="Q34" s="643">
        <v>36487.800000000003</v>
      </c>
      <c r="R34" s="643">
        <v>0</v>
      </c>
      <c r="S34" s="643">
        <v>0</v>
      </c>
      <c r="T34" s="643">
        <v>0</v>
      </c>
      <c r="U34" s="643">
        <v>0</v>
      </c>
      <c r="V34" s="639">
        <v>50.862000000000002</v>
      </c>
      <c r="W34" s="636">
        <v>225</v>
      </c>
      <c r="X34" s="643">
        <v>2</v>
      </c>
      <c r="Y34" s="643">
        <v>13440</v>
      </c>
      <c r="Z34" s="643">
        <v>66654</v>
      </c>
      <c r="AA34" s="637">
        <v>1664.1</v>
      </c>
      <c r="AB34" s="503">
        <f t="shared" si="0"/>
        <v>120490.32000000002</v>
      </c>
    </row>
    <row r="35" spans="2:28" ht="15">
      <c r="B35" s="477" t="s">
        <v>342</v>
      </c>
      <c r="C35" s="642">
        <v>214809.09700000001</v>
      </c>
      <c r="D35" s="643">
        <v>336.67700000000002</v>
      </c>
      <c r="E35" s="642">
        <v>0</v>
      </c>
      <c r="F35" s="642" t="s">
        <v>587</v>
      </c>
      <c r="G35" s="642">
        <v>9877.6270000000004</v>
      </c>
      <c r="H35" s="642">
        <v>0</v>
      </c>
      <c r="I35" s="642">
        <v>1497.078</v>
      </c>
      <c r="J35" s="642">
        <v>0</v>
      </c>
      <c r="K35" s="642">
        <v>0</v>
      </c>
      <c r="L35" s="642">
        <v>0</v>
      </c>
      <c r="M35" s="642">
        <v>8263.1020000000008</v>
      </c>
      <c r="N35" s="642">
        <v>40.734999999999999</v>
      </c>
      <c r="O35" s="642">
        <v>0</v>
      </c>
      <c r="P35" s="642">
        <f t="shared" si="1"/>
        <v>76.711999999999534</v>
      </c>
      <c r="Q35" s="642">
        <v>71144.100000000006</v>
      </c>
      <c r="R35" s="642">
        <v>371</v>
      </c>
      <c r="S35" s="642">
        <v>0</v>
      </c>
      <c r="T35" s="642">
        <v>0</v>
      </c>
      <c r="U35" s="642">
        <v>0</v>
      </c>
      <c r="V35" s="638">
        <v>76.293000000000006</v>
      </c>
      <c r="W35" s="637">
        <v>2144</v>
      </c>
      <c r="X35" s="642">
        <v>1</v>
      </c>
      <c r="Y35" s="642">
        <v>9929</v>
      </c>
      <c r="Z35" s="642">
        <v>120315.6</v>
      </c>
      <c r="AA35" s="636">
        <v>613.79999999999995</v>
      </c>
      <c r="AB35" s="503">
        <f t="shared" si="0"/>
        <v>214809.09700000001</v>
      </c>
    </row>
    <row r="36" spans="2:28">
      <c r="B36" s="478" t="s">
        <v>479</v>
      </c>
      <c r="C36" s="643">
        <v>15335.648999999999</v>
      </c>
      <c r="D36" s="642">
        <v>2557.4859999999999</v>
      </c>
      <c r="E36" s="643">
        <v>0</v>
      </c>
      <c r="F36" s="643" t="s">
        <v>587</v>
      </c>
      <c r="G36" s="643">
        <v>1230.8630000000001</v>
      </c>
      <c r="H36" s="643">
        <v>0</v>
      </c>
      <c r="I36" s="643">
        <v>317.56200000000001</v>
      </c>
      <c r="J36" s="643">
        <v>0</v>
      </c>
      <c r="K36" s="643">
        <v>0</v>
      </c>
      <c r="L36" s="643">
        <v>0</v>
      </c>
      <c r="M36" s="643">
        <v>642.21</v>
      </c>
      <c r="N36" s="643">
        <v>40.734999999999999</v>
      </c>
      <c r="O36" s="643">
        <v>0</v>
      </c>
      <c r="P36" s="642">
        <f t="shared" si="1"/>
        <v>230.35599999999999</v>
      </c>
      <c r="Q36" s="643">
        <v>4308.3</v>
      </c>
      <c r="R36" s="643">
        <v>50</v>
      </c>
      <c r="S36" s="643">
        <v>0</v>
      </c>
      <c r="T36" s="643">
        <v>0</v>
      </c>
      <c r="U36" s="643">
        <v>0</v>
      </c>
      <c r="V36" s="636">
        <v>0</v>
      </c>
      <c r="W36" s="636">
        <v>809</v>
      </c>
      <c r="X36" s="643">
        <v>0</v>
      </c>
      <c r="Y36" s="643">
        <v>116</v>
      </c>
      <c r="Z36" s="643">
        <v>6264</v>
      </c>
      <c r="AA36" s="637">
        <v>0</v>
      </c>
      <c r="AB36" s="503">
        <f t="shared" si="0"/>
        <v>15335.649000000001</v>
      </c>
    </row>
    <row r="37" spans="2:28">
      <c r="B37" s="478" t="s">
        <v>480</v>
      </c>
      <c r="C37" s="642">
        <v>204843.899</v>
      </c>
      <c r="D37" s="643">
        <v>8783.3140000000003</v>
      </c>
      <c r="E37" s="642">
        <v>0</v>
      </c>
      <c r="F37" s="642" t="s">
        <v>587</v>
      </c>
      <c r="G37" s="642">
        <v>7750.8540000000003</v>
      </c>
      <c r="H37" s="642">
        <v>0</v>
      </c>
      <c r="I37" s="642">
        <v>226.83</v>
      </c>
      <c r="J37" s="642">
        <v>0</v>
      </c>
      <c r="K37" s="642">
        <v>0</v>
      </c>
      <c r="L37" s="642">
        <v>0</v>
      </c>
      <c r="M37" s="642">
        <v>6464.9139999999998</v>
      </c>
      <c r="N37" s="642">
        <v>1059.1099999999999</v>
      </c>
      <c r="O37" s="642">
        <v>0</v>
      </c>
      <c r="P37" s="642">
        <f t="shared" si="1"/>
        <v>0</v>
      </c>
      <c r="Q37" s="642">
        <v>110628.9</v>
      </c>
      <c r="R37" s="642">
        <v>695</v>
      </c>
      <c r="S37" s="642">
        <v>0</v>
      </c>
      <c r="T37" s="642">
        <v>0</v>
      </c>
      <c r="U37" s="642">
        <v>0</v>
      </c>
      <c r="V37" s="638">
        <v>25.431000000000001</v>
      </c>
      <c r="W37" s="637">
        <v>1637</v>
      </c>
      <c r="X37" s="642">
        <v>0</v>
      </c>
      <c r="Y37" s="642">
        <v>9825</v>
      </c>
      <c r="Z37" s="642">
        <v>65498.400000000001</v>
      </c>
      <c r="AA37" s="636">
        <v>0</v>
      </c>
      <c r="AB37" s="503">
        <f t="shared" si="0"/>
        <v>204843.899</v>
      </c>
    </row>
    <row r="38" spans="2:28">
      <c r="B38" s="478" t="s">
        <v>481</v>
      </c>
      <c r="C38" s="643">
        <v>237953.03599999999</v>
      </c>
      <c r="D38" s="642">
        <v>15391.97</v>
      </c>
      <c r="E38" s="643">
        <v>0</v>
      </c>
      <c r="F38" s="643" t="s">
        <v>587</v>
      </c>
      <c r="G38" s="643">
        <v>2155.8110000000001</v>
      </c>
      <c r="H38" s="643">
        <v>0</v>
      </c>
      <c r="I38" s="643">
        <v>680.49</v>
      </c>
      <c r="J38" s="643">
        <v>0</v>
      </c>
      <c r="K38" s="643">
        <v>0</v>
      </c>
      <c r="L38" s="643">
        <v>0</v>
      </c>
      <c r="M38" s="643">
        <v>1070.3499999999999</v>
      </c>
      <c r="N38" s="643">
        <v>366.61500000000001</v>
      </c>
      <c r="O38" s="643">
        <v>0</v>
      </c>
      <c r="P38" s="642">
        <f t="shared" si="1"/>
        <v>38.356000000000222</v>
      </c>
      <c r="Q38" s="643">
        <v>86829.3</v>
      </c>
      <c r="R38" s="643">
        <v>924</v>
      </c>
      <c r="S38" s="643">
        <v>0</v>
      </c>
      <c r="T38" s="643">
        <v>0</v>
      </c>
      <c r="U38" s="643">
        <v>0</v>
      </c>
      <c r="V38" s="639">
        <v>127.155</v>
      </c>
      <c r="W38" s="636">
        <v>22533</v>
      </c>
      <c r="X38" s="643">
        <v>5482</v>
      </c>
      <c r="Y38" s="643">
        <v>27747</v>
      </c>
      <c r="Z38" s="643">
        <v>76762.8</v>
      </c>
      <c r="AA38" s="637">
        <v>0</v>
      </c>
      <c r="AB38" s="503">
        <f t="shared" ref="AB38:AB55" si="2">SUM(H38:AA38)+D38</f>
        <v>237953.03599999999</v>
      </c>
    </row>
    <row r="39" spans="2:28" ht="15">
      <c r="B39" s="477" t="s">
        <v>482</v>
      </c>
      <c r="C39" s="642">
        <v>74996.255000000005</v>
      </c>
      <c r="D39" s="643">
        <v>0</v>
      </c>
      <c r="E39" s="642">
        <v>0</v>
      </c>
      <c r="F39" s="642" t="s">
        <v>587</v>
      </c>
      <c r="G39" s="642">
        <v>557.05499999999995</v>
      </c>
      <c r="H39" s="642">
        <v>0</v>
      </c>
      <c r="I39" s="642">
        <v>45.366</v>
      </c>
      <c r="J39" s="642">
        <v>0</v>
      </c>
      <c r="K39" s="642">
        <v>0</v>
      </c>
      <c r="L39" s="642">
        <v>0</v>
      </c>
      <c r="M39" s="642">
        <v>470.95400000000001</v>
      </c>
      <c r="N39" s="642">
        <v>40.734999999999999</v>
      </c>
      <c r="O39" s="642">
        <v>0</v>
      </c>
      <c r="P39" s="642">
        <f t="shared" si="1"/>
        <v>0</v>
      </c>
      <c r="Q39" s="642">
        <v>5130</v>
      </c>
      <c r="R39" s="642">
        <v>11</v>
      </c>
      <c r="S39" s="642">
        <v>0</v>
      </c>
      <c r="T39" s="642">
        <v>0</v>
      </c>
      <c r="U39" s="642">
        <v>0</v>
      </c>
      <c r="V39" s="637">
        <v>0</v>
      </c>
      <c r="W39" s="637">
        <v>50270</v>
      </c>
      <c r="X39" s="642">
        <v>19</v>
      </c>
      <c r="Y39" s="642">
        <v>2838</v>
      </c>
      <c r="Z39" s="642">
        <v>16171.2</v>
      </c>
      <c r="AA39" s="636">
        <v>0</v>
      </c>
      <c r="AB39" s="503">
        <f t="shared" si="2"/>
        <v>74996.255000000005</v>
      </c>
    </row>
    <row r="40" spans="2:28">
      <c r="B40" s="478" t="s">
        <v>483</v>
      </c>
      <c r="C40" s="642">
        <v>21569.934000000001</v>
      </c>
      <c r="D40" s="643">
        <v>253.63200000000001</v>
      </c>
      <c r="E40" s="642">
        <v>0</v>
      </c>
      <c r="F40" s="642" t="s">
        <v>587</v>
      </c>
      <c r="G40" s="642">
        <v>940.30200000000002</v>
      </c>
      <c r="H40" s="642">
        <v>0</v>
      </c>
      <c r="I40" s="642">
        <v>45.366</v>
      </c>
      <c r="J40" s="642">
        <v>0</v>
      </c>
      <c r="K40" s="642">
        <v>0</v>
      </c>
      <c r="L40" s="642">
        <v>0</v>
      </c>
      <c r="M40" s="642">
        <v>813.46600000000001</v>
      </c>
      <c r="N40" s="642">
        <v>81.47</v>
      </c>
      <c r="O40" s="642">
        <v>0</v>
      </c>
      <c r="P40" s="642">
        <f t="shared" si="1"/>
        <v>0</v>
      </c>
      <c r="Q40" s="642">
        <v>9849.6</v>
      </c>
      <c r="R40" s="642">
        <v>0</v>
      </c>
      <c r="S40" s="642">
        <v>0</v>
      </c>
      <c r="T40" s="642">
        <v>0</v>
      </c>
      <c r="U40" s="642">
        <v>0</v>
      </c>
      <c r="V40" s="637">
        <v>0</v>
      </c>
      <c r="W40" s="637">
        <v>96</v>
      </c>
      <c r="X40" s="642">
        <v>0</v>
      </c>
      <c r="Y40" s="642">
        <v>2298</v>
      </c>
      <c r="Z40" s="642">
        <v>8132.4</v>
      </c>
      <c r="AA40" s="636">
        <v>0</v>
      </c>
      <c r="AB40" s="503">
        <f t="shared" si="2"/>
        <v>21569.934000000001</v>
      </c>
    </row>
    <row r="41" spans="2:28">
      <c r="B41" s="478" t="s">
        <v>253</v>
      </c>
      <c r="C41" s="643">
        <v>35077.5</v>
      </c>
      <c r="D41" s="642">
        <v>0</v>
      </c>
      <c r="E41" s="643">
        <v>0</v>
      </c>
      <c r="F41" s="643" t="s">
        <v>587</v>
      </c>
      <c r="G41" s="643">
        <v>0</v>
      </c>
      <c r="H41" s="643">
        <v>0</v>
      </c>
      <c r="I41" s="643">
        <v>0</v>
      </c>
      <c r="J41" s="643">
        <v>0</v>
      </c>
      <c r="K41" s="643">
        <v>0</v>
      </c>
      <c r="L41" s="643">
        <v>0</v>
      </c>
      <c r="M41" s="643">
        <v>0</v>
      </c>
      <c r="N41" s="643">
        <v>0</v>
      </c>
      <c r="O41" s="643">
        <v>0</v>
      </c>
      <c r="P41" s="642">
        <f t="shared" si="1"/>
        <v>0</v>
      </c>
      <c r="Q41" s="643">
        <v>20875.5</v>
      </c>
      <c r="R41" s="643">
        <v>0</v>
      </c>
      <c r="S41" s="643">
        <v>0</v>
      </c>
      <c r="T41" s="643">
        <v>0</v>
      </c>
      <c r="U41" s="643">
        <v>0</v>
      </c>
      <c r="V41" s="636">
        <v>0</v>
      </c>
      <c r="W41" s="636">
        <v>0</v>
      </c>
      <c r="X41" s="643">
        <v>0</v>
      </c>
      <c r="Y41" s="643">
        <v>0</v>
      </c>
      <c r="Z41" s="643">
        <v>14202</v>
      </c>
      <c r="AA41" s="637">
        <v>0</v>
      </c>
      <c r="AB41" s="503">
        <f t="shared" si="2"/>
        <v>35077.5</v>
      </c>
    </row>
    <row r="42" spans="2:28" ht="15">
      <c r="B42" s="477" t="s">
        <v>484</v>
      </c>
      <c r="C42" s="643">
        <v>110016.336</v>
      </c>
      <c r="D42" s="642">
        <v>107.63500000000001</v>
      </c>
      <c r="E42" s="643">
        <v>0</v>
      </c>
      <c r="F42" s="643" t="s">
        <v>587</v>
      </c>
      <c r="G42" s="643">
        <v>8008.9009999999998</v>
      </c>
      <c r="H42" s="643">
        <v>3682.4490000000001</v>
      </c>
      <c r="I42" s="643">
        <v>272.19600000000003</v>
      </c>
      <c r="J42" s="643">
        <v>0</v>
      </c>
      <c r="K42" s="643">
        <v>0</v>
      </c>
      <c r="L42" s="643">
        <v>0</v>
      </c>
      <c r="M42" s="643">
        <v>3896.0740000000001</v>
      </c>
      <c r="N42" s="643">
        <v>81.47</v>
      </c>
      <c r="O42" s="643">
        <v>0</v>
      </c>
      <c r="P42" s="642">
        <f t="shared" si="1"/>
        <v>76.711999999999534</v>
      </c>
      <c r="Q42" s="643">
        <v>27687.599999999999</v>
      </c>
      <c r="R42" s="643">
        <v>58</v>
      </c>
      <c r="S42" s="643">
        <v>0</v>
      </c>
      <c r="T42" s="643">
        <v>0</v>
      </c>
      <c r="U42" s="643">
        <v>0</v>
      </c>
      <c r="V42" s="636">
        <v>0</v>
      </c>
      <c r="W42" s="636">
        <v>5415</v>
      </c>
      <c r="X42" s="643">
        <v>0</v>
      </c>
      <c r="Y42" s="643">
        <v>6650</v>
      </c>
      <c r="Z42" s="643">
        <v>62067.6</v>
      </c>
      <c r="AA42" s="637">
        <v>21.6</v>
      </c>
      <c r="AB42" s="503">
        <f t="shared" si="2"/>
        <v>110016.336</v>
      </c>
    </row>
    <row r="43" spans="2:28" ht="15">
      <c r="B43" s="479" t="s">
        <v>485</v>
      </c>
      <c r="C43" s="641">
        <v>96866</v>
      </c>
      <c r="D43" s="641"/>
      <c r="E43" s="640" t="s">
        <v>450</v>
      </c>
      <c r="F43" s="640" t="s">
        <v>450</v>
      </c>
      <c r="G43" s="641">
        <v>94826.5</v>
      </c>
      <c r="H43" s="640"/>
      <c r="I43" s="640">
        <v>1005.4</v>
      </c>
      <c r="J43" s="640">
        <v>55503.8</v>
      </c>
      <c r="K43" s="640">
        <v>8151.2</v>
      </c>
      <c r="L43" s="640"/>
      <c r="M43" s="640">
        <v>30106.6</v>
      </c>
      <c r="N43" s="640">
        <v>59.5</v>
      </c>
      <c r="O43" s="640"/>
      <c r="P43" s="640"/>
      <c r="Q43" s="641">
        <v>171.8</v>
      </c>
      <c r="R43" s="641"/>
      <c r="S43" s="641"/>
      <c r="T43" s="641"/>
      <c r="U43" s="641"/>
      <c r="V43" s="641"/>
      <c r="W43" s="641"/>
      <c r="X43" s="641"/>
      <c r="Y43" s="640"/>
      <c r="Z43" s="641">
        <v>1734.8</v>
      </c>
      <c r="AA43" s="493">
        <v>124.5</v>
      </c>
      <c r="AB43" s="503">
        <f t="shared" si="2"/>
        <v>96857.600000000006</v>
      </c>
    </row>
    <row r="44" spans="2:28">
      <c r="B44" s="478" t="s">
        <v>486</v>
      </c>
      <c r="C44" s="640">
        <v>85428.3</v>
      </c>
      <c r="D44" s="640"/>
      <c r="E44" s="640" t="s">
        <v>450</v>
      </c>
      <c r="F44" s="640" t="s">
        <v>450</v>
      </c>
      <c r="G44" s="640">
        <v>85276</v>
      </c>
      <c r="H44" s="640"/>
      <c r="I44" s="640">
        <v>1000.7</v>
      </c>
      <c r="J44" s="640">
        <v>55503.8</v>
      </c>
      <c r="K44" s="640"/>
      <c r="L44" s="640"/>
      <c r="M44" s="640">
        <v>28771.5</v>
      </c>
      <c r="N44" s="640"/>
      <c r="O44" s="640"/>
      <c r="P44" s="640"/>
      <c r="Q44" s="640">
        <v>152.30000000000001</v>
      </c>
      <c r="R44" s="640"/>
      <c r="S44" s="640"/>
      <c r="T44" s="640"/>
      <c r="U44" s="640"/>
      <c r="V44" s="640"/>
      <c r="W44" s="640"/>
      <c r="X44" s="640"/>
      <c r="Y44" s="640"/>
      <c r="Z44" s="640"/>
      <c r="AA44" s="492"/>
      <c r="AB44" s="503">
        <f t="shared" si="2"/>
        <v>85428.3</v>
      </c>
    </row>
    <row r="45" spans="2:28" ht="15">
      <c r="B45" s="477" t="s">
        <v>487</v>
      </c>
      <c r="C45" s="640">
        <v>1831.7</v>
      </c>
      <c r="D45" s="640"/>
      <c r="E45" s="640" t="s">
        <v>450</v>
      </c>
      <c r="F45" s="640" t="s">
        <v>450</v>
      </c>
      <c r="G45" s="640">
        <v>277.2</v>
      </c>
      <c r="H45" s="640"/>
      <c r="I45" s="640"/>
      <c r="J45" s="640"/>
      <c r="K45" s="640"/>
      <c r="L45" s="640"/>
      <c r="M45" s="640">
        <v>264.5</v>
      </c>
      <c r="N45" s="640">
        <v>12.7</v>
      </c>
      <c r="O45" s="640"/>
      <c r="P45" s="640"/>
      <c r="Q45" s="640"/>
      <c r="R45" s="640"/>
      <c r="S45" s="640"/>
      <c r="T45" s="640"/>
      <c r="U45" s="640"/>
      <c r="V45" s="640"/>
      <c r="W45" s="640"/>
      <c r="X45" s="640"/>
      <c r="Y45" s="640"/>
      <c r="Z45" s="640">
        <v>1421.6</v>
      </c>
      <c r="AA45" s="492">
        <v>124.5</v>
      </c>
      <c r="AB45" s="503">
        <f t="shared" si="2"/>
        <v>1823.3</v>
      </c>
    </row>
    <row r="46" spans="2:28">
      <c r="B46" s="478" t="s">
        <v>488</v>
      </c>
      <c r="C46" s="640">
        <v>8159.7</v>
      </c>
      <c r="D46" s="640"/>
      <c r="E46" s="640" t="s">
        <v>450</v>
      </c>
      <c r="F46" s="640" t="s">
        <v>450</v>
      </c>
      <c r="G46" s="640">
        <v>8159.7</v>
      </c>
      <c r="H46" s="640"/>
      <c r="I46" s="640"/>
      <c r="J46" s="640"/>
      <c r="K46" s="640">
        <v>8151.2</v>
      </c>
      <c r="L46" s="640"/>
      <c r="M46" s="640">
        <v>8.5</v>
      </c>
      <c r="N46" s="640"/>
      <c r="O46" s="640"/>
      <c r="P46" s="640"/>
      <c r="Q46" s="640"/>
      <c r="R46" s="640"/>
      <c r="S46" s="640"/>
      <c r="T46" s="640"/>
      <c r="U46" s="640"/>
      <c r="V46" s="640"/>
      <c r="W46" s="640"/>
      <c r="X46" s="640"/>
      <c r="Y46" s="640"/>
      <c r="Z46" s="640"/>
      <c r="AA46" s="492"/>
      <c r="AB46" s="503">
        <f t="shared" si="2"/>
        <v>8159.7</v>
      </c>
    </row>
    <row r="47" spans="2:28">
      <c r="B47" s="478" t="s">
        <v>489</v>
      </c>
      <c r="C47" s="640">
        <v>1108.9000000000001</v>
      </c>
      <c r="D47" s="640"/>
      <c r="E47" s="640" t="s">
        <v>450</v>
      </c>
      <c r="F47" s="640" t="s">
        <v>450</v>
      </c>
      <c r="G47" s="640">
        <v>1108.9000000000001</v>
      </c>
      <c r="H47" s="640"/>
      <c r="I47" s="640"/>
      <c r="J47" s="640"/>
      <c r="K47" s="640"/>
      <c r="L47" s="640"/>
      <c r="M47" s="640">
        <v>1062.0999999999999</v>
      </c>
      <c r="N47" s="640">
        <v>46.8</v>
      </c>
      <c r="O47" s="640"/>
      <c r="P47" s="640"/>
      <c r="Q47" s="640"/>
      <c r="R47" s="640"/>
      <c r="S47" s="640"/>
      <c r="T47" s="640"/>
      <c r="U47" s="640"/>
      <c r="V47" s="640"/>
      <c r="W47" s="640"/>
      <c r="X47" s="640"/>
      <c r="Y47" s="640"/>
      <c r="Z47" s="640"/>
      <c r="AA47" s="492"/>
      <c r="AB47" s="503">
        <f t="shared" si="2"/>
        <v>1108.8999999999999</v>
      </c>
    </row>
    <row r="48" spans="2:28">
      <c r="B48" s="494" t="s">
        <v>501</v>
      </c>
      <c r="C48" s="640">
        <v>337.4</v>
      </c>
      <c r="D48" s="640"/>
      <c r="E48" s="640" t="s">
        <v>450</v>
      </c>
      <c r="F48" s="640" t="s">
        <v>450</v>
      </c>
      <c r="G48" s="640">
        <v>4.7</v>
      </c>
      <c r="H48" s="640"/>
      <c r="I48" s="640">
        <v>4.7</v>
      </c>
      <c r="J48" s="640"/>
      <c r="K48" s="640"/>
      <c r="L48" s="640"/>
      <c r="M48" s="640"/>
      <c r="N48" s="640"/>
      <c r="O48" s="640"/>
      <c r="P48" s="640"/>
      <c r="Q48" s="640">
        <v>19.5</v>
      </c>
      <c r="R48" s="640"/>
      <c r="S48" s="640"/>
      <c r="T48" s="640"/>
      <c r="U48" s="640"/>
      <c r="V48" s="640"/>
      <c r="W48" s="640"/>
      <c r="X48" s="640"/>
      <c r="Y48" s="640"/>
      <c r="Z48" s="640">
        <v>313.2</v>
      </c>
      <c r="AA48" s="492"/>
      <c r="AB48" s="503">
        <f t="shared" si="2"/>
        <v>337.4</v>
      </c>
    </row>
    <row r="49" spans="2:28" ht="15">
      <c r="B49" s="480" t="s">
        <v>491</v>
      </c>
      <c r="C49" s="640" t="s">
        <v>450</v>
      </c>
      <c r="D49" s="640"/>
      <c r="E49" s="640" t="s">
        <v>450</v>
      </c>
      <c r="F49" s="640" t="s">
        <v>450</v>
      </c>
      <c r="G49" s="640" t="s">
        <v>450</v>
      </c>
      <c r="H49" s="640"/>
      <c r="I49" s="640"/>
      <c r="J49" s="640"/>
      <c r="K49" s="640"/>
      <c r="L49" s="640"/>
      <c r="M49" s="640"/>
      <c r="N49" s="640"/>
      <c r="O49" s="640"/>
      <c r="P49" s="640"/>
      <c r="Q49" s="640"/>
      <c r="R49" s="640"/>
      <c r="S49" s="640"/>
      <c r="T49" s="640"/>
      <c r="U49" s="640"/>
      <c r="V49" s="640"/>
      <c r="W49" s="640"/>
      <c r="X49" s="640"/>
      <c r="Y49" s="640"/>
      <c r="Z49" s="640"/>
      <c r="AA49" s="492"/>
      <c r="AB49" s="503">
        <f t="shared" si="2"/>
        <v>0</v>
      </c>
    </row>
    <row r="50" spans="2:28" ht="15">
      <c r="B50" s="479" t="s">
        <v>492</v>
      </c>
      <c r="C50" s="641">
        <v>191954.5</v>
      </c>
      <c r="D50" s="641"/>
      <c r="E50" s="640" t="s">
        <v>450</v>
      </c>
      <c r="F50" s="640" t="s">
        <v>450</v>
      </c>
      <c r="G50" s="641">
        <v>15028.6</v>
      </c>
      <c r="H50" s="640"/>
      <c r="I50" s="640">
        <v>967.4</v>
      </c>
      <c r="J50" s="640">
        <v>462.2</v>
      </c>
      <c r="K50" s="640"/>
      <c r="L50" s="640">
        <v>64.599999999999994</v>
      </c>
      <c r="M50" s="640">
        <v>13466.5</v>
      </c>
      <c r="N50" s="640">
        <v>67.900000000000006</v>
      </c>
      <c r="O50" s="640"/>
      <c r="P50" s="640"/>
      <c r="Q50" s="641">
        <v>118203.3</v>
      </c>
      <c r="R50" s="641"/>
      <c r="S50" s="641"/>
      <c r="T50" s="641"/>
      <c r="U50" s="641"/>
      <c r="V50" s="641"/>
      <c r="W50" s="641"/>
      <c r="X50" s="641"/>
      <c r="Y50" s="641">
        <v>5155.8999999999996</v>
      </c>
      <c r="Z50" s="641">
        <v>50307.1</v>
      </c>
      <c r="AA50" s="493">
        <v>5.6</v>
      </c>
      <c r="AB50" s="503">
        <f t="shared" si="2"/>
        <v>188700.5</v>
      </c>
    </row>
    <row r="51" spans="2:28" ht="15">
      <c r="B51" s="477" t="s">
        <v>493</v>
      </c>
      <c r="C51" s="642">
        <v>60755.800999999999</v>
      </c>
      <c r="D51" s="643">
        <v>0</v>
      </c>
      <c r="E51" s="642">
        <v>0</v>
      </c>
      <c r="F51" s="642" t="s">
        <v>587</v>
      </c>
      <c r="G51" s="642">
        <v>0</v>
      </c>
      <c r="H51" s="642">
        <v>0</v>
      </c>
      <c r="I51" s="642">
        <v>0</v>
      </c>
      <c r="J51" s="642">
        <v>0</v>
      </c>
      <c r="K51" s="642">
        <v>0</v>
      </c>
      <c r="L51" s="642">
        <v>0</v>
      </c>
      <c r="M51" s="642">
        <v>0</v>
      </c>
      <c r="N51" s="642">
        <v>0</v>
      </c>
      <c r="O51" s="642">
        <v>0</v>
      </c>
      <c r="P51" s="642">
        <f t="shared" ref="P51" si="3">G51-SUM(H51:O51)</f>
        <v>0</v>
      </c>
      <c r="Q51" s="642">
        <v>13296.6</v>
      </c>
      <c r="R51" s="642">
        <v>22744</v>
      </c>
      <c r="S51" s="642">
        <v>0</v>
      </c>
      <c r="T51" s="642">
        <v>75.06</v>
      </c>
      <c r="U51" s="642">
        <v>0</v>
      </c>
      <c r="V51" s="638">
        <v>279.74099999999999</v>
      </c>
      <c r="W51" s="637">
        <v>4379</v>
      </c>
      <c r="X51" s="642">
        <v>0</v>
      </c>
      <c r="Y51" s="642">
        <v>0</v>
      </c>
      <c r="Z51" s="642">
        <v>19940.400000000001</v>
      </c>
      <c r="AA51" s="636">
        <v>0</v>
      </c>
      <c r="AB51" s="503">
        <f t="shared" si="2"/>
        <v>60714.800999999999</v>
      </c>
    </row>
    <row r="52" spans="2:28">
      <c r="B52" s="478" t="s">
        <v>494</v>
      </c>
      <c r="C52" s="640">
        <v>29320.1</v>
      </c>
      <c r="D52" s="640"/>
      <c r="E52" s="640" t="s">
        <v>450</v>
      </c>
      <c r="F52" s="640" t="s">
        <v>450</v>
      </c>
      <c r="G52" s="640">
        <v>432.6</v>
      </c>
      <c r="H52" s="640"/>
      <c r="I52" s="640">
        <v>99.6</v>
      </c>
      <c r="J52" s="640"/>
      <c r="K52" s="640"/>
      <c r="L52" s="640">
        <v>51.7</v>
      </c>
      <c r="M52" s="640">
        <v>226.1</v>
      </c>
      <c r="N52" s="640">
        <v>55.2</v>
      </c>
      <c r="O52" s="640"/>
      <c r="P52" s="640"/>
      <c r="Q52" s="640">
        <v>8593.2000000000007</v>
      </c>
      <c r="R52" s="640"/>
      <c r="S52" s="640"/>
      <c r="T52" s="640"/>
      <c r="U52" s="640"/>
      <c r="V52" s="640"/>
      <c r="W52" s="640"/>
      <c r="X52" s="640"/>
      <c r="Y52" s="640">
        <v>891</v>
      </c>
      <c r="Z52" s="640">
        <v>18479.5</v>
      </c>
      <c r="AA52" s="492">
        <v>2.8</v>
      </c>
      <c r="AB52" s="503">
        <f t="shared" si="2"/>
        <v>28399.100000000002</v>
      </c>
    </row>
    <row r="53" spans="2:28">
      <c r="B53" s="478" t="s">
        <v>495</v>
      </c>
      <c r="C53" s="640">
        <v>143830.79999999999</v>
      </c>
      <c r="D53" s="640"/>
      <c r="E53" s="640" t="s">
        <v>450</v>
      </c>
      <c r="F53" s="640" t="s">
        <v>450</v>
      </c>
      <c r="G53" s="640">
        <v>1298.5</v>
      </c>
      <c r="H53" s="640"/>
      <c r="I53" s="640">
        <v>863.1</v>
      </c>
      <c r="J53" s="640">
        <v>17.3</v>
      </c>
      <c r="K53" s="640"/>
      <c r="L53" s="640">
        <v>12.9</v>
      </c>
      <c r="M53" s="640">
        <v>405.2</v>
      </c>
      <c r="N53" s="640"/>
      <c r="O53" s="640"/>
      <c r="P53" s="640"/>
      <c r="Q53" s="640">
        <v>107442.3</v>
      </c>
      <c r="R53" s="640"/>
      <c r="S53" s="640"/>
      <c r="T53" s="640"/>
      <c r="U53" s="640"/>
      <c r="V53" s="640"/>
      <c r="W53" s="640"/>
      <c r="X53" s="640"/>
      <c r="Y53" s="640">
        <v>4264.8999999999996</v>
      </c>
      <c r="Z53" s="640">
        <v>28576.400000000001</v>
      </c>
      <c r="AA53" s="492"/>
      <c r="AB53" s="503">
        <f t="shared" si="2"/>
        <v>141582.1</v>
      </c>
    </row>
    <row r="54" spans="2:28">
      <c r="B54" s="478" t="s">
        <v>496</v>
      </c>
      <c r="C54" s="640" t="s">
        <v>450</v>
      </c>
      <c r="D54" s="640"/>
      <c r="E54" s="640" t="s">
        <v>450</v>
      </c>
      <c r="F54" s="640" t="s">
        <v>450</v>
      </c>
      <c r="G54" s="640" t="s">
        <v>450</v>
      </c>
      <c r="H54" s="640"/>
      <c r="I54" s="640"/>
      <c r="J54" s="640"/>
      <c r="K54" s="640"/>
      <c r="L54" s="640"/>
      <c r="M54" s="640"/>
      <c r="N54" s="640"/>
      <c r="O54" s="640"/>
      <c r="P54" s="640"/>
      <c r="Q54" s="640"/>
      <c r="R54" s="640"/>
      <c r="S54" s="640"/>
      <c r="T54" s="640"/>
      <c r="U54" s="640"/>
      <c r="V54" s="640"/>
      <c r="W54" s="640"/>
      <c r="X54" s="640"/>
      <c r="Y54" s="640"/>
      <c r="Z54" s="640"/>
      <c r="AA54" s="492"/>
      <c r="AB54" s="503">
        <f t="shared" si="2"/>
        <v>0</v>
      </c>
    </row>
    <row r="55" spans="2:28" ht="16" thickBot="1">
      <c r="B55" s="481" t="s">
        <v>497</v>
      </c>
      <c r="C55" s="495">
        <v>36357.300000000003</v>
      </c>
      <c r="D55" s="495"/>
      <c r="E55" s="496" t="s">
        <v>450</v>
      </c>
      <c r="F55" s="496" t="s">
        <v>450</v>
      </c>
      <c r="G55" s="495">
        <v>34325.800000000003</v>
      </c>
      <c r="H55" s="496"/>
      <c r="I55" s="496">
        <v>5112.3999999999996</v>
      </c>
      <c r="J55" s="496"/>
      <c r="K55" s="496">
        <v>276.3</v>
      </c>
      <c r="L55" s="496">
        <v>426.3</v>
      </c>
      <c r="M55" s="496">
        <v>76.8</v>
      </c>
      <c r="N55" s="496">
        <v>85</v>
      </c>
      <c r="O55" s="496">
        <v>6727.8</v>
      </c>
      <c r="P55" s="496">
        <v>21621.200000000001</v>
      </c>
      <c r="Q55" s="495">
        <v>1398.3</v>
      </c>
      <c r="R55" s="495"/>
      <c r="S55" s="495"/>
      <c r="T55" s="495"/>
      <c r="U55" s="495"/>
      <c r="V55" s="495"/>
      <c r="W55" s="495"/>
      <c r="X55" s="495"/>
      <c r="Y55" s="496"/>
      <c r="Z55" s="496"/>
      <c r="AA55" s="497">
        <v>633.20000000000005</v>
      </c>
      <c r="AB55" s="503">
        <f t="shared" si="2"/>
        <v>36357.300000000003</v>
      </c>
    </row>
  </sheetData>
  <mergeCells count="13">
    <mergeCell ref="Z4:Z5"/>
    <mergeCell ref="AA4:AA5"/>
    <mergeCell ref="AB4:AB5"/>
    <mergeCell ref="B2:AA2"/>
    <mergeCell ref="B3:AA3"/>
    <mergeCell ref="B4:B5"/>
    <mergeCell ref="C4:C5"/>
    <mergeCell ref="E4:E5"/>
    <mergeCell ref="F4:F5"/>
    <mergeCell ref="G4:G5"/>
    <mergeCell ref="H4:P4"/>
    <mergeCell ref="Q4:Q5"/>
    <mergeCell ref="Y4:Y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788F2-152E-9144-A81D-4B200994DDBE}">
  <dimension ref="A1:AE55"/>
  <sheetViews>
    <sheetView showGridLines="0" tabSelected="1" zoomScaleNormal="100" workbookViewId="0">
      <pane xSplit="3" ySplit="5" topLeftCell="H35" activePane="bottomRight" state="frozen"/>
      <selection activeCell="Q51" sqref="Q51"/>
      <selection pane="topRight" activeCell="Q51" sqref="Q51"/>
      <selection pane="bottomLeft" activeCell="Q51" sqref="Q51"/>
      <selection pane="bottomRight" activeCell="Q51" sqref="Q51"/>
    </sheetView>
  </sheetViews>
  <sheetFormatPr baseColWidth="10" defaultColWidth="9.1640625" defaultRowHeight="14"/>
  <cols>
    <col min="1" max="1" width="8.6640625" style="485" bestFit="1" customWidth="1"/>
    <col min="2" max="2" width="31.5" style="485" bestFit="1" customWidth="1"/>
    <col min="3" max="27" width="11.6640625" style="485" customWidth="1"/>
    <col min="28" max="28" width="12.6640625" style="461" customWidth="1"/>
    <col min="29" max="263" width="9.1640625" style="485"/>
    <col min="264" max="264" width="8.6640625" style="485" bestFit="1" customWidth="1"/>
    <col min="265" max="265" width="31.5" style="485" bestFit="1" customWidth="1"/>
    <col min="266" max="283" width="11.6640625" style="485" customWidth="1"/>
    <col min="284" max="519" width="9.1640625" style="485"/>
    <col min="520" max="520" width="8.6640625" style="485" bestFit="1" customWidth="1"/>
    <col min="521" max="521" width="31.5" style="485" bestFit="1" customWidth="1"/>
    <col min="522" max="539" width="11.6640625" style="485" customWidth="1"/>
    <col min="540" max="775" width="9.1640625" style="485"/>
    <col min="776" max="776" width="8.6640625" style="485" bestFit="1" customWidth="1"/>
    <col min="777" max="777" width="31.5" style="485" bestFit="1" customWidth="1"/>
    <col min="778" max="795" width="11.6640625" style="485" customWidth="1"/>
    <col min="796" max="1031" width="9.1640625" style="485"/>
    <col min="1032" max="1032" width="8.6640625" style="485" bestFit="1" customWidth="1"/>
    <col min="1033" max="1033" width="31.5" style="485" bestFit="1" customWidth="1"/>
    <col min="1034" max="1051" width="11.6640625" style="485" customWidth="1"/>
    <col min="1052" max="1287" width="9.1640625" style="485"/>
    <col min="1288" max="1288" width="8.6640625" style="485" bestFit="1" customWidth="1"/>
    <col min="1289" max="1289" width="31.5" style="485" bestFit="1" customWidth="1"/>
    <col min="1290" max="1307" width="11.6640625" style="485" customWidth="1"/>
    <col min="1308" max="1543" width="9.1640625" style="485"/>
    <col min="1544" max="1544" width="8.6640625" style="485" bestFit="1" customWidth="1"/>
    <col min="1545" max="1545" width="31.5" style="485" bestFit="1" customWidth="1"/>
    <col min="1546" max="1563" width="11.6640625" style="485" customWidth="1"/>
    <col min="1564" max="1799" width="9.1640625" style="485"/>
    <col min="1800" max="1800" width="8.6640625" style="485" bestFit="1" customWidth="1"/>
    <col min="1801" max="1801" width="31.5" style="485" bestFit="1" customWidth="1"/>
    <col min="1802" max="1819" width="11.6640625" style="485" customWidth="1"/>
    <col min="1820" max="2055" width="9.1640625" style="485"/>
    <col min="2056" max="2056" width="8.6640625" style="485" bestFit="1" customWidth="1"/>
    <col min="2057" max="2057" width="31.5" style="485" bestFit="1" customWidth="1"/>
    <col min="2058" max="2075" width="11.6640625" style="485" customWidth="1"/>
    <col min="2076" max="2311" width="9.1640625" style="485"/>
    <col min="2312" max="2312" width="8.6640625" style="485" bestFit="1" customWidth="1"/>
    <col min="2313" max="2313" width="31.5" style="485" bestFit="1" customWidth="1"/>
    <col min="2314" max="2331" width="11.6640625" style="485" customWidth="1"/>
    <col min="2332" max="2567" width="9.1640625" style="485"/>
    <col min="2568" max="2568" width="8.6640625" style="485" bestFit="1" customWidth="1"/>
    <col min="2569" max="2569" width="31.5" style="485" bestFit="1" customWidth="1"/>
    <col min="2570" max="2587" width="11.6640625" style="485" customWidth="1"/>
    <col min="2588" max="2823" width="9.1640625" style="485"/>
    <col min="2824" max="2824" width="8.6640625" style="485" bestFit="1" customWidth="1"/>
    <col min="2825" max="2825" width="31.5" style="485" bestFit="1" customWidth="1"/>
    <col min="2826" max="2843" width="11.6640625" style="485" customWidth="1"/>
    <col min="2844" max="3079" width="9.1640625" style="485"/>
    <col min="3080" max="3080" width="8.6640625" style="485" bestFit="1" customWidth="1"/>
    <col min="3081" max="3081" width="31.5" style="485" bestFit="1" customWidth="1"/>
    <col min="3082" max="3099" width="11.6640625" style="485" customWidth="1"/>
    <col min="3100" max="3335" width="9.1640625" style="485"/>
    <col min="3336" max="3336" width="8.6640625" style="485" bestFit="1" customWidth="1"/>
    <col min="3337" max="3337" width="31.5" style="485" bestFit="1" customWidth="1"/>
    <col min="3338" max="3355" width="11.6640625" style="485" customWidth="1"/>
    <col min="3356" max="3591" width="9.1640625" style="485"/>
    <col min="3592" max="3592" width="8.6640625" style="485" bestFit="1" customWidth="1"/>
    <col min="3593" max="3593" width="31.5" style="485" bestFit="1" customWidth="1"/>
    <col min="3594" max="3611" width="11.6640625" style="485" customWidth="1"/>
    <col min="3612" max="3847" width="9.1640625" style="485"/>
    <col min="3848" max="3848" width="8.6640625" style="485" bestFit="1" customWidth="1"/>
    <col min="3849" max="3849" width="31.5" style="485" bestFit="1" customWidth="1"/>
    <col min="3850" max="3867" width="11.6640625" style="485" customWidth="1"/>
    <col min="3868" max="4103" width="9.1640625" style="485"/>
    <col min="4104" max="4104" width="8.6640625" style="485" bestFit="1" customWidth="1"/>
    <col min="4105" max="4105" width="31.5" style="485" bestFit="1" customWidth="1"/>
    <col min="4106" max="4123" width="11.6640625" style="485" customWidth="1"/>
    <col min="4124" max="4359" width="9.1640625" style="485"/>
    <col min="4360" max="4360" width="8.6640625" style="485" bestFit="1" customWidth="1"/>
    <col min="4361" max="4361" width="31.5" style="485" bestFit="1" customWidth="1"/>
    <col min="4362" max="4379" width="11.6640625" style="485" customWidth="1"/>
    <col min="4380" max="4615" width="9.1640625" style="485"/>
    <col min="4616" max="4616" width="8.6640625" style="485" bestFit="1" customWidth="1"/>
    <col min="4617" max="4617" width="31.5" style="485" bestFit="1" customWidth="1"/>
    <col min="4618" max="4635" width="11.6640625" style="485" customWidth="1"/>
    <col min="4636" max="4871" width="9.1640625" style="485"/>
    <col min="4872" max="4872" width="8.6640625" style="485" bestFit="1" customWidth="1"/>
    <col min="4873" max="4873" width="31.5" style="485" bestFit="1" customWidth="1"/>
    <col min="4874" max="4891" width="11.6640625" style="485" customWidth="1"/>
    <col min="4892" max="5127" width="9.1640625" style="485"/>
    <col min="5128" max="5128" width="8.6640625" style="485" bestFit="1" customWidth="1"/>
    <col min="5129" max="5129" width="31.5" style="485" bestFit="1" customWidth="1"/>
    <col min="5130" max="5147" width="11.6640625" style="485" customWidth="1"/>
    <col min="5148" max="5383" width="9.1640625" style="485"/>
    <col min="5384" max="5384" width="8.6640625" style="485" bestFit="1" customWidth="1"/>
    <col min="5385" max="5385" width="31.5" style="485" bestFit="1" customWidth="1"/>
    <col min="5386" max="5403" width="11.6640625" style="485" customWidth="1"/>
    <col min="5404" max="5639" width="9.1640625" style="485"/>
    <col min="5640" max="5640" width="8.6640625" style="485" bestFit="1" customWidth="1"/>
    <col min="5641" max="5641" width="31.5" style="485" bestFit="1" customWidth="1"/>
    <col min="5642" max="5659" width="11.6640625" style="485" customWidth="1"/>
    <col min="5660" max="5895" width="9.1640625" style="485"/>
    <col min="5896" max="5896" width="8.6640625" style="485" bestFit="1" customWidth="1"/>
    <col min="5897" max="5897" width="31.5" style="485" bestFit="1" customWidth="1"/>
    <col min="5898" max="5915" width="11.6640625" style="485" customWidth="1"/>
    <col min="5916" max="6151" width="9.1640625" style="485"/>
    <col min="6152" max="6152" width="8.6640625" style="485" bestFit="1" customWidth="1"/>
    <col min="6153" max="6153" width="31.5" style="485" bestFit="1" customWidth="1"/>
    <col min="6154" max="6171" width="11.6640625" style="485" customWidth="1"/>
    <col min="6172" max="6407" width="9.1640625" style="485"/>
    <col min="6408" max="6408" width="8.6640625" style="485" bestFit="1" customWidth="1"/>
    <col min="6409" max="6409" width="31.5" style="485" bestFit="1" customWidth="1"/>
    <col min="6410" max="6427" width="11.6640625" style="485" customWidth="1"/>
    <col min="6428" max="6663" width="9.1640625" style="485"/>
    <col min="6664" max="6664" width="8.6640625" style="485" bestFit="1" customWidth="1"/>
    <col min="6665" max="6665" width="31.5" style="485" bestFit="1" customWidth="1"/>
    <col min="6666" max="6683" width="11.6640625" style="485" customWidth="1"/>
    <col min="6684" max="6919" width="9.1640625" style="485"/>
    <col min="6920" max="6920" width="8.6640625" style="485" bestFit="1" customWidth="1"/>
    <col min="6921" max="6921" width="31.5" style="485" bestFit="1" customWidth="1"/>
    <col min="6922" max="6939" width="11.6640625" style="485" customWidth="1"/>
    <col min="6940" max="7175" width="9.1640625" style="485"/>
    <col min="7176" max="7176" width="8.6640625" style="485" bestFit="1" customWidth="1"/>
    <col min="7177" max="7177" width="31.5" style="485" bestFit="1" customWidth="1"/>
    <col min="7178" max="7195" width="11.6640625" style="485" customWidth="1"/>
    <col min="7196" max="7431" width="9.1640625" style="485"/>
    <col min="7432" max="7432" width="8.6640625" style="485" bestFit="1" customWidth="1"/>
    <col min="7433" max="7433" width="31.5" style="485" bestFit="1" customWidth="1"/>
    <col min="7434" max="7451" width="11.6640625" style="485" customWidth="1"/>
    <col min="7452" max="7687" width="9.1640625" style="485"/>
    <col min="7688" max="7688" width="8.6640625" style="485" bestFit="1" customWidth="1"/>
    <col min="7689" max="7689" width="31.5" style="485" bestFit="1" customWidth="1"/>
    <col min="7690" max="7707" width="11.6640625" style="485" customWidth="1"/>
    <col min="7708" max="7943" width="9.1640625" style="485"/>
    <col min="7944" max="7944" width="8.6640625" style="485" bestFit="1" customWidth="1"/>
    <col min="7945" max="7945" width="31.5" style="485" bestFit="1" customWidth="1"/>
    <col min="7946" max="7963" width="11.6640625" style="485" customWidth="1"/>
    <col min="7964" max="8199" width="9.1640625" style="485"/>
    <col min="8200" max="8200" width="8.6640625" style="485" bestFit="1" customWidth="1"/>
    <col min="8201" max="8201" width="31.5" style="485" bestFit="1" customWidth="1"/>
    <col min="8202" max="8219" width="11.6640625" style="485" customWidth="1"/>
    <col min="8220" max="8455" width="9.1640625" style="485"/>
    <col min="8456" max="8456" width="8.6640625" style="485" bestFit="1" customWidth="1"/>
    <col min="8457" max="8457" width="31.5" style="485" bestFit="1" customWidth="1"/>
    <col min="8458" max="8475" width="11.6640625" style="485" customWidth="1"/>
    <col min="8476" max="8711" width="9.1640625" style="485"/>
    <col min="8712" max="8712" width="8.6640625" style="485" bestFit="1" customWidth="1"/>
    <col min="8713" max="8713" width="31.5" style="485" bestFit="1" customWidth="1"/>
    <col min="8714" max="8731" width="11.6640625" style="485" customWidth="1"/>
    <col min="8732" max="8967" width="9.1640625" style="485"/>
    <col min="8968" max="8968" width="8.6640625" style="485" bestFit="1" customWidth="1"/>
    <col min="8969" max="8969" width="31.5" style="485" bestFit="1" customWidth="1"/>
    <col min="8970" max="8987" width="11.6640625" style="485" customWidth="1"/>
    <col min="8988" max="9223" width="9.1640625" style="485"/>
    <col min="9224" max="9224" width="8.6640625" style="485" bestFit="1" customWidth="1"/>
    <col min="9225" max="9225" width="31.5" style="485" bestFit="1" customWidth="1"/>
    <col min="9226" max="9243" width="11.6640625" style="485" customWidth="1"/>
    <col min="9244" max="9479" width="9.1640625" style="485"/>
    <col min="9480" max="9480" width="8.6640625" style="485" bestFit="1" customWidth="1"/>
    <col min="9481" max="9481" width="31.5" style="485" bestFit="1" customWidth="1"/>
    <col min="9482" max="9499" width="11.6640625" style="485" customWidth="1"/>
    <col min="9500" max="9735" width="9.1640625" style="485"/>
    <col min="9736" max="9736" width="8.6640625" style="485" bestFit="1" customWidth="1"/>
    <col min="9737" max="9737" width="31.5" style="485" bestFit="1" customWidth="1"/>
    <col min="9738" max="9755" width="11.6640625" style="485" customWidth="1"/>
    <col min="9756" max="9991" width="9.1640625" style="485"/>
    <col min="9992" max="9992" width="8.6640625" style="485" bestFit="1" customWidth="1"/>
    <col min="9993" max="9993" width="31.5" style="485" bestFit="1" customWidth="1"/>
    <col min="9994" max="10011" width="11.6640625" style="485" customWidth="1"/>
    <col min="10012" max="10247" width="9.1640625" style="485"/>
    <col min="10248" max="10248" width="8.6640625" style="485" bestFit="1" customWidth="1"/>
    <col min="10249" max="10249" width="31.5" style="485" bestFit="1" customWidth="1"/>
    <col min="10250" max="10267" width="11.6640625" style="485" customWidth="1"/>
    <col min="10268" max="10503" width="9.1640625" style="485"/>
    <col min="10504" max="10504" width="8.6640625" style="485" bestFit="1" customWidth="1"/>
    <col min="10505" max="10505" width="31.5" style="485" bestFit="1" customWidth="1"/>
    <col min="10506" max="10523" width="11.6640625" style="485" customWidth="1"/>
    <col min="10524" max="10759" width="9.1640625" style="485"/>
    <col min="10760" max="10760" width="8.6640625" style="485" bestFit="1" customWidth="1"/>
    <col min="10761" max="10761" width="31.5" style="485" bestFit="1" customWidth="1"/>
    <col min="10762" max="10779" width="11.6640625" style="485" customWidth="1"/>
    <col min="10780" max="11015" width="9.1640625" style="485"/>
    <col min="11016" max="11016" width="8.6640625" style="485" bestFit="1" customWidth="1"/>
    <col min="11017" max="11017" width="31.5" style="485" bestFit="1" customWidth="1"/>
    <col min="11018" max="11035" width="11.6640625" style="485" customWidth="1"/>
    <col min="11036" max="11271" width="9.1640625" style="485"/>
    <col min="11272" max="11272" width="8.6640625" style="485" bestFit="1" customWidth="1"/>
    <col min="11273" max="11273" width="31.5" style="485" bestFit="1" customWidth="1"/>
    <col min="11274" max="11291" width="11.6640625" style="485" customWidth="1"/>
    <col min="11292" max="11527" width="9.1640625" style="485"/>
    <col min="11528" max="11528" width="8.6640625" style="485" bestFit="1" customWidth="1"/>
    <col min="11529" max="11529" width="31.5" style="485" bestFit="1" customWidth="1"/>
    <col min="11530" max="11547" width="11.6640625" style="485" customWidth="1"/>
    <col min="11548" max="11783" width="9.1640625" style="485"/>
    <col min="11784" max="11784" width="8.6640625" style="485" bestFit="1" customWidth="1"/>
    <col min="11785" max="11785" width="31.5" style="485" bestFit="1" customWidth="1"/>
    <col min="11786" max="11803" width="11.6640625" style="485" customWidth="1"/>
    <col min="11804" max="12039" width="9.1640625" style="485"/>
    <col min="12040" max="12040" width="8.6640625" style="485" bestFit="1" customWidth="1"/>
    <col min="12041" max="12041" width="31.5" style="485" bestFit="1" customWidth="1"/>
    <col min="12042" max="12059" width="11.6640625" style="485" customWidth="1"/>
    <col min="12060" max="12295" width="9.1640625" style="485"/>
    <col min="12296" max="12296" width="8.6640625" style="485" bestFit="1" customWidth="1"/>
    <col min="12297" max="12297" width="31.5" style="485" bestFit="1" customWidth="1"/>
    <col min="12298" max="12315" width="11.6640625" style="485" customWidth="1"/>
    <col min="12316" max="12551" width="9.1640625" style="485"/>
    <col min="12552" max="12552" width="8.6640625" style="485" bestFit="1" customWidth="1"/>
    <col min="12553" max="12553" width="31.5" style="485" bestFit="1" customWidth="1"/>
    <col min="12554" max="12571" width="11.6640625" style="485" customWidth="1"/>
    <col min="12572" max="12807" width="9.1640625" style="485"/>
    <col min="12808" max="12808" width="8.6640625" style="485" bestFit="1" customWidth="1"/>
    <col min="12809" max="12809" width="31.5" style="485" bestFit="1" customWidth="1"/>
    <col min="12810" max="12827" width="11.6640625" style="485" customWidth="1"/>
    <col min="12828" max="13063" width="9.1640625" style="485"/>
    <col min="13064" max="13064" width="8.6640625" style="485" bestFit="1" customWidth="1"/>
    <col min="13065" max="13065" width="31.5" style="485" bestFit="1" customWidth="1"/>
    <col min="13066" max="13083" width="11.6640625" style="485" customWidth="1"/>
    <col min="13084" max="13319" width="9.1640625" style="485"/>
    <col min="13320" max="13320" width="8.6640625" style="485" bestFit="1" customWidth="1"/>
    <col min="13321" max="13321" width="31.5" style="485" bestFit="1" customWidth="1"/>
    <col min="13322" max="13339" width="11.6640625" style="485" customWidth="1"/>
    <col min="13340" max="13575" width="9.1640625" style="485"/>
    <col min="13576" max="13576" width="8.6640625" style="485" bestFit="1" customWidth="1"/>
    <col min="13577" max="13577" width="31.5" style="485" bestFit="1" customWidth="1"/>
    <col min="13578" max="13595" width="11.6640625" style="485" customWidth="1"/>
    <col min="13596" max="13831" width="9.1640625" style="485"/>
    <col min="13832" max="13832" width="8.6640625" style="485" bestFit="1" customWidth="1"/>
    <col min="13833" max="13833" width="31.5" style="485" bestFit="1" customWidth="1"/>
    <col min="13834" max="13851" width="11.6640625" style="485" customWidth="1"/>
    <col min="13852" max="14087" width="9.1640625" style="485"/>
    <col min="14088" max="14088" width="8.6640625" style="485" bestFit="1" customWidth="1"/>
    <col min="14089" max="14089" width="31.5" style="485" bestFit="1" customWidth="1"/>
    <col min="14090" max="14107" width="11.6640625" style="485" customWidth="1"/>
    <col min="14108" max="14343" width="9.1640625" style="485"/>
    <col min="14344" max="14344" width="8.6640625" style="485" bestFit="1" customWidth="1"/>
    <col min="14345" max="14345" width="31.5" style="485" bestFit="1" customWidth="1"/>
    <col min="14346" max="14363" width="11.6640625" style="485" customWidth="1"/>
    <col min="14364" max="14599" width="9.1640625" style="485"/>
    <col min="14600" max="14600" width="8.6640625" style="485" bestFit="1" customWidth="1"/>
    <col min="14601" max="14601" width="31.5" style="485" bestFit="1" customWidth="1"/>
    <col min="14602" max="14619" width="11.6640625" style="485" customWidth="1"/>
    <col min="14620" max="14855" width="9.1640625" style="485"/>
    <col min="14856" max="14856" width="8.6640625" style="485" bestFit="1" customWidth="1"/>
    <col min="14857" max="14857" width="31.5" style="485" bestFit="1" customWidth="1"/>
    <col min="14858" max="14875" width="11.6640625" style="485" customWidth="1"/>
    <col min="14876" max="15111" width="9.1640625" style="485"/>
    <col min="15112" max="15112" width="8.6640625" style="485" bestFit="1" customWidth="1"/>
    <col min="15113" max="15113" width="31.5" style="485" bestFit="1" customWidth="1"/>
    <col min="15114" max="15131" width="11.6640625" style="485" customWidth="1"/>
    <col min="15132" max="15367" width="9.1640625" style="485"/>
    <col min="15368" max="15368" width="8.6640625" style="485" bestFit="1" customWidth="1"/>
    <col min="15369" max="15369" width="31.5" style="485" bestFit="1" customWidth="1"/>
    <col min="15370" max="15387" width="11.6640625" style="485" customWidth="1"/>
    <col min="15388" max="15623" width="9.1640625" style="485"/>
    <col min="15624" max="15624" width="8.6640625" style="485" bestFit="1" customWidth="1"/>
    <col min="15625" max="15625" width="31.5" style="485" bestFit="1" customWidth="1"/>
    <col min="15626" max="15643" width="11.6640625" style="485" customWidth="1"/>
    <col min="15644" max="15879" width="9.1640625" style="485"/>
    <col min="15880" max="15880" width="8.6640625" style="485" bestFit="1" customWidth="1"/>
    <col min="15881" max="15881" width="31.5" style="485" bestFit="1" customWidth="1"/>
    <col min="15882" max="15899" width="11.6640625" style="485" customWidth="1"/>
    <col min="15900" max="16135" width="9.1640625" style="485"/>
    <col min="16136" max="16136" width="8.6640625" style="485" bestFit="1" customWidth="1"/>
    <col min="16137" max="16137" width="31.5" style="485" bestFit="1" customWidth="1"/>
    <col min="16138" max="16155" width="11.6640625" style="485" customWidth="1"/>
    <col min="16156" max="16384" width="9.1640625" style="485"/>
  </cols>
  <sheetData>
    <row r="1" spans="2:28" s="461" customFormat="1" ht="46" thickBot="1">
      <c r="D1" s="461" t="s">
        <v>55</v>
      </c>
      <c r="H1" s="461" t="s">
        <v>594</v>
      </c>
      <c r="I1" s="461" t="s">
        <v>53</v>
      </c>
      <c r="J1" s="461" t="s">
        <v>79</v>
      </c>
      <c r="M1" s="461" t="s">
        <v>68</v>
      </c>
      <c r="N1" s="461" t="s">
        <v>54</v>
      </c>
      <c r="P1" s="627" t="s">
        <v>448</v>
      </c>
      <c r="Q1" s="461" t="s">
        <v>51</v>
      </c>
      <c r="R1" s="631" t="s">
        <v>77</v>
      </c>
      <c r="S1" s="631" t="s">
        <v>589</v>
      </c>
      <c r="T1" s="631" t="s">
        <v>590</v>
      </c>
      <c r="U1" s="631" t="s">
        <v>597</v>
      </c>
      <c r="V1" s="631" t="s">
        <v>591</v>
      </c>
      <c r="W1" s="631" t="s">
        <v>78</v>
      </c>
      <c r="X1" s="631" t="s">
        <v>80</v>
      </c>
      <c r="Y1" s="461" t="s">
        <v>52</v>
      </c>
      <c r="Z1" s="461" t="s">
        <v>50</v>
      </c>
      <c r="AA1" s="630" t="s">
        <v>595</v>
      </c>
      <c r="AB1" s="461" t="s">
        <v>57</v>
      </c>
    </row>
    <row r="2" spans="2:28">
      <c r="B2" s="669" t="s">
        <v>580</v>
      </c>
      <c r="C2" s="669"/>
      <c r="D2" s="669"/>
      <c r="E2" s="669"/>
      <c r="F2" s="669"/>
      <c r="G2" s="669"/>
      <c r="H2" s="669"/>
      <c r="I2" s="669"/>
      <c r="J2" s="669"/>
      <c r="K2" s="669"/>
      <c r="L2" s="669"/>
      <c r="M2" s="669"/>
      <c r="N2" s="669"/>
      <c r="O2" s="669"/>
      <c r="P2" s="669"/>
      <c r="Q2" s="669"/>
      <c r="R2" s="669"/>
      <c r="S2" s="669"/>
      <c r="T2" s="669"/>
      <c r="U2" s="669"/>
      <c r="V2" s="669"/>
      <c r="W2" s="669"/>
      <c r="X2" s="669"/>
      <c r="Y2" s="669"/>
      <c r="Z2" s="669"/>
      <c r="AA2" s="669"/>
    </row>
    <row r="3" spans="2:28" ht="15" thickBot="1">
      <c r="B3" s="670" t="s">
        <v>430</v>
      </c>
      <c r="C3" s="670"/>
      <c r="D3" s="670"/>
      <c r="E3" s="670"/>
      <c r="F3" s="670"/>
      <c r="G3" s="670"/>
      <c r="H3" s="670"/>
      <c r="I3" s="670"/>
      <c r="J3" s="670"/>
      <c r="K3" s="670"/>
      <c r="L3" s="670"/>
      <c r="M3" s="670"/>
      <c r="N3" s="670"/>
      <c r="O3" s="670"/>
      <c r="P3" s="670"/>
      <c r="Q3" s="670"/>
      <c r="R3" s="670"/>
      <c r="S3" s="670"/>
      <c r="T3" s="670"/>
      <c r="U3" s="670"/>
      <c r="V3" s="670"/>
      <c r="W3" s="670"/>
      <c r="X3" s="670"/>
      <c r="Y3" s="670"/>
      <c r="Z3" s="670"/>
      <c r="AA3" s="670"/>
      <c r="AB3" s="462"/>
    </row>
    <row r="4" spans="2:28" s="499" customFormat="1" ht="18.75" customHeight="1">
      <c r="B4" s="687"/>
      <c r="C4" s="673" t="s">
        <v>431</v>
      </c>
      <c r="D4" s="625"/>
      <c r="E4" s="673" t="s">
        <v>432</v>
      </c>
      <c r="F4" s="673" t="s">
        <v>433</v>
      </c>
      <c r="G4" s="673" t="s">
        <v>434</v>
      </c>
      <c r="H4" s="689" t="s">
        <v>435</v>
      </c>
      <c r="I4" s="690"/>
      <c r="J4" s="690"/>
      <c r="K4" s="690"/>
      <c r="L4" s="690"/>
      <c r="M4" s="690"/>
      <c r="N4" s="690"/>
      <c r="O4" s="690"/>
      <c r="P4" s="691"/>
      <c r="Q4" s="673" t="s">
        <v>436</v>
      </c>
      <c r="Y4" s="673" t="s">
        <v>438</v>
      </c>
      <c r="Z4" s="673" t="s">
        <v>439</v>
      </c>
      <c r="AA4" s="685" t="s">
        <v>593</v>
      </c>
      <c r="AB4" s="685" t="s">
        <v>57</v>
      </c>
    </row>
    <row r="5" spans="2:28" s="462" customFormat="1" ht="50.25" customHeight="1" thickBot="1">
      <c r="B5" s="688"/>
      <c r="C5" s="674"/>
      <c r="D5" s="626" t="s">
        <v>586</v>
      </c>
      <c r="E5" s="674"/>
      <c r="F5" s="674"/>
      <c r="G5" s="674"/>
      <c r="H5" s="627" t="s">
        <v>440</v>
      </c>
      <c r="I5" s="627" t="s">
        <v>441</v>
      </c>
      <c r="J5" s="627" t="s">
        <v>442</v>
      </c>
      <c r="K5" s="627" t="s">
        <v>443</v>
      </c>
      <c r="L5" s="627" t="s">
        <v>444</v>
      </c>
      <c r="M5" s="627" t="s">
        <v>445</v>
      </c>
      <c r="N5" s="624" t="s">
        <v>500</v>
      </c>
      <c r="O5" s="627" t="s">
        <v>447</v>
      </c>
      <c r="P5" s="627" t="s">
        <v>448</v>
      </c>
      <c r="Q5" s="674"/>
      <c r="R5" s="631" t="s">
        <v>77</v>
      </c>
      <c r="S5" s="631" t="s">
        <v>589</v>
      </c>
      <c r="T5" s="631" t="s">
        <v>590</v>
      </c>
      <c r="U5" s="631" t="s">
        <v>597</v>
      </c>
      <c r="V5" s="631" t="s">
        <v>591</v>
      </c>
      <c r="W5" s="631" t="s">
        <v>78</v>
      </c>
      <c r="X5" s="631" t="s">
        <v>80</v>
      </c>
      <c r="Y5" s="674"/>
      <c r="Z5" s="674"/>
      <c r="AA5" s="686"/>
      <c r="AB5" s="686"/>
    </row>
    <row r="6" spans="2:28" ht="15">
      <c r="B6" s="463" t="s">
        <v>449</v>
      </c>
      <c r="C6" s="654">
        <v>2584672.0999999996</v>
      </c>
      <c r="D6" s="654"/>
      <c r="E6" s="654">
        <v>1616076.7</v>
      </c>
      <c r="F6" s="654" t="s">
        <v>450</v>
      </c>
      <c r="G6" s="654" t="s">
        <v>450</v>
      </c>
      <c r="H6" s="654" t="s">
        <v>450</v>
      </c>
      <c r="I6" s="654" t="s">
        <v>450</v>
      </c>
      <c r="J6" s="654" t="s">
        <v>450</v>
      </c>
      <c r="K6" s="654" t="s">
        <v>450</v>
      </c>
      <c r="L6" s="654" t="s">
        <v>450</v>
      </c>
      <c r="M6" s="654" t="s">
        <v>450</v>
      </c>
      <c r="N6" s="654" t="s">
        <v>450</v>
      </c>
      <c r="O6" s="654" t="s">
        <v>450</v>
      </c>
      <c r="P6" s="654" t="s">
        <v>450</v>
      </c>
      <c r="Q6" s="654">
        <v>957528.6</v>
      </c>
      <c r="R6" s="654"/>
      <c r="S6" s="654"/>
      <c r="T6" s="654"/>
      <c r="U6" s="654"/>
      <c r="V6" s="654"/>
      <c r="W6" s="654"/>
      <c r="X6" s="654"/>
      <c r="Y6" s="654" t="s">
        <v>450</v>
      </c>
      <c r="Z6" s="654" t="s">
        <v>450</v>
      </c>
      <c r="AA6" s="653" t="s">
        <v>450</v>
      </c>
      <c r="AB6" s="503">
        <f t="shared" ref="AB6:AB37" si="0">SUM(H6:AA6)+D6</f>
        <v>957528.6</v>
      </c>
    </row>
    <row r="7" spans="2:28">
      <c r="B7" s="466" t="s">
        <v>451</v>
      </c>
      <c r="C7" s="648">
        <v>12678.1</v>
      </c>
      <c r="D7" s="648"/>
      <c r="E7" s="648" t="s">
        <v>450</v>
      </c>
      <c r="F7" s="648" t="s">
        <v>450</v>
      </c>
      <c r="G7" s="648">
        <v>11999.1</v>
      </c>
      <c r="H7" s="648" t="s">
        <v>450</v>
      </c>
      <c r="I7" s="648">
        <v>52.1</v>
      </c>
      <c r="J7" s="648">
        <v>7343.5</v>
      </c>
      <c r="K7" s="648">
        <v>2884</v>
      </c>
      <c r="L7" s="648">
        <v>189.4</v>
      </c>
      <c r="M7" s="648">
        <v>21.3</v>
      </c>
      <c r="N7" s="648" t="s">
        <v>450</v>
      </c>
      <c r="O7" s="648">
        <v>4.0999999999999996</v>
      </c>
      <c r="P7" s="648">
        <v>1504.7</v>
      </c>
      <c r="Q7" s="648" t="s">
        <v>450</v>
      </c>
      <c r="R7" s="648"/>
      <c r="S7" s="648"/>
      <c r="T7" s="648"/>
      <c r="U7" s="648"/>
      <c r="V7" s="648"/>
      <c r="W7" s="648"/>
      <c r="X7" s="648"/>
      <c r="Y7" s="648" t="s">
        <v>450</v>
      </c>
      <c r="Z7" s="648">
        <v>492.8</v>
      </c>
      <c r="AA7" s="647">
        <v>186.2</v>
      </c>
      <c r="AB7" s="503">
        <f t="shared" si="0"/>
        <v>12678.1</v>
      </c>
    </row>
    <row r="8" spans="2:28">
      <c r="B8" s="466" t="s">
        <v>452</v>
      </c>
      <c r="C8" s="648">
        <v>-1861834.3</v>
      </c>
      <c r="D8" s="648"/>
      <c r="E8" s="648">
        <v>-1346170.4</v>
      </c>
      <c r="F8" s="648" t="s">
        <v>450</v>
      </c>
      <c r="G8" s="648">
        <v>-48099.7</v>
      </c>
      <c r="H8" s="648" t="s">
        <v>450</v>
      </c>
      <c r="I8" s="648">
        <v>-2499.3000000000002</v>
      </c>
      <c r="J8" s="648" t="s">
        <v>450</v>
      </c>
      <c r="K8" s="648">
        <v>-5163.6000000000004</v>
      </c>
      <c r="L8" s="648" t="s">
        <v>450</v>
      </c>
      <c r="M8" s="648">
        <v>-32461.200000000001</v>
      </c>
      <c r="N8" s="648">
        <v>-8.5</v>
      </c>
      <c r="O8" s="648">
        <v>-495.5</v>
      </c>
      <c r="P8" s="648">
        <v>-7471.6</v>
      </c>
      <c r="Q8" s="648">
        <v>-462197</v>
      </c>
      <c r="R8" s="648"/>
      <c r="S8" s="648"/>
      <c r="T8" s="648"/>
      <c r="U8" s="648"/>
      <c r="V8" s="648"/>
      <c r="W8" s="648"/>
      <c r="X8" s="648"/>
      <c r="Y8" s="648" t="s">
        <v>450</v>
      </c>
      <c r="Z8" s="648">
        <v>-5367.2</v>
      </c>
      <c r="AA8" s="647" t="s">
        <v>450</v>
      </c>
      <c r="AB8" s="503">
        <f t="shared" si="0"/>
        <v>-515663.9</v>
      </c>
    </row>
    <row r="9" spans="2:28" ht="15">
      <c r="B9" s="468" t="s">
        <v>453</v>
      </c>
      <c r="C9" s="648">
        <v>-14818.8</v>
      </c>
      <c r="D9" s="648"/>
      <c r="E9" s="648" t="s">
        <v>450</v>
      </c>
      <c r="F9" s="648" t="s">
        <v>450</v>
      </c>
      <c r="G9" s="648">
        <v>-14818.8</v>
      </c>
      <c r="H9" s="648" t="s">
        <v>450</v>
      </c>
      <c r="I9" s="648" t="s">
        <v>450</v>
      </c>
      <c r="J9" s="648" t="s">
        <v>450</v>
      </c>
      <c r="K9" s="648">
        <v>-13513.5</v>
      </c>
      <c r="L9" s="648" t="s">
        <v>450</v>
      </c>
      <c r="M9" s="648">
        <v>-1305.3</v>
      </c>
      <c r="N9" s="648" t="s">
        <v>450</v>
      </c>
      <c r="O9" s="648" t="s">
        <v>450</v>
      </c>
      <c r="P9" s="648" t="s">
        <v>450</v>
      </c>
      <c r="Q9" s="648" t="s">
        <v>450</v>
      </c>
      <c r="R9" s="648"/>
      <c r="S9" s="648"/>
      <c r="T9" s="648"/>
      <c r="U9" s="648"/>
      <c r="V9" s="648"/>
      <c r="W9" s="648"/>
      <c r="X9" s="648"/>
      <c r="Y9" s="648" t="s">
        <v>450</v>
      </c>
      <c r="Z9" s="648" t="s">
        <v>450</v>
      </c>
      <c r="AA9" s="647" t="s">
        <v>450</v>
      </c>
      <c r="AB9" s="503">
        <f t="shared" si="0"/>
        <v>-14818.8</v>
      </c>
    </row>
    <row r="10" spans="2:28">
      <c r="B10" s="469" t="s">
        <v>454</v>
      </c>
      <c r="C10" s="648">
        <v>-1305.3</v>
      </c>
      <c r="D10" s="648"/>
      <c r="E10" s="648" t="s">
        <v>450</v>
      </c>
      <c r="F10" s="648" t="s">
        <v>450</v>
      </c>
      <c r="G10" s="648">
        <v>-1305.3</v>
      </c>
      <c r="H10" s="648" t="s">
        <v>450</v>
      </c>
      <c r="I10" s="648" t="s">
        <v>450</v>
      </c>
      <c r="J10" s="648" t="s">
        <v>450</v>
      </c>
      <c r="K10" s="648" t="s">
        <v>450</v>
      </c>
      <c r="L10" s="648" t="s">
        <v>450</v>
      </c>
      <c r="M10" s="648">
        <v>-1305.3</v>
      </c>
      <c r="N10" s="648" t="s">
        <v>450</v>
      </c>
      <c r="O10" s="648" t="s">
        <v>450</v>
      </c>
      <c r="P10" s="648" t="s">
        <v>450</v>
      </c>
      <c r="Q10" s="648" t="s">
        <v>450</v>
      </c>
      <c r="R10" s="648"/>
      <c r="S10" s="648"/>
      <c r="T10" s="648"/>
      <c r="U10" s="648"/>
      <c r="V10" s="648"/>
      <c r="W10" s="648"/>
      <c r="X10" s="648"/>
      <c r="Y10" s="648" t="s">
        <v>450</v>
      </c>
      <c r="Z10" s="648" t="s">
        <v>450</v>
      </c>
      <c r="AA10" s="647" t="s">
        <v>450</v>
      </c>
      <c r="AB10" s="503">
        <f t="shared" si="0"/>
        <v>-1305.3</v>
      </c>
    </row>
    <row r="11" spans="2:28">
      <c r="B11" s="469" t="s">
        <v>455</v>
      </c>
      <c r="C11" s="648">
        <v>-13513.5</v>
      </c>
      <c r="D11" s="648"/>
      <c r="E11" s="648" t="s">
        <v>450</v>
      </c>
      <c r="F11" s="648" t="s">
        <v>450</v>
      </c>
      <c r="G11" s="648">
        <v>-13513.5</v>
      </c>
      <c r="H11" s="648" t="s">
        <v>450</v>
      </c>
      <c r="I11" s="648" t="s">
        <v>450</v>
      </c>
      <c r="J11" s="648" t="s">
        <v>450</v>
      </c>
      <c r="K11" s="648">
        <v>-13513.5</v>
      </c>
      <c r="L11" s="648" t="s">
        <v>450</v>
      </c>
      <c r="M11" s="648" t="s">
        <v>450</v>
      </c>
      <c r="N11" s="648" t="s">
        <v>450</v>
      </c>
      <c r="O11" s="648" t="s">
        <v>450</v>
      </c>
      <c r="P11" s="648" t="s">
        <v>450</v>
      </c>
      <c r="Q11" s="648" t="s">
        <v>450</v>
      </c>
      <c r="R11" s="648"/>
      <c r="S11" s="648"/>
      <c r="T11" s="648"/>
      <c r="U11" s="648"/>
      <c r="V11" s="648"/>
      <c r="W11" s="648"/>
      <c r="X11" s="648"/>
      <c r="Y11" s="648" t="s">
        <v>450</v>
      </c>
      <c r="Z11" s="648" t="s">
        <v>450</v>
      </c>
      <c r="AA11" s="647" t="s">
        <v>450</v>
      </c>
      <c r="AB11" s="503">
        <f t="shared" si="0"/>
        <v>-13513.5</v>
      </c>
    </row>
    <row r="12" spans="2:28">
      <c r="B12" s="470" t="s">
        <v>456</v>
      </c>
      <c r="C12" s="648">
        <v>-7141.9000000000005</v>
      </c>
      <c r="D12" s="648"/>
      <c r="E12" s="648">
        <v>-758.4</v>
      </c>
      <c r="F12" s="648" t="s">
        <v>450</v>
      </c>
      <c r="G12" s="648">
        <v>-1403.8000000000002</v>
      </c>
      <c r="H12" s="648" t="s">
        <v>450</v>
      </c>
      <c r="I12" s="648">
        <v>464.7</v>
      </c>
      <c r="J12" s="648">
        <v>1114.5</v>
      </c>
      <c r="K12" s="648">
        <v>-25.9</v>
      </c>
      <c r="L12" s="648" t="s">
        <v>450</v>
      </c>
      <c r="M12" s="648">
        <v>170.6</v>
      </c>
      <c r="N12" s="648">
        <v>-2081.5</v>
      </c>
      <c r="O12" s="648">
        <v>-200.6</v>
      </c>
      <c r="P12" s="648">
        <v>-845.6</v>
      </c>
      <c r="Q12" s="648">
        <v>-4948.8999999999996</v>
      </c>
      <c r="R12" s="648"/>
      <c r="S12" s="648"/>
      <c r="T12" s="648"/>
      <c r="U12" s="648"/>
      <c r="V12" s="648"/>
      <c r="W12" s="648"/>
      <c r="X12" s="648"/>
      <c r="Y12" s="648" t="s">
        <v>450</v>
      </c>
      <c r="Z12" s="648" t="s">
        <v>450</v>
      </c>
      <c r="AA12" s="647">
        <v>2.8</v>
      </c>
      <c r="AB12" s="503">
        <f t="shared" si="0"/>
        <v>-6349.9</v>
      </c>
    </row>
    <row r="13" spans="2:28">
      <c r="B13" s="471" t="s">
        <v>457</v>
      </c>
      <c r="C13" s="652">
        <v>713555.2</v>
      </c>
      <c r="D13" s="652"/>
      <c r="E13" s="652">
        <v>269147.90000000002</v>
      </c>
      <c r="F13" s="648" t="s">
        <v>450</v>
      </c>
      <c r="G13" s="652">
        <v>-52323.199999999997</v>
      </c>
      <c r="H13" s="648" t="s">
        <v>450</v>
      </c>
      <c r="I13" s="648">
        <v>-1982.5</v>
      </c>
      <c r="J13" s="648">
        <v>8458</v>
      </c>
      <c r="K13" s="648">
        <v>-15819</v>
      </c>
      <c r="L13" s="648">
        <v>189.4</v>
      </c>
      <c r="M13" s="648">
        <v>-33574.6</v>
      </c>
      <c r="N13" s="648">
        <v>-2090</v>
      </c>
      <c r="O13" s="648">
        <v>-692</v>
      </c>
      <c r="P13" s="648">
        <v>-6812.5</v>
      </c>
      <c r="Q13" s="652">
        <v>490382.7</v>
      </c>
      <c r="R13" s="652"/>
      <c r="S13" s="652"/>
      <c r="T13" s="652"/>
      <c r="U13" s="652"/>
      <c r="V13" s="652"/>
      <c r="W13" s="652"/>
      <c r="X13" s="652"/>
      <c r="Y13" s="648" t="s">
        <v>450</v>
      </c>
      <c r="Z13" s="652">
        <v>-4874.3999999999996</v>
      </c>
      <c r="AA13" s="651">
        <v>189</v>
      </c>
      <c r="AB13" s="503">
        <f t="shared" si="0"/>
        <v>433374.1</v>
      </c>
    </row>
    <row r="14" spans="2:28">
      <c r="B14" s="473" t="s">
        <v>458</v>
      </c>
      <c r="C14" s="652">
        <v>2461.4</v>
      </c>
      <c r="D14" s="652"/>
      <c r="E14" s="652" t="s">
        <v>450</v>
      </c>
      <c r="F14" s="648" t="s">
        <v>450</v>
      </c>
      <c r="G14" s="652">
        <v>955.00000000000011</v>
      </c>
      <c r="H14" s="648" t="s">
        <v>450</v>
      </c>
      <c r="I14" s="648" t="s">
        <v>450</v>
      </c>
      <c r="J14" s="648">
        <v>375.8</v>
      </c>
      <c r="K14" s="648" t="s">
        <v>450</v>
      </c>
      <c r="L14" s="648" t="s">
        <v>450</v>
      </c>
      <c r="M14" s="648">
        <v>563.1</v>
      </c>
      <c r="N14" s="648" t="s">
        <v>450</v>
      </c>
      <c r="O14" s="648" t="s">
        <v>450</v>
      </c>
      <c r="P14" s="648">
        <v>16.100000000000001</v>
      </c>
      <c r="Q14" s="652">
        <v>1402.3</v>
      </c>
      <c r="R14" s="652"/>
      <c r="S14" s="652"/>
      <c r="T14" s="652"/>
      <c r="U14" s="652"/>
      <c r="V14" s="652"/>
      <c r="W14" s="652"/>
      <c r="X14" s="652"/>
      <c r="Y14" s="648" t="s">
        <v>450</v>
      </c>
      <c r="Z14" s="652">
        <v>104.1</v>
      </c>
      <c r="AA14" s="647" t="s">
        <v>450</v>
      </c>
      <c r="AB14" s="503">
        <f t="shared" si="0"/>
        <v>2461.4</v>
      </c>
    </row>
    <row r="15" spans="2:28">
      <c r="B15" s="473" t="s">
        <v>459</v>
      </c>
      <c r="C15" s="648" t="s">
        <v>450</v>
      </c>
      <c r="D15" s="648"/>
      <c r="E15" s="648" t="s">
        <v>450</v>
      </c>
      <c r="F15" s="648" t="s">
        <v>450</v>
      </c>
      <c r="G15" s="648" t="s">
        <v>450</v>
      </c>
      <c r="H15" s="648" t="s">
        <v>450</v>
      </c>
      <c r="I15" s="648" t="s">
        <v>450</v>
      </c>
      <c r="J15" s="648" t="s">
        <v>450</v>
      </c>
      <c r="K15" s="648" t="s">
        <v>450</v>
      </c>
      <c r="L15" s="648" t="s">
        <v>450</v>
      </c>
      <c r="M15" s="648" t="s">
        <v>450</v>
      </c>
      <c r="N15" s="648" t="s">
        <v>450</v>
      </c>
      <c r="O15" s="648" t="s">
        <v>450</v>
      </c>
      <c r="P15" s="648" t="s">
        <v>450</v>
      </c>
      <c r="Q15" s="648" t="s">
        <v>450</v>
      </c>
      <c r="R15" s="648"/>
      <c r="S15" s="648"/>
      <c r="T15" s="648"/>
      <c r="U15" s="648"/>
      <c r="V15" s="648"/>
      <c r="W15" s="648"/>
      <c r="X15" s="648"/>
      <c r="Y15" s="648" t="s">
        <v>450</v>
      </c>
      <c r="Z15" s="648" t="s">
        <v>450</v>
      </c>
      <c r="AA15" s="647" t="s">
        <v>450</v>
      </c>
      <c r="AB15" s="503">
        <f t="shared" si="0"/>
        <v>0</v>
      </c>
    </row>
    <row r="16" spans="2:28">
      <c r="B16" s="473" t="s">
        <v>460</v>
      </c>
      <c r="C16" s="652">
        <v>-152555.29999999999</v>
      </c>
      <c r="D16" s="652"/>
      <c r="E16" s="652">
        <v>-266941.5</v>
      </c>
      <c r="F16" s="648" t="s">
        <v>450</v>
      </c>
      <c r="G16" s="652">
        <v>256780.2</v>
      </c>
      <c r="H16" s="648">
        <v>10275.5</v>
      </c>
      <c r="I16" s="648">
        <v>9959.2000000000007</v>
      </c>
      <c r="J16" s="648">
        <v>50169</v>
      </c>
      <c r="K16" s="648">
        <v>28779.8</v>
      </c>
      <c r="L16" s="648" t="s">
        <v>450</v>
      </c>
      <c r="M16" s="648">
        <v>95067.5</v>
      </c>
      <c r="N16" s="648">
        <v>5365.2</v>
      </c>
      <c r="O16" s="648">
        <v>10650.6</v>
      </c>
      <c r="P16" s="648">
        <v>46513.4</v>
      </c>
      <c r="Q16" s="652">
        <v>-241023.6</v>
      </c>
      <c r="R16" s="652"/>
      <c r="S16" s="652"/>
      <c r="T16" s="652"/>
      <c r="U16" s="652"/>
      <c r="V16" s="652"/>
      <c r="W16" s="652"/>
      <c r="X16" s="652"/>
      <c r="Y16" s="652">
        <v>14016</v>
      </c>
      <c r="Z16" s="652">
        <v>93862.5</v>
      </c>
      <c r="AA16" s="647" t="s">
        <v>450</v>
      </c>
      <c r="AB16" s="503">
        <f t="shared" si="0"/>
        <v>123635.1</v>
      </c>
    </row>
    <row r="17" spans="1:31">
      <c r="B17" s="469" t="s">
        <v>461</v>
      </c>
      <c r="C17" s="648">
        <v>-85949.999999999985</v>
      </c>
      <c r="D17" s="648"/>
      <c r="E17" s="648" t="s">
        <v>450</v>
      </c>
      <c r="F17" s="648" t="s">
        <v>450</v>
      </c>
      <c r="G17" s="648">
        <v>-597.20000000000005</v>
      </c>
      <c r="H17" s="648" t="s">
        <v>450</v>
      </c>
      <c r="I17" s="648" t="s">
        <v>450</v>
      </c>
      <c r="J17" s="648" t="s">
        <v>450</v>
      </c>
      <c r="K17" s="648" t="s">
        <v>450</v>
      </c>
      <c r="L17" s="648" t="s">
        <v>450</v>
      </c>
      <c r="M17" s="648">
        <v>-597.20000000000005</v>
      </c>
      <c r="N17" s="648" t="s">
        <v>450</v>
      </c>
      <c r="O17" s="648" t="s">
        <v>450</v>
      </c>
      <c r="P17" s="648" t="s">
        <v>450</v>
      </c>
      <c r="Q17" s="648">
        <v>-142783.79999999999</v>
      </c>
      <c r="R17" s="648"/>
      <c r="S17" s="648"/>
      <c r="T17" s="648"/>
      <c r="U17" s="648"/>
      <c r="V17" s="648"/>
      <c r="W17" s="648"/>
      <c r="X17" s="648"/>
      <c r="Y17" s="648" t="s">
        <v>450</v>
      </c>
      <c r="Z17" s="648">
        <v>66677.8</v>
      </c>
      <c r="AA17" s="647" t="s">
        <v>450</v>
      </c>
      <c r="AB17" s="503">
        <f t="shared" si="0"/>
        <v>-76703.199999999997</v>
      </c>
      <c r="AC17" s="500" t="e">
        <f>(Z17+#REF!)/SUM(H17:Q17)*-1</f>
        <v>#REF!</v>
      </c>
      <c r="AE17" s="501">
        <f>SUM(Y17:Z17)/SUM(H17:X17)*-1</f>
        <v>0.46503930088365963</v>
      </c>
    </row>
    <row r="18" spans="1:31">
      <c r="B18" s="469" t="s">
        <v>462</v>
      </c>
      <c r="C18" s="648">
        <v>-54926.900000000009</v>
      </c>
      <c r="D18" s="648"/>
      <c r="E18" s="648" t="s">
        <v>450</v>
      </c>
      <c r="F18" s="648" t="s">
        <v>450</v>
      </c>
      <c r="G18" s="648">
        <v>-8.5</v>
      </c>
      <c r="H18" s="648" t="s">
        <v>450</v>
      </c>
      <c r="I18" s="648" t="s">
        <v>450</v>
      </c>
      <c r="J18" s="648" t="s">
        <v>450</v>
      </c>
      <c r="K18" s="648" t="s">
        <v>450</v>
      </c>
      <c r="L18" s="648" t="s">
        <v>450</v>
      </c>
      <c r="M18" s="648">
        <v>-8.5</v>
      </c>
      <c r="N18" s="648" t="s">
        <v>450</v>
      </c>
      <c r="O18" s="648" t="s">
        <v>450</v>
      </c>
      <c r="P18" s="648" t="s">
        <v>450</v>
      </c>
      <c r="Q18" s="648">
        <v>-89888.8</v>
      </c>
      <c r="R18" s="648"/>
      <c r="S18" s="648"/>
      <c r="T18" s="648"/>
      <c r="U18" s="648"/>
      <c r="V18" s="648"/>
      <c r="W18" s="648"/>
      <c r="X18" s="648"/>
      <c r="Y18" s="648">
        <v>7785.7</v>
      </c>
      <c r="Z18" s="648">
        <v>27184.7</v>
      </c>
      <c r="AA18" s="647" t="s">
        <v>450</v>
      </c>
      <c r="AB18" s="503">
        <f t="shared" si="0"/>
        <v>-54926.900000000009</v>
      </c>
      <c r="AC18" s="501">
        <f>SUM(Y18:Z18)/SUM(H18:X18)*-1</f>
        <v>0.38900389666875423</v>
      </c>
    </row>
    <row r="19" spans="1:31">
      <c r="B19" s="469" t="s">
        <v>463</v>
      </c>
      <c r="C19" s="648">
        <v>-1922.8999999999996</v>
      </c>
      <c r="D19" s="648"/>
      <c r="E19" s="648" t="s">
        <v>450</v>
      </c>
      <c r="F19" s="648" t="s">
        <v>450</v>
      </c>
      <c r="G19" s="648">
        <v>-17</v>
      </c>
      <c r="H19" s="648" t="s">
        <v>450</v>
      </c>
      <c r="I19" s="648" t="s">
        <v>450</v>
      </c>
      <c r="J19" s="648" t="s">
        <v>450</v>
      </c>
      <c r="K19" s="648" t="s">
        <v>450</v>
      </c>
      <c r="L19" s="648" t="s">
        <v>450</v>
      </c>
      <c r="M19" s="648">
        <v>-8.5</v>
      </c>
      <c r="N19" s="648">
        <v>-8.5</v>
      </c>
      <c r="O19" s="648" t="s">
        <v>450</v>
      </c>
      <c r="P19" s="648" t="s">
        <v>450</v>
      </c>
      <c r="Q19" s="648">
        <v>-8136.2</v>
      </c>
      <c r="R19" s="648"/>
      <c r="S19" s="648"/>
      <c r="T19" s="648"/>
      <c r="U19" s="648"/>
      <c r="V19" s="648"/>
      <c r="W19" s="648"/>
      <c r="X19" s="648"/>
      <c r="Y19" s="648">
        <v>6230.3</v>
      </c>
      <c r="Z19" s="648" t="s">
        <v>450</v>
      </c>
      <c r="AA19" s="647" t="s">
        <v>450</v>
      </c>
      <c r="AB19" s="503">
        <f t="shared" si="0"/>
        <v>-1922.8999999999996</v>
      </c>
      <c r="AC19" s="501">
        <f>SUM(Y19:Z19)/SUM(H19:X19)*-1</f>
        <v>0.76415395182259727</v>
      </c>
    </row>
    <row r="20" spans="1:31">
      <c r="B20" s="469" t="s">
        <v>464</v>
      </c>
      <c r="C20" s="648">
        <v>1174.4000000000001</v>
      </c>
      <c r="D20" s="648"/>
      <c r="E20" s="648" t="s">
        <v>450</v>
      </c>
      <c r="F20" s="648" t="s">
        <v>450</v>
      </c>
      <c r="G20" s="648">
        <v>1389.2</v>
      </c>
      <c r="H20" s="648" t="s">
        <v>450</v>
      </c>
      <c r="I20" s="648">
        <v>569.1</v>
      </c>
      <c r="J20" s="648" t="s">
        <v>450</v>
      </c>
      <c r="K20" s="648" t="s">
        <v>450</v>
      </c>
      <c r="L20" s="648" t="s">
        <v>450</v>
      </c>
      <c r="M20" s="648" t="s">
        <v>450</v>
      </c>
      <c r="N20" s="648" t="s">
        <v>450</v>
      </c>
      <c r="O20" s="648" t="s">
        <v>450</v>
      </c>
      <c r="P20" s="648">
        <v>820.1</v>
      </c>
      <c r="Q20" s="648">
        <v>-214.8</v>
      </c>
      <c r="R20" s="648"/>
      <c r="S20" s="648"/>
      <c r="T20" s="648"/>
      <c r="U20" s="648"/>
      <c r="V20" s="648"/>
      <c r="W20" s="648"/>
      <c r="X20" s="648"/>
      <c r="Y20" s="648" t="s">
        <v>450</v>
      </c>
      <c r="Z20" s="648" t="s">
        <v>450</v>
      </c>
      <c r="AA20" s="647" t="s">
        <v>450</v>
      </c>
      <c r="AB20" s="503">
        <f t="shared" si="0"/>
        <v>1174.4000000000001</v>
      </c>
    </row>
    <row r="21" spans="1:31">
      <c r="B21" s="469" t="s">
        <v>465</v>
      </c>
      <c r="C21" s="648" t="s">
        <v>450</v>
      </c>
      <c r="D21" s="648"/>
      <c r="E21" s="648" t="s">
        <v>450</v>
      </c>
      <c r="F21" s="648" t="s">
        <v>450</v>
      </c>
      <c r="G21" s="648" t="s">
        <v>450</v>
      </c>
      <c r="H21" s="648" t="s">
        <v>450</v>
      </c>
      <c r="I21" s="648" t="s">
        <v>450</v>
      </c>
      <c r="J21" s="648" t="s">
        <v>450</v>
      </c>
      <c r="K21" s="648" t="s">
        <v>450</v>
      </c>
      <c r="L21" s="648" t="s">
        <v>450</v>
      </c>
      <c r="M21" s="648" t="s">
        <v>450</v>
      </c>
      <c r="N21" s="648" t="s">
        <v>450</v>
      </c>
      <c r="O21" s="648" t="s">
        <v>450</v>
      </c>
      <c r="P21" s="648" t="s">
        <v>450</v>
      </c>
      <c r="Q21" s="648" t="s">
        <v>450</v>
      </c>
      <c r="R21" s="648"/>
      <c r="S21" s="648"/>
      <c r="T21" s="648"/>
      <c r="U21" s="648"/>
      <c r="V21" s="648"/>
      <c r="W21" s="648"/>
      <c r="X21" s="648"/>
      <c r="Y21" s="648" t="s">
        <v>450</v>
      </c>
      <c r="Z21" s="648" t="s">
        <v>450</v>
      </c>
      <c r="AA21" s="647" t="s">
        <v>450</v>
      </c>
      <c r="AB21" s="503">
        <f t="shared" si="0"/>
        <v>0</v>
      </c>
    </row>
    <row r="22" spans="1:31" ht="15">
      <c r="A22" s="501">
        <f>(C22-C25-Z25)/E22</f>
        <v>0.2690919171428946</v>
      </c>
      <c r="B22" s="474" t="s">
        <v>466</v>
      </c>
      <c r="C22" s="648">
        <v>-10927.8</v>
      </c>
      <c r="D22" s="648"/>
      <c r="E22" s="648">
        <v>-266941.5</v>
      </c>
      <c r="F22" s="648" t="s">
        <v>450</v>
      </c>
      <c r="G22" s="648">
        <v>256013.7</v>
      </c>
      <c r="H22" s="648">
        <v>10275.5</v>
      </c>
      <c r="I22" s="648">
        <v>9390.1</v>
      </c>
      <c r="J22" s="648">
        <v>50169</v>
      </c>
      <c r="K22" s="648">
        <v>28779.8</v>
      </c>
      <c r="L22" s="648" t="s">
        <v>450</v>
      </c>
      <c r="M22" s="648">
        <v>95681.7</v>
      </c>
      <c r="N22" s="648">
        <v>5373.7</v>
      </c>
      <c r="O22" s="648">
        <v>10650.6</v>
      </c>
      <c r="P22" s="648">
        <v>45693.3</v>
      </c>
      <c r="Q22" s="648" t="s">
        <v>450</v>
      </c>
      <c r="R22" s="648"/>
      <c r="S22" s="648"/>
      <c r="T22" s="648"/>
      <c r="U22" s="648"/>
      <c r="V22" s="648"/>
      <c r="W22" s="648"/>
      <c r="X22" s="648"/>
      <c r="Y22" s="648" t="s">
        <v>450</v>
      </c>
      <c r="Z22" s="648" t="s">
        <v>450</v>
      </c>
      <c r="AA22" s="647" t="s">
        <v>450</v>
      </c>
      <c r="AB22" s="503">
        <f t="shared" si="0"/>
        <v>256013.7</v>
      </c>
      <c r="AC22" s="485">
        <v>29</v>
      </c>
      <c r="AD22" s="485">
        <f>AC22/$AC$26</f>
        <v>5.8467741935483868E-2</v>
      </c>
    </row>
    <row r="23" spans="1:31" ht="15">
      <c r="B23" s="474" t="s">
        <v>467</v>
      </c>
      <c r="C23" s="648" t="s">
        <v>450</v>
      </c>
      <c r="D23" s="648"/>
      <c r="E23" s="648" t="s">
        <v>450</v>
      </c>
      <c r="F23" s="648" t="s">
        <v>450</v>
      </c>
      <c r="G23" s="648" t="s">
        <v>450</v>
      </c>
      <c r="H23" s="648" t="s">
        <v>450</v>
      </c>
      <c r="I23" s="648" t="s">
        <v>450</v>
      </c>
      <c r="J23" s="648" t="s">
        <v>450</v>
      </c>
      <c r="K23" s="648" t="s">
        <v>450</v>
      </c>
      <c r="L23" s="648" t="s">
        <v>450</v>
      </c>
      <c r="M23" s="648" t="s">
        <v>450</v>
      </c>
      <c r="N23" s="648" t="s">
        <v>450</v>
      </c>
      <c r="O23" s="648" t="s">
        <v>450</v>
      </c>
      <c r="P23" s="648" t="s">
        <v>450</v>
      </c>
      <c r="Q23" s="648" t="s">
        <v>450</v>
      </c>
      <c r="R23" s="648"/>
      <c r="S23" s="648"/>
      <c r="T23" s="648"/>
      <c r="U23" s="648"/>
      <c r="V23" s="648"/>
      <c r="W23" s="648"/>
      <c r="X23" s="648"/>
      <c r="Y23" s="648" t="s">
        <v>450</v>
      </c>
      <c r="Z23" s="648" t="s">
        <v>450</v>
      </c>
      <c r="AA23" s="647" t="s">
        <v>450</v>
      </c>
      <c r="AB23" s="503">
        <f t="shared" si="0"/>
        <v>0</v>
      </c>
      <c r="AC23" s="485">
        <v>54</v>
      </c>
      <c r="AD23" s="485">
        <f>AC23/$AC$26</f>
        <v>0.10887096774193548</v>
      </c>
    </row>
    <row r="24" spans="1:31">
      <c r="B24" s="469" t="s">
        <v>468</v>
      </c>
      <c r="C24" s="648">
        <v>-2.0999999999999996</v>
      </c>
      <c r="D24" s="648"/>
      <c r="E24" s="648" t="s">
        <v>450</v>
      </c>
      <c r="F24" s="648" t="s">
        <v>450</v>
      </c>
      <c r="G24" s="648" t="s">
        <v>450</v>
      </c>
      <c r="H24" s="648" t="s">
        <v>450</v>
      </c>
      <c r="I24" s="648" t="s">
        <v>450</v>
      </c>
      <c r="J24" s="648" t="s">
        <v>450</v>
      </c>
      <c r="K24" s="648" t="s">
        <v>450</v>
      </c>
      <c r="L24" s="648" t="s">
        <v>450</v>
      </c>
      <c r="M24" s="648" t="s">
        <v>450</v>
      </c>
      <c r="N24" s="648" t="s">
        <v>450</v>
      </c>
      <c r="O24" s="648" t="s">
        <v>450</v>
      </c>
      <c r="P24" s="648" t="s">
        <v>450</v>
      </c>
      <c r="Q24" s="648" t="s">
        <v>450</v>
      </c>
      <c r="R24" s="648"/>
      <c r="S24" s="648"/>
      <c r="T24" s="648"/>
      <c r="U24" s="648"/>
      <c r="V24" s="648"/>
      <c r="W24" s="648"/>
      <c r="X24" s="648"/>
      <c r="Y24" s="648" t="s">
        <v>450</v>
      </c>
      <c r="Z24" s="648" t="s">
        <v>450</v>
      </c>
      <c r="AA24" s="647" t="s">
        <v>450</v>
      </c>
      <c r="AB24" s="503">
        <f t="shared" si="0"/>
        <v>0</v>
      </c>
      <c r="AC24" s="485">
        <v>98</v>
      </c>
      <c r="AD24" s="485">
        <f>AC24/$AC$26</f>
        <v>0.19758064516129031</v>
      </c>
    </row>
    <row r="25" spans="1:31" ht="15">
      <c r="B25" s="475" t="s">
        <v>469</v>
      </c>
      <c r="C25" s="652">
        <v>47230.5</v>
      </c>
      <c r="D25" s="652"/>
      <c r="E25" s="652">
        <v>452.5</v>
      </c>
      <c r="F25" s="648" t="s">
        <v>450</v>
      </c>
      <c r="G25" s="652">
        <v>13615.7</v>
      </c>
      <c r="H25" s="648">
        <v>7968</v>
      </c>
      <c r="I25" s="648" t="s">
        <v>450</v>
      </c>
      <c r="J25" s="648" t="s">
        <v>450</v>
      </c>
      <c r="K25" s="648" t="s">
        <v>450</v>
      </c>
      <c r="L25" s="648" t="s">
        <v>450</v>
      </c>
      <c r="M25" s="648" t="s">
        <v>450</v>
      </c>
      <c r="N25" s="648" t="s">
        <v>450</v>
      </c>
      <c r="O25" s="648" t="s">
        <v>450</v>
      </c>
      <c r="P25" s="648">
        <v>5647.7</v>
      </c>
      <c r="Q25" s="652">
        <v>19479.2</v>
      </c>
      <c r="R25" s="652"/>
      <c r="S25" s="652"/>
      <c r="T25" s="652"/>
      <c r="U25" s="652"/>
      <c r="V25" s="652"/>
      <c r="W25" s="652"/>
      <c r="X25" s="652"/>
      <c r="Y25" s="652">
        <v>9.6</v>
      </c>
      <c r="Z25" s="652">
        <v>13673.5</v>
      </c>
      <c r="AA25" s="647" t="s">
        <v>450</v>
      </c>
      <c r="AB25" s="503">
        <f t="shared" si="0"/>
        <v>46778</v>
      </c>
      <c r="AC25" s="485">
        <v>315</v>
      </c>
      <c r="AD25" s="485">
        <f>AC25/$AC$26</f>
        <v>0.63508064516129037</v>
      </c>
    </row>
    <row r="26" spans="1:31" ht="15">
      <c r="B26" s="475" t="s">
        <v>470</v>
      </c>
      <c r="C26" s="652">
        <v>38719.5</v>
      </c>
      <c r="D26" s="652"/>
      <c r="E26" s="652">
        <v>1753.9</v>
      </c>
      <c r="F26" s="648" t="s">
        <v>450</v>
      </c>
      <c r="G26" s="648" t="s">
        <v>450</v>
      </c>
      <c r="H26" s="648" t="s">
        <v>450</v>
      </c>
      <c r="I26" s="648" t="s">
        <v>450</v>
      </c>
      <c r="J26" s="648" t="s">
        <v>450</v>
      </c>
      <c r="K26" s="648" t="s">
        <v>450</v>
      </c>
      <c r="L26" s="648" t="s">
        <v>450</v>
      </c>
      <c r="M26" s="648" t="s">
        <v>450</v>
      </c>
      <c r="N26" s="648" t="s">
        <v>450</v>
      </c>
      <c r="O26" s="648" t="s">
        <v>450</v>
      </c>
      <c r="P26" s="648" t="s">
        <v>450</v>
      </c>
      <c r="Q26" s="652">
        <v>28154.5</v>
      </c>
      <c r="R26" s="652"/>
      <c r="S26" s="652"/>
      <c r="T26" s="652"/>
      <c r="U26" s="652"/>
      <c r="V26" s="652"/>
      <c r="W26" s="652"/>
      <c r="X26" s="652"/>
      <c r="Y26" s="652">
        <v>798.9</v>
      </c>
      <c r="Z26" s="652">
        <v>8012.2</v>
      </c>
      <c r="AA26" s="647" t="s">
        <v>450</v>
      </c>
      <c r="AB26" s="503">
        <f t="shared" si="0"/>
        <v>36965.599999999999</v>
      </c>
      <c r="AC26" s="485">
        <f>SUM(AC22:AC25)</f>
        <v>496</v>
      </c>
      <c r="AD26" s="498"/>
    </row>
    <row r="27" spans="1:31" ht="15">
      <c r="B27" s="475" t="s">
        <v>471</v>
      </c>
      <c r="C27" s="652">
        <v>472588.5</v>
      </c>
      <c r="D27" s="652"/>
      <c r="E27" s="648" t="s">
        <v>450</v>
      </c>
      <c r="F27" s="648" t="s">
        <v>450</v>
      </c>
      <c r="G27" s="652">
        <v>189886.30000000002</v>
      </c>
      <c r="H27" s="648">
        <v>2307.5</v>
      </c>
      <c r="I27" s="648">
        <v>7976.7</v>
      </c>
      <c r="J27" s="648">
        <v>58251.199999999997</v>
      </c>
      <c r="K27" s="648">
        <v>12960.8</v>
      </c>
      <c r="L27" s="648">
        <v>189.4</v>
      </c>
      <c r="M27" s="648">
        <v>60929.8</v>
      </c>
      <c r="N27" s="648">
        <v>3275.2</v>
      </c>
      <c r="O27" s="648">
        <v>9958.6</v>
      </c>
      <c r="P27" s="648">
        <v>34037.1</v>
      </c>
      <c r="Q27" s="652">
        <v>200323.1</v>
      </c>
      <c r="R27" s="652"/>
      <c r="S27" s="652"/>
      <c r="T27" s="652"/>
      <c r="U27" s="652"/>
      <c r="V27" s="652"/>
      <c r="W27" s="652"/>
      <c r="X27" s="652"/>
      <c r="Y27" s="652">
        <v>13207.5</v>
      </c>
      <c r="Z27" s="652">
        <v>67198.3</v>
      </c>
      <c r="AA27" s="651">
        <v>189</v>
      </c>
      <c r="AB27" s="503">
        <f t="shared" si="0"/>
        <v>470804.2</v>
      </c>
    </row>
    <row r="28" spans="1:31" ht="15">
      <c r="B28" s="475" t="s">
        <v>472</v>
      </c>
      <c r="C28" s="652">
        <v>417127.69999999995</v>
      </c>
      <c r="D28" s="652"/>
      <c r="E28" s="648" t="s">
        <v>450</v>
      </c>
      <c r="F28" s="648" t="s">
        <v>450</v>
      </c>
      <c r="G28" s="652">
        <v>135808.9</v>
      </c>
      <c r="H28" s="648" t="s">
        <v>450</v>
      </c>
      <c r="I28" s="648">
        <v>1033.7</v>
      </c>
      <c r="J28" s="648">
        <v>58251.199999999997</v>
      </c>
      <c r="K28" s="648">
        <v>12960.8</v>
      </c>
      <c r="L28" s="648">
        <v>25.8</v>
      </c>
      <c r="M28" s="648">
        <v>60784.800000000003</v>
      </c>
      <c r="N28" s="648">
        <v>2655</v>
      </c>
      <c r="O28" s="648" t="s">
        <v>450</v>
      </c>
      <c r="P28" s="648">
        <v>97.6</v>
      </c>
      <c r="Q28" s="652">
        <v>199092.7</v>
      </c>
      <c r="R28" s="636"/>
      <c r="S28" s="636"/>
      <c r="T28" s="636"/>
      <c r="U28" s="636"/>
      <c r="V28" s="636"/>
      <c r="W28" s="636"/>
      <c r="X28" s="636"/>
      <c r="Y28" s="634"/>
      <c r="Z28" s="652">
        <v>67198.3</v>
      </c>
      <c r="AA28" s="651">
        <v>36</v>
      </c>
      <c r="AB28" s="503">
        <f t="shared" si="0"/>
        <v>402135.89999999997</v>
      </c>
    </row>
    <row r="29" spans="1:31">
      <c r="B29" s="476" t="s">
        <v>473</v>
      </c>
      <c r="C29" s="638">
        <v>2329926.804</v>
      </c>
      <c r="D29" s="639">
        <v>128697.84699999999</v>
      </c>
      <c r="E29" s="637">
        <v>0</v>
      </c>
      <c r="F29" s="650" t="s">
        <v>587</v>
      </c>
      <c r="G29" s="638">
        <v>137636.19099999999</v>
      </c>
      <c r="H29" s="638">
        <v>14511.948</v>
      </c>
      <c r="I29" s="637">
        <v>2799.81</v>
      </c>
      <c r="J29" s="638">
        <v>3086.5129999999999</v>
      </c>
      <c r="K29" s="637">
        <v>0</v>
      </c>
      <c r="L29" s="637">
        <v>0</v>
      </c>
      <c r="M29" s="638">
        <v>79286.168999999994</v>
      </c>
      <c r="N29" s="638">
        <v>25940.548999999999</v>
      </c>
      <c r="O29" s="637">
        <v>0</v>
      </c>
      <c r="P29" s="649">
        <f t="shared" ref="P29:P42" si="1">G29-SUM(H29:O29)</f>
        <v>12011.20199999999</v>
      </c>
      <c r="Q29" s="638">
        <v>815408.51300000004</v>
      </c>
      <c r="R29" s="636">
        <v>3327</v>
      </c>
      <c r="S29" s="638">
        <v>132.70500000000001</v>
      </c>
      <c r="T29" s="638">
        <v>1966.7239999999999</v>
      </c>
      <c r="U29" s="638">
        <v>0</v>
      </c>
      <c r="V29" s="638">
        <v>646.22400000000005</v>
      </c>
      <c r="W29" s="638">
        <v>85623</v>
      </c>
      <c r="X29" s="638">
        <v>76057</v>
      </c>
      <c r="Y29" s="637">
        <v>179213</v>
      </c>
      <c r="Z29" s="637">
        <v>803761.2</v>
      </c>
      <c r="AA29" s="636">
        <v>96992.4</v>
      </c>
      <c r="AB29" s="503">
        <f t="shared" si="0"/>
        <v>2329461.804</v>
      </c>
    </row>
    <row r="30" spans="1:31" ht="15">
      <c r="B30" s="477" t="s">
        <v>474</v>
      </c>
      <c r="C30" s="639">
        <v>298073.03499999997</v>
      </c>
      <c r="D30" s="638">
        <v>28433.278999999999</v>
      </c>
      <c r="E30" s="636">
        <v>0</v>
      </c>
      <c r="F30" s="649" t="s">
        <v>587</v>
      </c>
      <c r="G30" s="639">
        <v>600.34400000000005</v>
      </c>
      <c r="H30" s="636">
        <v>0</v>
      </c>
      <c r="I30" s="639">
        <v>43.073999999999998</v>
      </c>
      <c r="J30" s="636">
        <v>0</v>
      </c>
      <c r="K30" s="636">
        <v>0</v>
      </c>
      <c r="L30" s="636">
        <v>0</v>
      </c>
      <c r="M30" s="636">
        <v>429.27</v>
      </c>
      <c r="N30" s="636">
        <v>0</v>
      </c>
      <c r="O30" s="636">
        <v>0</v>
      </c>
      <c r="P30" s="649">
        <f t="shared" si="1"/>
        <v>128.00000000000006</v>
      </c>
      <c r="Q30" s="639">
        <v>86104.111999999994</v>
      </c>
      <c r="R30" s="637">
        <v>0</v>
      </c>
      <c r="S30" s="639">
        <v>0</v>
      </c>
      <c r="T30" s="639">
        <v>0</v>
      </c>
      <c r="U30" s="639">
        <v>0</v>
      </c>
      <c r="V30" s="639">
        <v>0</v>
      </c>
      <c r="W30" s="639">
        <v>4</v>
      </c>
      <c r="X30" s="639">
        <v>0</v>
      </c>
      <c r="Y30" s="636">
        <v>1410</v>
      </c>
      <c r="Z30" s="636">
        <v>87739.199999999997</v>
      </c>
      <c r="AA30" s="637">
        <v>93782.1</v>
      </c>
      <c r="AB30" s="503">
        <f t="shared" si="0"/>
        <v>298073.03499999997</v>
      </c>
    </row>
    <row r="31" spans="1:31" ht="15">
      <c r="B31" s="477" t="s">
        <v>475</v>
      </c>
      <c r="C31" s="638">
        <v>567567.06900000002</v>
      </c>
      <c r="D31" s="639">
        <v>14652.936</v>
      </c>
      <c r="E31" s="637">
        <v>0</v>
      </c>
      <c r="F31" s="650" t="s">
        <v>587</v>
      </c>
      <c r="G31" s="638">
        <v>35945.790999999997</v>
      </c>
      <c r="H31" s="637">
        <v>12737.76</v>
      </c>
      <c r="I31" s="637">
        <v>0</v>
      </c>
      <c r="J31" s="637">
        <v>0</v>
      </c>
      <c r="K31" s="637">
        <v>0</v>
      </c>
      <c r="L31" s="637">
        <v>0</v>
      </c>
      <c r="M31" s="638">
        <v>1588.299</v>
      </c>
      <c r="N31" s="638">
        <v>21139.732</v>
      </c>
      <c r="O31" s="637">
        <v>0</v>
      </c>
      <c r="P31" s="649">
        <f t="shared" si="1"/>
        <v>480</v>
      </c>
      <c r="Q31" s="638">
        <v>209784.61600000001</v>
      </c>
      <c r="R31" s="636">
        <v>682</v>
      </c>
      <c r="S31" s="638">
        <v>0</v>
      </c>
      <c r="T31" s="638">
        <v>0</v>
      </c>
      <c r="U31" s="638">
        <v>0</v>
      </c>
      <c r="V31" s="638">
        <v>26.925999999999998</v>
      </c>
      <c r="W31" s="638">
        <v>1113</v>
      </c>
      <c r="X31" s="638">
        <v>8748</v>
      </c>
      <c r="Y31" s="637">
        <v>105172</v>
      </c>
      <c r="Z31" s="637">
        <v>189748.8</v>
      </c>
      <c r="AA31" s="636">
        <v>1692</v>
      </c>
      <c r="AB31" s="503">
        <f t="shared" si="0"/>
        <v>567566.0689999999</v>
      </c>
    </row>
    <row r="32" spans="1:31" ht="15">
      <c r="B32" s="477" t="s">
        <v>476</v>
      </c>
      <c r="C32" s="639">
        <v>94496.457999999999</v>
      </c>
      <c r="D32" s="638">
        <v>1097.598</v>
      </c>
      <c r="E32" s="636">
        <v>0</v>
      </c>
      <c r="F32" s="649" t="s">
        <v>587</v>
      </c>
      <c r="G32" s="639">
        <v>1601.681</v>
      </c>
      <c r="H32" s="636">
        <v>0</v>
      </c>
      <c r="I32" s="639">
        <v>86.147999999999996</v>
      </c>
      <c r="J32" s="636">
        <v>0</v>
      </c>
      <c r="K32" s="636">
        <v>0</v>
      </c>
      <c r="L32" s="636">
        <v>0</v>
      </c>
      <c r="M32" s="639">
        <v>472.197</v>
      </c>
      <c r="N32" s="639">
        <v>685.83100000000002</v>
      </c>
      <c r="O32" s="636">
        <v>0</v>
      </c>
      <c r="P32" s="649">
        <f t="shared" si="1"/>
        <v>357.50500000000011</v>
      </c>
      <c r="Q32" s="636">
        <v>35464.18</v>
      </c>
      <c r="R32" s="637">
        <v>10</v>
      </c>
      <c r="S32" s="636">
        <v>0</v>
      </c>
      <c r="T32" s="636">
        <v>0</v>
      </c>
      <c r="U32" s="636">
        <v>0</v>
      </c>
      <c r="V32" s="636">
        <v>0</v>
      </c>
      <c r="W32" s="636">
        <v>0</v>
      </c>
      <c r="X32" s="636">
        <v>238</v>
      </c>
      <c r="Y32" s="636">
        <v>1131</v>
      </c>
      <c r="Z32" s="636">
        <v>54954</v>
      </c>
      <c r="AA32" s="637">
        <v>0</v>
      </c>
      <c r="AB32" s="503">
        <f t="shared" si="0"/>
        <v>94496.459000000003</v>
      </c>
    </row>
    <row r="33" spans="2:28" ht="15">
      <c r="B33" s="477" t="s">
        <v>477</v>
      </c>
      <c r="C33" s="638">
        <v>281834.08299999998</v>
      </c>
      <c r="D33" s="639">
        <v>53875.453000000001</v>
      </c>
      <c r="E33" s="637">
        <v>0</v>
      </c>
      <c r="F33" s="650" t="s">
        <v>587</v>
      </c>
      <c r="G33" s="638">
        <v>16428.066999999999</v>
      </c>
      <c r="H33" s="637">
        <v>0</v>
      </c>
      <c r="I33" s="638">
        <v>516.88800000000003</v>
      </c>
      <c r="J33" s="637">
        <v>0</v>
      </c>
      <c r="K33" s="637">
        <v>0</v>
      </c>
      <c r="L33" s="637">
        <v>0</v>
      </c>
      <c r="M33" s="638">
        <v>3176.598</v>
      </c>
      <c r="N33" s="638">
        <v>2339.8939999999998</v>
      </c>
      <c r="O33" s="637">
        <v>0</v>
      </c>
      <c r="P33" s="649">
        <f t="shared" si="1"/>
        <v>10394.687</v>
      </c>
      <c r="Q33" s="637">
        <v>105073.03</v>
      </c>
      <c r="R33" s="636">
        <v>12</v>
      </c>
      <c r="S33" s="637">
        <v>0</v>
      </c>
      <c r="T33" s="637">
        <v>0</v>
      </c>
      <c r="U33" s="637">
        <v>0</v>
      </c>
      <c r="V33" s="637">
        <v>242.334</v>
      </c>
      <c r="W33" s="637">
        <v>6651</v>
      </c>
      <c r="X33" s="637">
        <v>53692</v>
      </c>
      <c r="Y33" s="637">
        <v>889</v>
      </c>
      <c r="Z33" s="637">
        <v>44971.199999999997</v>
      </c>
      <c r="AA33" s="636">
        <v>0</v>
      </c>
      <c r="AB33" s="503">
        <f t="shared" si="0"/>
        <v>281834.08399999997</v>
      </c>
    </row>
    <row r="34" spans="2:28" ht="15">
      <c r="B34" s="477" t="s">
        <v>478</v>
      </c>
      <c r="C34" s="639">
        <v>120246.702</v>
      </c>
      <c r="D34" s="637">
        <v>7161.88</v>
      </c>
      <c r="E34" s="636">
        <v>0</v>
      </c>
      <c r="F34" s="649" t="s">
        <v>587</v>
      </c>
      <c r="G34" s="639">
        <v>1628.5350000000001</v>
      </c>
      <c r="H34" s="636">
        <v>0</v>
      </c>
      <c r="I34" s="636">
        <v>215.37</v>
      </c>
      <c r="J34" s="636">
        <v>0</v>
      </c>
      <c r="K34" s="636">
        <v>0</v>
      </c>
      <c r="L34" s="636">
        <v>0</v>
      </c>
      <c r="M34" s="639">
        <v>1373.664</v>
      </c>
      <c r="N34" s="636">
        <v>0</v>
      </c>
      <c r="O34" s="636">
        <v>0</v>
      </c>
      <c r="P34" s="649">
        <f t="shared" si="1"/>
        <v>39.500999999999976</v>
      </c>
      <c r="Q34" s="639">
        <v>36605.161</v>
      </c>
      <c r="R34" s="637">
        <v>119</v>
      </c>
      <c r="S34" s="639">
        <v>0</v>
      </c>
      <c r="T34" s="639">
        <v>0</v>
      </c>
      <c r="U34" s="639">
        <v>0</v>
      </c>
      <c r="V34" s="639">
        <v>26.925999999999998</v>
      </c>
      <c r="W34" s="639">
        <v>318</v>
      </c>
      <c r="X34" s="639">
        <v>0</v>
      </c>
      <c r="Y34" s="636">
        <v>12126</v>
      </c>
      <c r="Z34" s="636">
        <v>61120.800000000003</v>
      </c>
      <c r="AA34" s="637">
        <v>1139.4000000000001</v>
      </c>
      <c r="AB34" s="503">
        <f t="shared" si="0"/>
        <v>120245.702</v>
      </c>
    </row>
    <row r="35" spans="2:28" ht="15">
      <c r="B35" s="477" t="s">
        <v>342</v>
      </c>
      <c r="C35" s="638">
        <v>214289.12599999999</v>
      </c>
      <c r="D35" s="639">
        <v>574.64200000000005</v>
      </c>
      <c r="E35" s="637">
        <v>0</v>
      </c>
      <c r="F35" s="650" t="s">
        <v>587</v>
      </c>
      <c r="G35" s="638">
        <v>8575.7720000000008</v>
      </c>
      <c r="H35" s="637">
        <v>0</v>
      </c>
      <c r="I35" s="638">
        <v>947.62800000000004</v>
      </c>
      <c r="J35" s="637">
        <v>0</v>
      </c>
      <c r="K35" s="637">
        <v>0</v>
      </c>
      <c r="L35" s="637">
        <v>0</v>
      </c>
      <c r="M35" s="638">
        <v>7469.2979999999998</v>
      </c>
      <c r="N35" s="638">
        <v>40.343000000000004</v>
      </c>
      <c r="O35" s="637">
        <v>0</v>
      </c>
      <c r="P35" s="649">
        <f t="shared" si="1"/>
        <v>118.50300000000061</v>
      </c>
      <c r="Q35" s="638">
        <v>73810.733999999997</v>
      </c>
      <c r="R35" s="636">
        <v>103</v>
      </c>
      <c r="S35" s="638">
        <v>0</v>
      </c>
      <c r="T35" s="638">
        <v>0</v>
      </c>
      <c r="U35" s="638">
        <v>0</v>
      </c>
      <c r="V35" s="638">
        <v>80.778000000000006</v>
      </c>
      <c r="W35" s="638">
        <v>1258</v>
      </c>
      <c r="X35" s="638">
        <v>781</v>
      </c>
      <c r="Y35" s="637">
        <v>10178</v>
      </c>
      <c r="Z35" s="637">
        <v>118558.8</v>
      </c>
      <c r="AA35" s="636">
        <v>365.4</v>
      </c>
      <c r="AB35" s="503">
        <f t="shared" si="0"/>
        <v>214286.12599999999</v>
      </c>
    </row>
    <row r="36" spans="2:28">
      <c r="B36" s="478" t="s">
        <v>479</v>
      </c>
      <c r="C36" s="639">
        <v>14600.868</v>
      </c>
      <c r="D36" s="637">
        <v>2624.08</v>
      </c>
      <c r="E36" s="636">
        <v>0</v>
      </c>
      <c r="F36" s="649" t="s">
        <v>587</v>
      </c>
      <c r="G36" s="639">
        <v>1194.825</v>
      </c>
      <c r="H36" s="636">
        <v>0</v>
      </c>
      <c r="I36" s="639">
        <v>129.22200000000001</v>
      </c>
      <c r="J36" s="636">
        <v>0</v>
      </c>
      <c r="K36" s="636">
        <v>0</v>
      </c>
      <c r="L36" s="636">
        <v>0</v>
      </c>
      <c r="M36" s="639">
        <v>729.75900000000001</v>
      </c>
      <c r="N36" s="639">
        <v>40.343000000000004</v>
      </c>
      <c r="O36" s="636">
        <v>0</v>
      </c>
      <c r="P36" s="649">
        <f t="shared" si="1"/>
        <v>295.50100000000009</v>
      </c>
      <c r="Q36" s="639">
        <v>3917.636</v>
      </c>
      <c r="R36" s="637">
        <v>73</v>
      </c>
      <c r="S36" s="639">
        <v>0</v>
      </c>
      <c r="T36" s="639">
        <v>0</v>
      </c>
      <c r="U36" s="639">
        <v>0</v>
      </c>
      <c r="V36" s="639">
        <v>26.925999999999998</v>
      </c>
      <c r="W36" s="639">
        <v>130</v>
      </c>
      <c r="X36" s="639">
        <v>0</v>
      </c>
      <c r="Y36" s="636">
        <v>194</v>
      </c>
      <c r="Z36" s="636">
        <v>6440.4</v>
      </c>
      <c r="AA36" s="637">
        <v>0</v>
      </c>
      <c r="AB36" s="503">
        <f t="shared" si="0"/>
        <v>14600.867</v>
      </c>
    </row>
    <row r="37" spans="2:28">
      <c r="B37" s="478" t="s">
        <v>480</v>
      </c>
      <c r="C37" s="638">
        <v>213476.288</v>
      </c>
      <c r="D37" s="639">
        <v>7846.0739999999996</v>
      </c>
      <c r="E37" s="637">
        <v>0</v>
      </c>
      <c r="F37" s="650" t="s">
        <v>587</v>
      </c>
      <c r="G37" s="638">
        <v>6834.6090000000004</v>
      </c>
      <c r="H37" s="637">
        <v>0</v>
      </c>
      <c r="I37" s="638">
        <v>258.44400000000002</v>
      </c>
      <c r="J37" s="637">
        <v>0</v>
      </c>
      <c r="K37" s="637">
        <v>0</v>
      </c>
      <c r="L37" s="637">
        <v>0</v>
      </c>
      <c r="M37" s="638">
        <v>5365.875</v>
      </c>
      <c r="N37" s="637">
        <v>1210.29</v>
      </c>
      <c r="O37" s="637">
        <v>0</v>
      </c>
      <c r="P37" s="649">
        <f t="shared" si="1"/>
        <v>0</v>
      </c>
      <c r="Q37" s="638">
        <v>116593.553</v>
      </c>
      <c r="R37" s="636">
        <v>844</v>
      </c>
      <c r="S37" s="638">
        <v>0</v>
      </c>
      <c r="T37" s="638">
        <v>0</v>
      </c>
      <c r="U37" s="638">
        <v>0</v>
      </c>
      <c r="V37" s="638">
        <v>53.851999999999997</v>
      </c>
      <c r="W37" s="638">
        <v>2111</v>
      </c>
      <c r="X37" s="638">
        <v>0</v>
      </c>
      <c r="Y37" s="637">
        <v>11956</v>
      </c>
      <c r="Z37" s="637">
        <v>67237.2</v>
      </c>
      <c r="AA37" s="636">
        <v>0</v>
      </c>
      <c r="AB37" s="503">
        <f t="shared" si="0"/>
        <v>213476.28799999997</v>
      </c>
    </row>
    <row r="38" spans="2:28">
      <c r="B38" s="478" t="s">
        <v>481</v>
      </c>
      <c r="C38" s="639">
        <v>223933.81700000001</v>
      </c>
      <c r="D38" s="637">
        <v>10776.85</v>
      </c>
      <c r="E38" s="636">
        <v>0</v>
      </c>
      <c r="F38" s="649" t="s">
        <v>587</v>
      </c>
      <c r="G38" s="639">
        <v>1645.181</v>
      </c>
      <c r="H38" s="636">
        <v>0</v>
      </c>
      <c r="I38" s="639">
        <v>86.147999999999996</v>
      </c>
      <c r="J38" s="636">
        <v>0</v>
      </c>
      <c r="K38" s="636">
        <v>0</v>
      </c>
      <c r="L38" s="636">
        <v>0</v>
      </c>
      <c r="M38" s="639">
        <v>1116.1020000000001</v>
      </c>
      <c r="N38" s="636">
        <v>403.43</v>
      </c>
      <c r="O38" s="636">
        <v>0</v>
      </c>
      <c r="P38" s="649">
        <f t="shared" si="1"/>
        <v>39.500999999999976</v>
      </c>
      <c r="Q38" s="639">
        <v>78489.357000000004</v>
      </c>
      <c r="R38" s="637">
        <v>1340</v>
      </c>
      <c r="S38" s="639">
        <v>0</v>
      </c>
      <c r="T38" s="639">
        <v>0</v>
      </c>
      <c r="U38" s="639">
        <v>0</v>
      </c>
      <c r="V38" s="639">
        <v>134.63</v>
      </c>
      <c r="W38" s="639">
        <v>21064</v>
      </c>
      <c r="X38" s="639">
        <v>12446</v>
      </c>
      <c r="Y38" s="636">
        <v>26801</v>
      </c>
      <c r="Z38" s="636">
        <v>71236.800000000003</v>
      </c>
      <c r="AA38" s="637">
        <v>0</v>
      </c>
      <c r="AB38" s="503">
        <f t="shared" ref="AB38:AB54" si="2">SUM(H38:AA38)+D38</f>
        <v>223933.818</v>
      </c>
    </row>
    <row r="39" spans="2:28" ht="15">
      <c r="B39" s="477" t="s">
        <v>482</v>
      </c>
      <c r="C39" s="638">
        <v>72305.264999999999</v>
      </c>
      <c r="D39" s="636">
        <v>0</v>
      </c>
      <c r="E39" s="637">
        <v>0</v>
      </c>
      <c r="F39" s="650" t="s">
        <v>587</v>
      </c>
      <c r="G39" s="638">
        <v>641.46799999999996</v>
      </c>
      <c r="H39" s="637">
        <v>0</v>
      </c>
      <c r="I39" s="638">
        <v>43.073999999999998</v>
      </c>
      <c r="J39" s="637">
        <v>0</v>
      </c>
      <c r="K39" s="637">
        <v>0</v>
      </c>
      <c r="L39" s="637">
        <v>0</v>
      </c>
      <c r="M39" s="638">
        <v>558.05100000000004</v>
      </c>
      <c r="N39" s="638">
        <v>40.343000000000004</v>
      </c>
      <c r="O39" s="637">
        <v>0</v>
      </c>
      <c r="P39" s="649">
        <f t="shared" si="1"/>
        <v>0</v>
      </c>
      <c r="Q39" s="638">
        <v>4556.9449999999997</v>
      </c>
      <c r="R39" s="636">
        <v>5</v>
      </c>
      <c r="S39" s="638">
        <v>0</v>
      </c>
      <c r="T39" s="638">
        <v>0</v>
      </c>
      <c r="U39" s="638">
        <v>0</v>
      </c>
      <c r="V39" s="638">
        <v>53.851999999999997</v>
      </c>
      <c r="W39" s="638">
        <v>48238</v>
      </c>
      <c r="X39" s="638">
        <v>149</v>
      </c>
      <c r="Y39" s="637">
        <v>2227</v>
      </c>
      <c r="Z39" s="637">
        <v>16434</v>
      </c>
      <c r="AA39" s="636">
        <v>0</v>
      </c>
      <c r="AB39" s="503">
        <f t="shared" si="2"/>
        <v>72305.264999999999</v>
      </c>
    </row>
    <row r="40" spans="2:28">
      <c r="B40" s="478" t="s">
        <v>483</v>
      </c>
      <c r="C40" s="638">
        <v>17319.823</v>
      </c>
      <c r="D40" s="639">
        <v>180.55199999999999</v>
      </c>
      <c r="E40" s="637">
        <v>0</v>
      </c>
      <c r="F40" s="650" t="s">
        <v>587</v>
      </c>
      <c r="G40" s="638">
        <v>601.125</v>
      </c>
      <c r="H40" s="637">
        <v>0</v>
      </c>
      <c r="I40" s="638">
        <v>43.073999999999998</v>
      </c>
      <c r="J40" s="637">
        <v>0</v>
      </c>
      <c r="K40" s="637">
        <v>0</v>
      </c>
      <c r="L40" s="637">
        <v>0</v>
      </c>
      <c r="M40" s="638">
        <v>558.05100000000004</v>
      </c>
      <c r="N40" s="637">
        <v>0</v>
      </c>
      <c r="O40" s="637">
        <v>0</v>
      </c>
      <c r="P40" s="649">
        <f t="shared" si="1"/>
        <v>0</v>
      </c>
      <c r="Q40" s="638">
        <v>8865.5460000000003</v>
      </c>
      <c r="R40" s="636">
        <v>3</v>
      </c>
      <c r="S40" s="638">
        <v>0</v>
      </c>
      <c r="T40" s="638">
        <v>0</v>
      </c>
      <c r="U40" s="638">
        <v>0</v>
      </c>
      <c r="V40" s="638">
        <v>0</v>
      </c>
      <c r="W40" s="638">
        <v>120</v>
      </c>
      <c r="X40" s="638">
        <v>0</v>
      </c>
      <c r="Y40" s="637">
        <v>544</v>
      </c>
      <c r="Z40" s="637">
        <v>7005.6</v>
      </c>
      <c r="AA40" s="637">
        <v>0</v>
      </c>
      <c r="AB40" s="503">
        <f t="shared" si="2"/>
        <v>17319.823</v>
      </c>
    </row>
    <row r="41" spans="2:28">
      <c r="B41" s="478" t="s">
        <v>253</v>
      </c>
      <c r="C41" s="639">
        <v>102209.42200000001</v>
      </c>
      <c r="D41" s="637">
        <v>0</v>
      </c>
      <c r="E41" s="636">
        <v>0</v>
      </c>
      <c r="F41" s="649" t="s">
        <v>587</v>
      </c>
      <c r="G41" s="639">
        <v>56315.993000000002</v>
      </c>
      <c r="H41" s="636">
        <v>0</v>
      </c>
      <c r="I41" s="636">
        <v>0</v>
      </c>
      <c r="J41" s="639">
        <v>3086.5129999999999</v>
      </c>
      <c r="K41" s="636">
        <v>0</v>
      </c>
      <c r="L41" s="636">
        <v>0</v>
      </c>
      <c r="M41" s="636">
        <v>53229.48</v>
      </c>
      <c r="N41" s="636">
        <v>0</v>
      </c>
      <c r="O41" s="636">
        <v>0</v>
      </c>
      <c r="P41" s="649">
        <f t="shared" si="1"/>
        <v>0</v>
      </c>
      <c r="Q41" s="636">
        <v>26449.200000000001</v>
      </c>
      <c r="R41" s="637">
        <v>0</v>
      </c>
      <c r="S41" s="636">
        <v>132.70500000000001</v>
      </c>
      <c r="T41" s="636">
        <v>1966.7239999999999</v>
      </c>
      <c r="U41" s="636">
        <v>0</v>
      </c>
      <c r="V41" s="636">
        <v>0</v>
      </c>
      <c r="W41" s="636">
        <v>0</v>
      </c>
      <c r="X41" s="636">
        <v>0</v>
      </c>
      <c r="Y41" s="636">
        <v>0</v>
      </c>
      <c r="Z41" s="636">
        <v>17344.8</v>
      </c>
      <c r="AA41" s="636">
        <v>0</v>
      </c>
      <c r="AB41" s="503">
        <f t="shared" si="2"/>
        <v>102209.42200000001</v>
      </c>
    </row>
    <row r="42" spans="2:28" ht="15">
      <c r="B42" s="477" t="s">
        <v>484</v>
      </c>
      <c r="C42" s="639">
        <v>109114.848</v>
      </c>
      <c r="D42" s="638">
        <v>1474.5050000000001</v>
      </c>
      <c r="E42" s="636">
        <v>0</v>
      </c>
      <c r="F42" s="649" t="s">
        <v>587</v>
      </c>
      <c r="G42" s="636">
        <v>5622.8</v>
      </c>
      <c r="H42" s="639">
        <v>1774.1880000000001</v>
      </c>
      <c r="I42" s="636">
        <v>430.74</v>
      </c>
      <c r="J42" s="636">
        <v>0</v>
      </c>
      <c r="K42" s="636">
        <v>0</v>
      </c>
      <c r="L42" s="636">
        <v>0</v>
      </c>
      <c r="M42" s="639">
        <v>3219.5250000000001</v>
      </c>
      <c r="N42" s="639">
        <v>40.343000000000004</v>
      </c>
      <c r="O42" s="636">
        <v>0</v>
      </c>
      <c r="P42" s="649">
        <f t="shared" si="1"/>
        <v>158.00400000000081</v>
      </c>
      <c r="Q42" s="639">
        <v>29694.444</v>
      </c>
      <c r="R42" s="637">
        <v>136</v>
      </c>
      <c r="S42" s="639">
        <v>0</v>
      </c>
      <c r="T42" s="639">
        <v>0</v>
      </c>
      <c r="U42" s="639">
        <v>0</v>
      </c>
      <c r="V42" s="639">
        <v>0</v>
      </c>
      <c r="W42" s="639">
        <v>4616</v>
      </c>
      <c r="X42" s="639">
        <v>3</v>
      </c>
      <c r="Y42" s="636">
        <v>6585</v>
      </c>
      <c r="Z42" s="636">
        <v>60969.599999999999</v>
      </c>
      <c r="AA42" s="637">
        <v>13.5</v>
      </c>
      <c r="AB42" s="503">
        <f t="shared" si="2"/>
        <v>109114.849</v>
      </c>
    </row>
    <row r="43" spans="2:28" ht="15">
      <c r="B43" s="479" t="s">
        <v>485</v>
      </c>
      <c r="C43" s="652">
        <v>116855.90000000001</v>
      </c>
      <c r="D43" s="652"/>
      <c r="E43" s="648" t="s">
        <v>450</v>
      </c>
      <c r="F43" s="648" t="s">
        <v>450</v>
      </c>
      <c r="G43" s="652">
        <v>115375.30000000002</v>
      </c>
      <c r="H43" s="648" t="s">
        <v>450</v>
      </c>
      <c r="I43" s="648">
        <v>848.9</v>
      </c>
      <c r="J43" s="648">
        <v>58030.9</v>
      </c>
      <c r="K43" s="648">
        <v>12960.8</v>
      </c>
      <c r="L43" s="648">
        <v>4.3</v>
      </c>
      <c r="M43" s="648">
        <v>43513.4</v>
      </c>
      <c r="N43" s="648">
        <v>17</v>
      </c>
      <c r="O43" s="648" t="s">
        <v>450</v>
      </c>
      <c r="P43" s="648" t="s">
        <v>450</v>
      </c>
      <c r="Q43" s="652">
        <v>23.4</v>
      </c>
      <c r="R43" s="652"/>
      <c r="S43" s="652"/>
      <c r="T43" s="652"/>
      <c r="U43" s="652"/>
      <c r="V43" s="652"/>
      <c r="W43" s="652"/>
      <c r="X43" s="652"/>
      <c r="Y43" s="648" t="s">
        <v>450</v>
      </c>
      <c r="Z43" s="652">
        <v>1427.4</v>
      </c>
      <c r="AA43" s="651">
        <v>27.7</v>
      </c>
      <c r="AB43" s="503">
        <f t="shared" si="2"/>
        <v>116853.8</v>
      </c>
    </row>
    <row r="44" spans="2:28">
      <c r="B44" s="478" t="s">
        <v>486</v>
      </c>
      <c r="C44" s="648">
        <v>100725.3</v>
      </c>
      <c r="D44" s="648"/>
      <c r="E44" s="648" t="s">
        <v>450</v>
      </c>
      <c r="F44" s="648" t="s">
        <v>450</v>
      </c>
      <c r="G44" s="648">
        <v>100725.3</v>
      </c>
      <c r="H44" s="648" t="s">
        <v>450</v>
      </c>
      <c r="I44" s="648">
        <v>848.9</v>
      </c>
      <c r="J44" s="648">
        <v>58030.9</v>
      </c>
      <c r="K44" s="648" t="s">
        <v>450</v>
      </c>
      <c r="L44" s="648" t="s">
        <v>450</v>
      </c>
      <c r="M44" s="648">
        <v>41845.5</v>
      </c>
      <c r="N44" s="648" t="s">
        <v>450</v>
      </c>
      <c r="O44" s="648" t="s">
        <v>450</v>
      </c>
      <c r="P44" s="648" t="s">
        <v>450</v>
      </c>
      <c r="Q44" s="648" t="s">
        <v>450</v>
      </c>
      <c r="R44" s="648"/>
      <c r="S44" s="648"/>
      <c r="T44" s="648"/>
      <c r="U44" s="648"/>
      <c r="V44" s="648"/>
      <c r="W44" s="648"/>
      <c r="X44" s="648"/>
      <c r="Y44" s="648" t="s">
        <v>450</v>
      </c>
      <c r="Z44" s="648" t="s">
        <v>450</v>
      </c>
      <c r="AA44" s="647" t="s">
        <v>450</v>
      </c>
      <c r="AB44" s="503">
        <f t="shared" si="2"/>
        <v>100725.3</v>
      </c>
    </row>
    <row r="45" spans="2:28" ht="15">
      <c r="B45" s="477" t="s">
        <v>487</v>
      </c>
      <c r="C45" s="648">
        <v>1543</v>
      </c>
      <c r="D45" s="648"/>
      <c r="E45" s="648" t="s">
        <v>450</v>
      </c>
      <c r="F45" s="648" t="s">
        <v>450</v>
      </c>
      <c r="G45" s="648">
        <v>349.7</v>
      </c>
      <c r="H45" s="648" t="s">
        <v>450</v>
      </c>
      <c r="I45" s="648" t="s">
        <v>450</v>
      </c>
      <c r="J45" s="648" t="s">
        <v>450</v>
      </c>
      <c r="K45" s="648" t="s">
        <v>450</v>
      </c>
      <c r="L45" s="648" t="s">
        <v>450</v>
      </c>
      <c r="M45" s="648">
        <v>345.5</v>
      </c>
      <c r="N45" s="648">
        <v>4.2</v>
      </c>
      <c r="O45" s="648" t="s">
        <v>450</v>
      </c>
      <c r="P45" s="648" t="s">
        <v>450</v>
      </c>
      <c r="Q45" s="648" t="s">
        <v>450</v>
      </c>
      <c r="R45" s="648"/>
      <c r="S45" s="648"/>
      <c r="T45" s="648"/>
      <c r="U45" s="648"/>
      <c r="V45" s="648"/>
      <c r="W45" s="648"/>
      <c r="X45" s="648"/>
      <c r="Y45" s="648" t="s">
        <v>450</v>
      </c>
      <c r="Z45" s="648">
        <v>1163.5</v>
      </c>
      <c r="AA45" s="647">
        <v>27.7</v>
      </c>
      <c r="AB45" s="503">
        <f t="shared" si="2"/>
        <v>1540.9</v>
      </c>
    </row>
    <row r="46" spans="2:28">
      <c r="B46" s="478" t="s">
        <v>488</v>
      </c>
      <c r="C46" s="648">
        <v>12977.999999999998</v>
      </c>
      <c r="D46" s="648"/>
      <c r="E46" s="648" t="s">
        <v>450</v>
      </c>
      <c r="F46" s="648" t="s">
        <v>450</v>
      </c>
      <c r="G46" s="648">
        <v>12977.999999999998</v>
      </c>
      <c r="H46" s="648" t="s">
        <v>450</v>
      </c>
      <c r="I46" s="648" t="s">
        <v>450</v>
      </c>
      <c r="J46" s="648" t="s">
        <v>450</v>
      </c>
      <c r="K46" s="648">
        <v>12960.8</v>
      </c>
      <c r="L46" s="648">
        <v>4.3</v>
      </c>
      <c r="M46" s="648">
        <v>12.9</v>
      </c>
      <c r="N46" s="648" t="s">
        <v>450</v>
      </c>
      <c r="O46" s="648" t="s">
        <v>450</v>
      </c>
      <c r="P46" s="648" t="s">
        <v>450</v>
      </c>
      <c r="Q46" s="648" t="s">
        <v>450</v>
      </c>
      <c r="R46" s="648"/>
      <c r="S46" s="648"/>
      <c r="T46" s="648"/>
      <c r="U46" s="648"/>
      <c r="V46" s="648"/>
      <c r="W46" s="648"/>
      <c r="X46" s="648"/>
      <c r="Y46" s="648" t="s">
        <v>450</v>
      </c>
      <c r="Z46" s="648" t="s">
        <v>450</v>
      </c>
      <c r="AA46" s="647" t="s">
        <v>450</v>
      </c>
      <c r="AB46" s="503">
        <f t="shared" si="2"/>
        <v>12977.999999999998</v>
      </c>
    </row>
    <row r="47" spans="2:28">
      <c r="B47" s="478" t="s">
        <v>489</v>
      </c>
      <c r="C47" s="648">
        <v>1309.5</v>
      </c>
      <c r="D47" s="648"/>
      <c r="E47" s="648" t="s">
        <v>450</v>
      </c>
      <c r="F47" s="648" t="s">
        <v>450</v>
      </c>
      <c r="G47" s="648">
        <v>1309.5</v>
      </c>
      <c r="H47" s="648" t="s">
        <v>450</v>
      </c>
      <c r="I47" s="648" t="s">
        <v>450</v>
      </c>
      <c r="J47" s="648" t="s">
        <v>450</v>
      </c>
      <c r="K47" s="648" t="s">
        <v>450</v>
      </c>
      <c r="L47" s="648" t="s">
        <v>450</v>
      </c>
      <c r="M47" s="648">
        <v>1309.5</v>
      </c>
      <c r="N47" s="648" t="s">
        <v>450</v>
      </c>
      <c r="O47" s="648" t="s">
        <v>450</v>
      </c>
      <c r="P47" s="648" t="s">
        <v>450</v>
      </c>
      <c r="Q47" s="648" t="s">
        <v>450</v>
      </c>
      <c r="R47" s="648"/>
      <c r="S47" s="648"/>
      <c r="T47" s="648"/>
      <c r="U47" s="648"/>
      <c r="V47" s="648"/>
      <c r="W47" s="648"/>
      <c r="X47" s="648"/>
      <c r="Y47" s="648" t="s">
        <v>450</v>
      </c>
      <c r="Z47" s="648" t="s">
        <v>450</v>
      </c>
      <c r="AA47" s="647" t="s">
        <v>450</v>
      </c>
      <c r="AB47" s="503">
        <f t="shared" si="2"/>
        <v>1309.5</v>
      </c>
    </row>
    <row r="48" spans="2:28">
      <c r="B48" s="478" t="s">
        <v>502</v>
      </c>
      <c r="C48" s="648">
        <v>287.29999999999995</v>
      </c>
      <c r="D48" s="648"/>
      <c r="E48" s="648" t="s">
        <v>450</v>
      </c>
      <c r="F48" s="648" t="s">
        <v>450</v>
      </c>
      <c r="G48" s="648" t="s">
        <v>450</v>
      </c>
      <c r="H48" s="648" t="s">
        <v>450</v>
      </c>
      <c r="I48" s="648" t="s">
        <v>450</v>
      </c>
      <c r="J48" s="648" t="s">
        <v>450</v>
      </c>
      <c r="K48" s="648" t="s">
        <v>450</v>
      </c>
      <c r="L48" s="648" t="s">
        <v>450</v>
      </c>
      <c r="M48" s="648" t="s">
        <v>450</v>
      </c>
      <c r="N48" s="648" t="s">
        <v>450</v>
      </c>
      <c r="O48" s="648" t="s">
        <v>450</v>
      </c>
      <c r="P48" s="648" t="s">
        <v>450</v>
      </c>
      <c r="Q48" s="648">
        <v>23.4</v>
      </c>
      <c r="R48" s="648"/>
      <c r="S48" s="648"/>
      <c r="T48" s="648"/>
      <c r="U48" s="648"/>
      <c r="V48" s="648"/>
      <c r="W48" s="648"/>
      <c r="X48" s="648"/>
      <c r="Y48" s="648" t="s">
        <v>450</v>
      </c>
      <c r="Z48" s="648">
        <v>263.89999999999998</v>
      </c>
      <c r="AA48" s="647" t="s">
        <v>450</v>
      </c>
      <c r="AB48" s="503">
        <f t="shared" si="2"/>
        <v>287.29999999999995</v>
      </c>
    </row>
    <row r="49" spans="2:28" ht="15">
      <c r="B49" s="480" t="s">
        <v>491</v>
      </c>
      <c r="C49" s="648">
        <v>12.8</v>
      </c>
      <c r="D49" s="648"/>
      <c r="E49" s="648" t="s">
        <v>450</v>
      </c>
      <c r="F49" s="648" t="s">
        <v>450</v>
      </c>
      <c r="G49" s="648">
        <v>12.8</v>
      </c>
      <c r="H49" s="648" t="s">
        <v>450</v>
      </c>
      <c r="I49" s="648" t="s">
        <v>450</v>
      </c>
      <c r="J49" s="648" t="s">
        <v>450</v>
      </c>
      <c r="K49" s="648" t="s">
        <v>450</v>
      </c>
      <c r="L49" s="648" t="s">
        <v>450</v>
      </c>
      <c r="M49" s="648" t="s">
        <v>450</v>
      </c>
      <c r="N49" s="648">
        <v>12.8</v>
      </c>
      <c r="O49" s="648" t="s">
        <v>450</v>
      </c>
      <c r="P49" s="648" t="s">
        <v>450</v>
      </c>
      <c r="Q49" s="648" t="s">
        <v>450</v>
      </c>
      <c r="R49" s="648"/>
      <c r="S49" s="648"/>
      <c r="T49" s="648"/>
      <c r="U49" s="648"/>
      <c r="V49" s="648"/>
      <c r="W49" s="648"/>
      <c r="X49" s="648"/>
      <c r="Y49" s="648" t="s">
        <v>450</v>
      </c>
      <c r="Z49" s="648" t="s">
        <v>450</v>
      </c>
      <c r="AA49" s="647" t="s">
        <v>450</v>
      </c>
      <c r="AB49" s="503">
        <f t="shared" si="2"/>
        <v>12.8</v>
      </c>
    </row>
    <row r="50" spans="2:28" ht="15">
      <c r="B50" s="479" t="s">
        <v>492</v>
      </c>
      <c r="C50" s="652">
        <v>232306.1</v>
      </c>
      <c r="D50" s="652"/>
      <c r="E50" s="648" t="s">
        <v>450</v>
      </c>
      <c r="F50" s="648" t="s">
        <v>450</v>
      </c>
      <c r="G50" s="652">
        <v>14639.2</v>
      </c>
      <c r="H50" s="648" t="s">
        <v>450</v>
      </c>
      <c r="I50" s="648">
        <v>161.30000000000001</v>
      </c>
      <c r="J50" s="648">
        <v>220.3</v>
      </c>
      <c r="K50" s="648" t="s">
        <v>450</v>
      </c>
      <c r="L50" s="648">
        <v>21.5</v>
      </c>
      <c r="M50" s="648">
        <v>13641.4</v>
      </c>
      <c r="N50" s="648">
        <v>594.70000000000005</v>
      </c>
      <c r="O50" s="648" t="s">
        <v>450</v>
      </c>
      <c r="P50" s="648" t="s">
        <v>450</v>
      </c>
      <c r="Q50" s="652">
        <v>160165.5</v>
      </c>
      <c r="R50" s="636"/>
      <c r="S50" s="636"/>
      <c r="T50" s="636"/>
      <c r="U50" s="636"/>
      <c r="V50" s="639"/>
      <c r="W50" s="636"/>
      <c r="X50" s="636"/>
      <c r="Y50" s="634"/>
      <c r="Z50" s="652">
        <v>49938.5</v>
      </c>
      <c r="AA50" s="651">
        <v>8.3000000000000007</v>
      </c>
      <c r="AB50" s="503">
        <f t="shared" si="2"/>
        <v>224751.5</v>
      </c>
    </row>
    <row r="51" spans="2:28" ht="15">
      <c r="B51" s="477" t="s">
        <v>493</v>
      </c>
      <c r="C51" s="638">
        <v>149608.41699999999</v>
      </c>
      <c r="D51" s="636">
        <v>0</v>
      </c>
      <c r="E51" s="637">
        <v>0</v>
      </c>
      <c r="F51" s="650" t="s">
        <v>587</v>
      </c>
      <c r="G51" s="638">
        <v>88423.578999999998</v>
      </c>
      <c r="H51" s="637">
        <v>0</v>
      </c>
      <c r="I51" s="637">
        <v>8830.17</v>
      </c>
      <c r="J51" s="638">
        <v>2367.7359999999999</v>
      </c>
      <c r="K51" s="637">
        <v>0</v>
      </c>
      <c r="L51" s="637">
        <v>0</v>
      </c>
      <c r="M51" s="638">
        <v>77225.672999999995</v>
      </c>
      <c r="N51" s="637">
        <v>0</v>
      </c>
      <c r="O51" s="637">
        <v>0</v>
      </c>
      <c r="P51" s="649">
        <f>G51-SUM(H51:O51)</f>
        <v>0</v>
      </c>
      <c r="Q51" s="637">
        <v>10788.3</v>
      </c>
      <c r="R51" s="636">
        <v>23474</v>
      </c>
      <c r="S51" s="637">
        <v>106.164</v>
      </c>
      <c r="T51" s="637">
        <v>3859.232</v>
      </c>
      <c r="U51" s="637">
        <v>0</v>
      </c>
      <c r="V51" s="637">
        <v>457.74200000000002</v>
      </c>
      <c r="W51" s="637">
        <v>4242</v>
      </c>
      <c r="X51" s="637">
        <v>0</v>
      </c>
      <c r="Y51" s="637">
        <v>0</v>
      </c>
      <c r="Z51" s="637">
        <v>18212.400000000001</v>
      </c>
      <c r="AA51" s="637">
        <v>0</v>
      </c>
      <c r="AB51" s="503">
        <f t="shared" si="2"/>
        <v>149563.41699999999</v>
      </c>
    </row>
    <row r="52" spans="2:28">
      <c r="B52" s="478" t="s">
        <v>494</v>
      </c>
      <c r="C52" s="648">
        <v>51900.800000000003</v>
      </c>
      <c r="D52" s="648"/>
      <c r="E52" s="648" t="s">
        <v>450</v>
      </c>
      <c r="F52" s="648" t="s">
        <v>450</v>
      </c>
      <c r="G52" s="648">
        <v>636.6</v>
      </c>
      <c r="H52" s="648" t="s">
        <v>450</v>
      </c>
      <c r="I52" s="648">
        <v>19</v>
      </c>
      <c r="J52" s="648" t="s">
        <v>450</v>
      </c>
      <c r="K52" s="648" t="s">
        <v>450</v>
      </c>
      <c r="L52" s="648">
        <v>17.2</v>
      </c>
      <c r="M52" s="648">
        <v>345.5</v>
      </c>
      <c r="N52" s="648">
        <v>254.9</v>
      </c>
      <c r="O52" s="648" t="s">
        <v>450</v>
      </c>
      <c r="P52" s="648" t="s">
        <v>450</v>
      </c>
      <c r="Q52" s="648">
        <v>26521.7</v>
      </c>
      <c r="R52" s="648"/>
      <c r="S52" s="648"/>
      <c r="T52" s="648"/>
      <c r="U52" s="648"/>
      <c r="V52" s="648"/>
      <c r="W52" s="648"/>
      <c r="X52" s="648"/>
      <c r="Y52" s="648">
        <v>979.3</v>
      </c>
      <c r="Z52" s="648">
        <v>22712.400000000001</v>
      </c>
      <c r="AA52" s="647">
        <v>8.3000000000000007</v>
      </c>
      <c r="AB52" s="503">
        <f t="shared" si="2"/>
        <v>50858.3</v>
      </c>
    </row>
    <row r="53" spans="2:28">
      <c r="B53" s="478" t="s">
        <v>495</v>
      </c>
      <c r="C53" s="648">
        <v>158674.6</v>
      </c>
      <c r="D53" s="648"/>
      <c r="E53" s="648" t="s">
        <v>450</v>
      </c>
      <c r="F53" s="648" t="s">
        <v>450</v>
      </c>
      <c r="G53" s="648">
        <v>491.5</v>
      </c>
      <c r="H53" s="648" t="s">
        <v>450</v>
      </c>
      <c r="I53" s="648">
        <v>132.80000000000001</v>
      </c>
      <c r="J53" s="648">
        <v>30.2</v>
      </c>
      <c r="K53" s="648" t="s">
        <v>450</v>
      </c>
      <c r="L53" s="648">
        <v>4.3</v>
      </c>
      <c r="M53" s="648">
        <v>324.2</v>
      </c>
      <c r="N53" s="648" t="s">
        <v>450</v>
      </c>
      <c r="O53" s="648" t="s">
        <v>450</v>
      </c>
      <c r="P53" s="648" t="s">
        <v>450</v>
      </c>
      <c r="Q53" s="648">
        <v>129558.1</v>
      </c>
      <c r="R53" s="648"/>
      <c r="S53" s="648"/>
      <c r="T53" s="648"/>
      <c r="U53" s="648"/>
      <c r="V53" s="648"/>
      <c r="W53" s="648"/>
      <c r="X53" s="648"/>
      <c r="Y53" s="648">
        <v>5062.1000000000004</v>
      </c>
      <c r="Z53" s="648">
        <v>23104.799999999999</v>
      </c>
      <c r="AA53" s="647" t="s">
        <v>450</v>
      </c>
      <c r="AB53" s="503">
        <f t="shared" si="2"/>
        <v>158216.5</v>
      </c>
    </row>
    <row r="54" spans="2:28">
      <c r="B54" s="478" t="s">
        <v>496</v>
      </c>
      <c r="C54" s="648" t="s">
        <v>450</v>
      </c>
      <c r="D54" s="648"/>
      <c r="E54" s="648" t="s">
        <v>450</v>
      </c>
      <c r="F54" s="648" t="s">
        <v>450</v>
      </c>
      <c r="G54" s="648" t="s">
        <v>450</v>
      </c>
      <c r="H54" s="648" t="s">
        <v>450</v>
      </c>
      <c r="I54" s="648" t="s">
        <v>450</v>
      </c>
      <c r="J54" s="648" t="s">
        <v>450</v>
      </c>
      <c r="K54" s="648" t="s">
        <v>450</v>
      </c>
      <c r="L54" s="648" t="s">
        <v>450</v>
      </c>
      <c r="M54" s="648" t="s">
        <v>450</v>
      </c>
      <c r="N54" s="648" t="s">
        <v>450</v>
      </c>
      <c r="O54" s="648" t="s">
        <v>450</v>
      </c>
      <c r="P54" s="648" t="s">
        <v>450</v>
      </c>
      <c r="Q54" s="648" t="s">
        <v>450</v>
      </c>
      <c r="R54" s="648"/>
      <c r="S54" s="648"/>
      <c r="T54" s="648"/>
      <c r="U54" s="648"/>
      <c r="V54" s="648"/>
      <c r="W54" s="648"/>
      <c r="X54" s="648"/>
      <c r="Y54" s="648" t="s">
        <v>450</v>
      </c>
      <c r="Z54" s="648" t="s">
        <v>450</v>
      </c>
      <c r="AA54" s="647" t="s">
        <v>450</v>
      </c>
      <c r="AB54" s="503">
        <f t="shared" si="2"/>
        <v>0</v>
      </c>
    </row>
    <row r="55" spans="2:28" ht="16" thickBot="1">
      <c r="B55" s="481" t="s">
        <v>497</v>
      </c>
      <c r="C55" s="646">
        <v>55460.800000000003</v>
      </c>
      <c r="D55" s="646"/>
      <c r="E55" s="645" t="s">
        <v>450</v>
      </c>
      <c r="F55" s="645" t="s">
        <v>450</v>
      </c>
      <c r="G55" s="646">
        <v>54077.4</v>
      </c>
      <c r="H55" s="645">
        <v>2307.5</v>
      </c>
      <c r="I55" s="645">
        <v>6943</v>
      </c>
      <c r="J55" s="645" t="s">
        <v>450</v>
      </c>
      <c r="K55" s="645" t="s">
        <v>450</v>
      </c>
      <c r="L55" s="645">
        <v>163.6</v>
      </c>
      <c r="M55" s="645">
        <v>145</v>
      </c>
      <c r="N55" s="645">
        <v>620.20000000000005</v>
      </c>
      <c r="O55" s="645">
        <v>9958.6</v>
      </c>
      <c r="P55" s="645">
        <v>33939.5</v>
      </c>
      <c r="Q55" s="646">
        <v>1230.4000000000001</v>
      </c>
      <c r="R55" s="646"/>
      <c r="S55" s="646"/>
      <c r="T55" s="646"/>
      <c r="U55" s="646"/>
      <c r="V55" s="646"/>
      <c r="W55" s="646"/>
      <c r="X55" s="646"/>
      <c r="Y55" s="645" t="s">
        <v>450</v>
      </c>
      <c r="Z55" s="645" t="s">
        <v>450</v>
      </c>
      <c r="AA55" s="644">
        <v>153</v>
      </c>
    </row>
  </sheetData>
  <mergeCells count="13">
    <mergeCell ref="AB4:AB5"/>
    <mergeCell ref="Y4:Y5"/>
    <mergeCell ref="Z4:Z5"/>
    <mergeCell ref="AA4:AA5"/>
    <mergeCell ref="B2:AA2"/>
    <mergeCell ref="B3:AA3"/>
    <mergeCell ref="B4:B5"/>
    <mergeCell ref="C4:C5"/>
    <mergeCell ref="E4:E5"/>
    <mergeCell ref="F4:F5"/>
    <mergeCell ref="G4:G5"/>
    <mergeCell ref="H4:P4"/>
    <mergeCell ref="Q4:Q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3.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Microsoft Office User</cp:lastModifiedBy>
  <cp:lastPrinted>2005-02-10T12:45:56Z</cp:lastPrinted>
  <dcterms:created xsi:type="dcterms:W3CDTF">2000-12-13T15:53:11Z</dcterms:created>
  <dcterms:modified xsi:type="dcterms:W3CDTF">2022-03-21T12:02:47Z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